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5831"/>
  <workbookPr dateCompatibility="0" updateLinks="never" codeName="ThisWorkbook"/>
  <mc:AlternateContent xmlns:mc="http://schemas.openxmlformats.org/markup-compatibility/2006">
    <mc:Choice Requires="x15">
      <x15ac:absPath xmlns:x15ac="http://schemas.microsoft.com/office/spreadsheetml/2010/11/ac" url="https://eltnmsu-my.sharepoint.com/personal/franniem_nmsu_edu/Documents/SBAR-AGE-OFFICE/Econ Group/BENCO/"/>
    </mc:Choice>
  </mc:AlternateContent>
  <xr:revisionPtr revIDLastSave="0" documentId="13_ncr:9_{B75A4EAB-D262-48D4-A2CC-988D1AF13F43}" xr6:coauthVersionLast="47" xr6:coauthVersionMax="47" xr10:uidLastSave="{00000000-0000-0000-0000-000000000000}"/>
  <bookViews>
    <workbookView xWindow="-108" yWindow="-108" windowWidth="23256" windowHeight="12576" tabRatio="727" xr2:uid="{00000000-000D-0000-FFFF-FFFF00000000}"/>
  </bookViews>
  <sheets>
    <sheet name="Introduction" sheetId="148" r:id="rId1"/>
    <sheet name="NewCrop&amp;WholeFarmNetReturns" sheetId="94" r:id="rId2"/>
    <sheet name="BreakevenInputs&amp;Resources" sheetId="147" r:id="rId3"/>
    <sheet name="AcresYieldsPrices&amp;Water" sheetId="146" r:id="rId4"/>
    <sheet name="Graphs$Charts" sheetId="149" state="hidden" r:id="rId5"/>
    <sheet name="GeneralInputPrices" sheetId="135" r:id="rId6"/>
    <sheet name="Inputs&amp;PricesbyCrop" sheetId="138" r:id="rId7"/>
    <sheet name="MachineryAssumptions" sheetId="137" r:id="rId8"/>
    <sheet name="TillageOperations" sheetId="136" r:id="rId9"/>
    <sheet name="CustomOperations" sheetId="139" r:id="rId10"/>
    <sheet name="EquitableLease_Guayule" sheetId="88" r:id="rId11"/>
    <sheet name="EquitableLease_Crop#2" sheetId="133" r:id="rId12"/>
    <sheet name="Guayule Establishment" sheetId="119" r:id="rId13"/>
    <sheet name="Guayule Harvest" sheetId="122" r:id="rId14"/>
    <sheet name="Guayule Grow" sheetId="121" r:id="rId15"/>
    <sheet name="Sheet #4" sheetId="111" r:id="rId16"/>
    <sheet name="Sheet #5" sheetId="123" r:id="rId17"/>
    <sheet name="Sheet #6" sheetId="124" r:id="rId18"/>
    <sheet name="Sheet #7" sheetId="125" r:id="rId19"/>
    <sheet name="Fallow" sheetId="126" r:id="rId20"/>
    <sheet name="Cotton" sheetId="127" r:id="rId21"/>
    <sheet name="Sheet #10" sheetId="128" r:id="rId22"/>
    <sheet name="Sheet #11" sheetId="129" r:id="rId23"/>
    <sheet name="Sheet #12" sheetId="130" r:id="rId24"/>
    <sheet name="Sheet #13" sheetId="131" r:id="rId25"/>
    <sheet name="Sheet #14" sheetId="142" r:id="rId26"/>
    <sheet name="Sheet #15" sheetId="143" r:id="rId27"/>
    <sheet name="Sheet #16" sheetId="144" r:id="rId28"/>
    <sheet name="Sheet #17" sheetId="145" r:id="rId29"/>
    <sheet name="AlfalfaHayEst" sheetId="140" r:id="rId30"/>
    <sheet name="AlfalfaHayProd" sheetId="132" r:id="rId31"/>
    <sheet name="PubMachineryTables" sheetId="114" state="hidden" r:id="rId32"/>
    <sheet name="BASEBUDGETS" sheetId="48" state="hidden" r:id="rId33"/>
    <sheet name="PubDataTables_Gauyule" sheetId="110" state="hidden" r:id="rId34"/>
  </sheets>
  <externalReferences>
    <externalReference r:id="rId35"/>
    <externalReference r:id="rId36"/>
  </externalReferences>
  <definedNames>
    <definedName name="a">#REF!</definedName>
    <definedName name="aaaaa">#REF!</definedName>
    <definedName name="aaaaaa">#REF!</definedName>
    <definedName name="aaaaaaa">#REF!</definedName>
    <definedName name="aaaaaaaa">#REF!</definedName>
    <definedName name="aaaaaaaaa">#REF!</definedName>
    <definedName name="aaaaaaaaaa">#REF!</definedName>
    <definedName name="aaaaaaaaaaaa">'[1]Detailed Inputs'!#REF!</definedName>
    <definedName name="aaaaaaab">#REF!</definedName>
    <definedName name="aaaaaaabb">#REF!</definedName>
    <definedName name="aaaaaaabbb">#REF!</definedName>
    <definedName name="aaaaaaabbbb">#REF!</definedName>
    <definedName name="aaaaaaac">#REF!</definedName>
    <definedName name="aaaaaaacc">#REF!</definedName>
    <definedName name="aaaaaaaccc">#REF!</definedName>
    <definedName name="aaaaaaacccc">#REF!</definedName>
    <definedName name="aaaaaaaccccc">#REF!</definedName>
    <definedName name="aaaaaaacccccc">#REF!</definedName>
    <definedName name="aaaaaaaccccccc">#REF!</definedName>
    <definedName name="acre_ft_to_m3">#REF!</definedName>
    <definedName name="acre_to_ha">#REF!</definedName>
    <definedName name="ambient_az_avg_temp">'[1]Detailed Inputs'!$K$13</definedName>
    <definedName name="BTU_to_J">#REF!</definedName>
    <definedName name="conversion_acre_ft_to_cubic_m">[1]Conversions!$F$28</definedName>
    <definedName name="conversion_acre_to_ha">[1]Conversions!$F$38</definedName>
    <definedName name="conversion_btu_to_MJ">[1]Conversions!$F$37</definedName>
    <definedName name="conversion_cubic_cm_to_cubic_m">[1]Conversions!$F$25</definedName>
    <definedName name="conversion_cubic_cm_to_L">[1]Conversions!$F$18</definedName>
    <definedName name="conversion_cubic_ft_to_cubic_m">[1]Conversions!$F$26</definedName>
    <definedName name="conversion_cubic_m_to_L">[1]Conversions!$F$16</definedName>
    <definedName name="conversion_g_to_kg">[1]Conversions!$F$8</definedName>
    <definedName name="conversion_gal_to_cubic_ft">[1]Conversions!$F$12</definedName>
    <definedName name="conversion_gal_to_cubic_in">[1]Conversions!$F$10</definedName>
    <definedName name="conversion_gal_to_L">[1]Conversions!$F$14</definedName>
    <definedName name="conversion_HP_to_kW">[1]Conversions!$F$33</definedName>
    <definedName name="conversion_hr_to_min">[1]Conversions!$F$29</definedName>
    <definedName name="conversion_kg_to_g">[1]Conversions!$F$9</definedName>
    <definedName name="conversion_kg_to_tonnes">[1]Conversions!$F$7</definedName>
    <definedName name="conversion_kWh_to_MJ">[1]Conversions!$F$31</definedName>
    <definedName name="conversion_L_to_cubic_m">[1]Conversions!$F$17</definedName>
    <definedName name="conversion_L_to_gal">[1]Conversions!$F$15</definedName>
    <definedName name="conversion_L_to_mL">[1]Conversions!$F$20</definedName>
    <definedName name="conversion_L_to_oz">[1]Conversions!$F$22</definedName>
    <definedName name="conversion_lbs_to_tonnes">[1]Conversions!$F$27</definedName>
    <definedName name="conversion_min_to_hr">[1]Conversions!$F$30</definedName>
    <definedName name="conversion_tonnes_to_kg">[1]Conversions!$F$6</definedName>
    <definedName name="custom_ace_tonnes_to_L">'[1]200 - Backup Calcs'!$C$67</definedName>
    <definedName name="custom_electrical_cooling_load">'[1]200 - Backup Calcs'!$D$78</definedName>
    <definedName name="custom_gua_tonnes_to_L">'[1]200 - Backup Calcs'!$C$71</definedName>
    <definedName name="custom_hex_tonnes_to_L">'[1]200 - Backup Calcs'!$C$65</definedName>
    <definedName name="custom_water_tonnes_to_L">'[1]200 - Backup Calcs'!$C$69</definedName>
    <definedName name="economic_bagasse_sale_price">'[1]Detailed Inputs'!$K$125</definedName>
    <definedName name="economic_capital_acetone_condenser">'[1]Detailed Inputs'!$K$79</definedName>
    <definedName name="economic_capital_acetone_dist_column">'[1]Detailed Inputs'!$K$78</definedName>
    <definedName name="economic_capital_acetone_scrubber">'[1]Detailed Inputs'!$K$77</definedName>
    <definedName name="economic_capital_agitator">#REF!</definedName>
    <definedName name="economic_capital_air_classifier_1">#REF!</definedName>
    <definedName name="economic_capital_air_classifier_2">#REF!</definedName>
    <definedName name="economic_capital_air_classifier_3">#REF!</definedName>
    <definedName name="economic_capital_air_classifyer">'[1]Detailed Inputs'!$K$60</definedName>
    <definedName name="economic_capital_air_conveyor">'[1]Detailed Inputs'!$K$59</definedName>
    <definedName name="economic_capital_belt_conveyor">'[1]Detailed Inputs'!$K$62</definedName>
    <definedName name="economic_capital_belt_conveyor_1">#REF!</definedName>
    <definedName name="economic_capital_belt_conveyor_2">#REF!</definedName>
    <definedName name="economic_capital_belt_conveyor_3">#REF!</definedName>
    <definedName name="economic_capital_belt_conveyor_4">#REF!</definedName>
    <definedName name="economic_capital_belt_conveyor_5">#REF!</definedName>
    <definedName name="economic_capital_belt_conveyor_6">#REF!</definedName>
    <definedName name="economic_capital_belt_conveyor_7">#REF!</definedName>
    <definedName name="economic_capital_belt_conveyor_8">#REF!</definedName>
    <definedName name="economic_capital_cc_extractor">'[1]Detailed Inputs'!$K$66</definedName>
    <definedName name="economic_capital_centrifuge">'[1]Detailed Inputs'!$K$67</definedName>
    <definedName name="economic_capital_flaking_mill_1">#REF!</definedName>
    <definedName name="economic_capital_flaking_mill_2">#REF!</definedName>
    <definedName name="economic_capital_grinding_mill_1">#REF!</definedName>
    <definedName name="economic_capital_grinding_mill_2">#REF!</definedName>
    <definedName name="economic_capital_grinding_mill_3">#REF!</definedName>
    <definedName name="economic_capital_guar_storage">#REF!</definedName>
    <definedName name="economic_capital_guayule_storage">'[1]Detailed Inputs'!$K$83</definedName>
    <definedName name="economic_capital_hammer_mill">'[1]Detailed Inputs'!$K$61</definedName>
    <definedName name="economic_capital_hammer_mill_1">#REF!</definedName>
    <definedName name="economic_capital_hammer_mill_2">#REF!</definedName>
    <definedName name="economic_capital_hexane_absorber">'[1]Detailed Inputs'!$K$74</definedName>
    <definedName name="economic_capital_hexane_condenser">'[1]Detailed Inputs'!$K$76</definedName>
    <definedName name="economic_capital_hexane_stripper">'[1]Detailed Inputs'!$K$75</definedName>
    <definedName name="economic_capital_hopper_1">#REF!</definedName>
    <definedName name="economic_capital_hopper_2">#REF!</definedName>
    <definedName name="economic_capital_land">#REF!</definedName>
    <definedName name="economic_capital_mixer_settler">'[1]Detailed Inputs'!$K$69</definedName>
    <definedName name="economic_capital_mixing_tank">#REF!</definedName>
    <definedName name="economic_capital_office_building">#REF!</definedName>
    <definedName name="economic_capital_oil_pump">'[1]Detailed Inputs'!$K$71</definedName>
    <definedName name="economic_capital_polisher_shaver">#REF!</definedName>
    <definedName name="economic_capital_processing_structure">#REF!</definedName>
    <definedName name="economic_capital_resin_dist_column">'[1]Detailed Inputs'!$K$73</definedName>
    <definedName name="economic_capital_screw_conveyor">#REF!</definedName>
    <definedName name="economic_capital_screw_press">'[1]Detailed Inputs'!$K$70</definedName>
    <definedName name="economic_capital_shaker_table">#REF!</definedName>
    <definedName name="economic_capital_shredder">'[1]Detailed Inputs'!$K$58</definedName>
    <definedName name="economic_capital_slurry_pump">'[1]Detailed Inputs'!$K$65</definedName>
    <definedName name="economic_capital_solvent_pump">'[1]Detailed Inputs'!$K$63</definedName>
    <definedName name="economic_capital_spray_dryer">#REF!</definedName>
    <definedName name="economic_capital_tray_dryer">'[1]Detailed Inputs'!$K$68</definedName>
    <definedName name="economic_capital_water_pump">'[1]Detailed Inputs'!$K$72</definedName>
    <definedName name="economic_capital_water_supply_pump_1">#REF!</definedName>
    <definedName name="economic_capital_water_supply_pump_2">#REF!</definedName>
    <definedName name="economic_fixed_op_benefits">#REF!</definedName>
    <definedName name="economic_fixed_op_clerk">#REF!</definedName>
    <definedName name="economic_fixed_op_engineer">#REF!</definedName>
    <definedName name="economic_fixed_op_insurance">#REF!</definedName>
    <definedName name="economic_fixed_op_lab_manager">#REF!</definedName>
    <definedName name="economic_fixed_op_lab_tech">#REF!</definedName>
    <definedName name="economic_fixed_op_maint">#REF!</definedName>
    <definedName name="economic_fixed_op_maint_sup">#REF!</definedName>
    <definedName name="economic_fixed_op_maint_tech">#REF!</definedName>
    <definedName name="economic_fixed_op_manager">#REF!</definedName>
    <definedName name="economic_fixed_op_shift_op">#REF!</definedName>
    <definedName name="economic_fixed_op_yard_employee">#REF!</definedName>
    <definedName name="economic_guar_sale_price">#REF!</definedName>
    <definedName name="economic_guayule_sale_price">'[1]Detailed Inputs'!$K$124</definedName>
    <definedName name="economic_gum_sale_price">#REF!</definedName>
    <definedName name="economic_resin_sale_price">'[1]Detailed Inputs'!$K$126</definedName>
    <definedName name="economic_rubber_sale_price">'[1]Detailed Inputs'!$K$127</definedName>
    <definedName name="economic_variable_op_acetone">'[1]Detailed Inputs'!$K$55</definedName>
    <definedName name="economic_variable_op_electricity">#REF!</definedName>
    <definedName name="economic_variable_op_guar_seed">#REF!</definedName>
    <definedName name="economic_variable_op_hexane">'[1]Detailed Inputs'!$K$54</definedName>
    <definedName name="economic_variable_op_mineral_oil">'[1]Detailed Inputs'!$K$57</definedName>
    <definedName name="economic_variable_op_natural_gas">#REF!</definedName>
    <definedName name="economic_variable_op_water">#REF!</definedName>
    <definedName name="economic_variable_protein_sale_price">#REF!</definedName>
    <definedName name="environmental_emissions_electricity">#REF!</definedName>
    <definedName name="environmental_emissions_natural_gas">#REF!</definedName>
    <definedName name="ft3_to_m3">#REF!</definedName>
    <definedName name="gal_to_liters">#REF!</definedName>
    <definedName name="gal_to_m3">#REF!</definedName>
    <definedName name="HP_to_kW">#REF!</definedName>
    <definedName name="hr_to_min">#REF!</definedName>
    <definedName name="input_acres_per_year">#REF!</definedName>
    <definedName name="input_alf_adoption">#REF!</definedName>
    <definedName name="input_bag_hhv">'[1]Detailed Inputs'!#REF!</definedName>
    <definedName name="input_bag_spec_heat">[1]Properties!$I$9</definedName>
    <definedName name="input_bagasse">'[1]Detailed Inputs'!$K$38</definedName>
    <definedName name="input_barley_adoption">#REF!</definedName>
    <definedName name="input_corn_adoption">#REF!</definedName>
    <definedName name="input_cotton_adoption">#REF!</definedName>
    <definedName name="input_guar_adoption">#REF!</definedName>
    <definedName name="input_guay_adoption">'[1]Detailed Inputs'!$K$116</definedName>
    <definedName name="input_guay_density">[1]Properties!$I$6</definedName>
    <definedName name="input_guay_moisture">'[1]Detailed Inputs'!$K$39</definedName>
    <definedName name="input_guay_spec_heat">[1]Properties!$I$7</definedName>
    <definedName name="input_harvest_density">#REF!</definedName>
    <definedName name="input_harvest_productivity">#REF!</definedName>
    <definedName name="input_harvest_yeild">'[1]Detailed Inputs'!$K$35</definedName>
    <definedName name="input_processing_endosperm_fraction">#REF!</definedName>
    <definedName name="input_processing_germ_fraction">#REF!</definedName>
    <definedName name="input_processing_hull_fraction">#REF!</definedName>
    <definedName name="input_processing_mass_loss">#REF!</definedName>
    <definedName name="input_processing_residual_crop_matter">#REF!</definedName>
    <definedName name="input_res_spec_heat">[1]Properties!$I$10</definedName>
    <definedName name="input_resin">'[1]Detailed Inputs'!$K$37</definedName>
    <definedName name="input_rub_spec_heat">[1]Properties!$I$13</definedName>
    <definedName name="input_rubber">'[1]Detailed Inputs'!$K$36</definedName>
    <definedName name="input_sorghum_adoption">#REF!</definedName>
    <definedName name="input_wheat_adoption">#REF!</definedName>
    <definedName name="input_wheat_alf_adoption">#REF!</definedName>
    <definedName name="kg_to_g">#REF!</definedName>
    <definedName name="kg_to_lbs">#REF!</definedName>
    <definedName name="kJ_to_J">#REF!</definedName>
    <definedName name="kJ_to_kWh">#REF!</definedName>
    <definedName name="kWh_to_MJ">#REF!</definedName>
    <definedName name="lbs_to_grams">#REF!</definedName>
    <definedName name="LCI_actone">[1]Figures!$B$133</definedName>
    <definedName name="LCI_electricity">[1]Figures!$B$130</definedName>
    <definedName name="LCI_hexane">[1]Figures!$B$132</definedName>
    <definedName name="LCI_mineral_oil">[1]Figures!$B$134</definedName>
    <definedName name="LCI_natural_gas">[1]Figures!$B$131</definedName>
    <definedName name="m3_to_liters">#REF!</definedName>
    <definedName name="min_to_sec">#REF!</definedName>
    <definedName name="op_annual_processing">#REF!</definedName>
    <definedName name="op_annual_production">#REF!</definedName>
    <definedName name="op_days_per_yr">#REF!</definedName>
    <definedName name="op_hrs_per_shift">#REF!</definedName>
    <definedName name="op_shifts_per_day">#REF!</definedName>
    <definedName name="output_bagasse">'[1]Data Repository'!$G$13</definedName>
    <definedName name="output_farm_npv">BASEBUDGETS!$C$20</definedName>
    <definedName name="output_LCA_acid">#REF!</definedName>
    <definedName name="output_LCA_carcin">#REF!</definedName>
    <definedName name="output_LCA_ecotox">#REF!</definedName>
    <definedName name="output_LCA_eutro">#REF!</definedName>
    <definedName name="output_LCA_GWP">#REF!</definedName>
    <definedName name="output_LCA_non_carcin">#REF!</definedName>
    <definedName name="output_LCA_ozone_dep">#REF!</definedName>
    <definedName name="output_LCA_ozone_form">#REF!</definedName>
    <definedName name="output_LCA_resource_dep">#REF!</definedName>
    <definedName name="output_LCA_resp">#REF!</definedName>
    <definedName name="output_packaged_gum">#REF!</definedName>
    <definedName name="output_processing_plant_npv">#REF!</definedName>
    <definedName name="output_protein">#REF!</definedName>
    <definedName name="_xlnm.Print_Area" localSheetId="29">AlfalfaHayEst!#REF!</definedName>
    <definedName name="_xlnm.Print_Area" localSheetId="30">AlfalfaHayProd!#REF!</definedName>
    <definedName name="_xlnm.Print_Area" localSheetId="20">Cotton!#REF!</definedName>
    <definedName name="_xlnm.Print_Area" localSheetId="19">Fallow!#REF!</definedName>
    <definedName name="_xlnm.Print_Area" localSheetId="12">'Guayule Establishment'!#REF!</definedName>
    <definedName name="_xlnm.Print_Area" localSheetId="14">'Guayule Grow'!#REF!</definedName>
    <definedName name="_xlnm.Print_Area" localSheetId="13">'Guayule Harvest'!#REF!</definedName>
    <definedName name="_xlnm.Print_Area" localSheetId="0">Introduction!$B$1:$M$42</definedName>
    <definedName name="_xlnm.Print_Area" localSheetId="33">PubDataTables_Gauyule!#REF!</definedName>
    <definedName name="_xlnm.Print_Area" localSheetId="21">'Sheet #10'!#REF!</definedName>
    <definedName name="_xlnm.Print_Area" localSheetId="22">'Sheet #11'!#REF!</definedName>
    <definedName name="_xlnm.Print_Area" localSheetId="23">'Sheet #12'!#REF!</definedName>
    <definedName name="_xlnm.Print_Area" localSheetId="24">'Sheet #13'!#REF!</definedName>
    <definedName name="_xlnm.Print_Area" localSheetId="25">'Sheet #14'!#REF!</definedName>
    <definedName name="_xlnm.Print_Area" localSheetId="26">'Sheet #15'!#REF!</definedName>
    <definedName name="_xlnm.Print_Area" localSheetId="27">'Sheet #16'!#REF!</definedName>
    <definedName name="_xlnm.Print_Area" localSheetId="28">'Sheet #17'!#REF!</definedName>
    <definedName name="_xlnm.Print_Area" localSheetId="15">'Sheet #4'!$A$2:$K$114</definedName>
    <definedName name="_xlnm.Print_Area" localSheetId="16">'Sheet #5'!#REF!</definedName>
    <definedName name="_xlnm.Print_Area" localSheetId="17">'Sheet #6'!#REF!</definedName>
    <definedName name="_xlnm.Print_Area" localSheetId="18">'Sheet #7'!#REF!</definedName>
    <definedName name="process_elec_air_conveyor">#REF!</definedName>
    <definedName name="process_elec_belt_conveyor">#REF!</definedName>
    <definedName name="process_elec_centrifuge">'[1]Detailed Inputs'!$K$135</definedName>
    <definedName name="process_elec_hammer_mill">#REF!</definedName>
    <definedName name="process_elec_mill">'[1]Detailed Inputs'!$K$130</definedName>
    <definedName name="process_elec_mineral_oil_pump">'[1]Detailed Inputs'!$K$139</definedName>
    <definedName name="process_elec_mix_tank">'[1]Detailed Inputs'!$K$133</definedName>
    <definedName name="process_elec_mixer_settler">'[1]Detailed Inputs'!$K$136</definedName>
    <definedName name="process_elec_screw_press">'[1]Detailed Inputs'!$K$137</definedName>
    <definedName name="process_elec_shaker_table">#REF!</definedName>
    <definedName name="process_elec_shredder">'[1]Detailed Inputs'!$K$128</definedName>
    <definedName name="process_elec_slurry_pump">'[1]Detailed Inputs'!$K$134</definedName>
    <definedName name="process_elec_solvent_pump">'[1]Detailed Inputs'!$K$132</definedName>
    <definedName name="process_elec_water_pump">'[1]Detailed Inputs'!$K$138</definedName>
    <definedName name="process_energy_heating_efficiency">#REF!</definedName>
    <definedName name="process_extractor_liquid">'[1]Detailed Inputs'!$K$145</definedName>
    <definedName name="process_facility_land_size">#REF!</definedName>
    <definedName name="process_flaking_mill_power">#REF!</definedName>
    <definedName name="process_flow_centrifuge">'[1]Detailed Inputs'!$K$148</definedName>
    <definedName name="process_flow_mineral_oil_pump">'[1]Detailed Inputs'!$K$156</definedName>
    <definedName name="process_flow_mixer_settler">'[1]Detailed Inputs'!$K$150</definedName>
    <definedName name="process_flow_screw_press">'[1]Detailed Inputs'!$K$154</definedName>
    <definedName name="process_flow_slurry_pump">'[1]Detailed Inputs'!$K$147</definedName>
    <definedName name="process_flow_solvent_pump">'[1]Detailed Inputs'!$K$140</definedName>
    <definedName name="process_flow_water_pump">'[1]Detailed Inputs'!$K$155</definedName>
    <definedName name="process_heat_exchanger_eff">'[1]Detailed Inputs'!$K$158</definedName>
    <definedName name="process_heat_treatment_water_pump_power">#REF!</definedName>
    <definedName name="process_heat_treatment_water_required">#REF!</definedName>
    <definedName name="process_hexane_to_solvent">'[1]Detailed Inputs'!$K$24</definedName>
    <definedName name="process_hydration_bath_pump_power">#REF!</definedName>
    <definedName name="process_hydration_bath_water_final_percent">#REF!</definedName>
    <definedName name="process_hydration_bath_water_initial_percent">#REF!</definedName>
    <definedName name="process_hydration_bath_water_required">#REF!</definedName>
    <definedName name="process_min_oil_recovery">'[1]Detailed Inputs'!$K$32</definedName>
    <definedName name="process_mix_tank_depth">'[1]Detailed Inputs'!$K$144</definedName>
    <definedName name="process_mix_tank_rad">'[1]Detailed Inputs'!$K$143</definedName>
    <definedName name="process_mix_tank_residence">'[1]Detailed Inputs'!$K$142</definedName>
    <definedName name="process_ng_heating_efficiency">'[1]Detailed Inputs'!$K$33</definedName>
    <definedName name="process_office_space">#REF!</definedName>
    <definedName name="process_oil_hex_strip_eff">'[1]Detailed Inputs'!$K$31</definedName>
    <definedName name="process_polisher_power">#REF!</definedName>
    <definedName name="process_processing_structure">#REF!</definedName>
    <definedName name="process_resin_dist_eff">'[1]Detailed Inputs'!$K$28</definedName>
    <definedName name="process_screw_press_removal_eff">'[1]Detailed Inputs'!$K$151</definedName>
    <definedName name="process_screw_press_solvent_vapor">'[1]Detailed Inputs'!$K$152</definedName>
    <definedName name="process_screw_press_water_vapor">'[1]Detailed Inputs'!$K$153</definedName>
    <definedName name="process_scrub_water_to_ace">'[1]Detailed Inputs'!$K$26</definedName>
    <definedName name="process_shaker_table_power">#REF!</definedName>
    <definedName name="process_solvent_mix_tank">'[1]Detailed Inputs'!$K$141</definedName>
    <definedName name="process_solvent_to_biomass">'[1]Detailed Inputs'!$K$22</definedName>
    <definedName name="process_spray_dry_final_percent">#REF!</definedName>
    <definedName name="process_spray_dryer_power">#REF!</definedName>
    <definedName name="process_steam_jet_power">#REF!</definedName>
    <definedName name="process_storage_space">#REF!</definedName>
    <definedName name="process_tray_dryer_eff">'[1]Detailed Inputs'!$K$149</definedName>
    <definedName name="process_up_time_days">'[1]Detailed Inputs'!$K$14</definedName>
    <definedName name="process_up_time_hours">#REF!</definedName>
    <definedName name="process_up_time_shifts">#REF!</definedName>
    <definedName name="process_water_absorption_efficiency">#REF!</definedName>
    <definedName name="process_water_ace_dist_eff">'[1]Detailed Inputs'!$K$29</definedName>
    <definedName name="process_water_heat_treatment_final_percent">#REF!</definedName>
    <definedName name="process_water_heat_treatment_initial_percent">#REF!</definedName>
    <definedName name="prop_HHV_diesel">#REF!</definedName>
    <definedName name="prop_HHV_gas">#REF!</definedName>
    <definedName name="prop_HHV_jetfuel">#REF!</definedName>
    <definedName name="prop_HHV_naphtha">#REF!</definedName>
    <definedName name="prop_HHV_NG_mass">#REF!</definedName>
    <definedName name="prop_HHV_NG_volume">#REF!</definedName>
    <definedName name="prop_rho_NG">#REF!</definedName>
    <definedName name="prop_rho_water">#REF!</definedName>
    <definedName name="prop_water_heat_vaporization">#REF!</definedName>
    <definedName name="prop_water_molecular_weight">#REF!</definedName>
    <definedName name="property_ace_boiling_point">[1]Properties!$I$19</definedName>
    <definedName name="property_ace_density">[1]Properties!$I$20</definedName>
    <definedName name="property_ace_heat_of_vap">[1]Properties!$I$21</definedName>
    <definedName name="property_ace_mol_weight">[1]Properties!$I$23</definedName>
    <definedName name="property_ace_spec_heat">[1]Properties!$I$24</definedName>
    <definedName name="property_hex_boiling_pt">[1]Properties!$I$27</definedName>
    <definedName name="property_hex_density">[1]Properties!$I$28</definedName>
    <definedName name="property_hex_heat_of_vap">[1]Properties!$I$29</definedName>
    <definedName name="property_hex_spec_heat">[1]Properties!$I$32</definedName>
    <definedName name="property_mineral_oil_spec_heat">[1]Properties!$I$35</definedName>
    <definedName name="property_ng_heat_per_volume">[1]Properties!$I$39</definedName>
    <definedName name="property_ng_hhv">[1]Properties!$I$38</definedName>
    <definedName name="property_oil_density">[1]Properties!$I$34</definedName>
    <definedName name="property_water_boiling_point">[1]Properties!$I$40</definedName>
    <definedName name="property_water_density">[1]Properties!$I$41</definedName>
    <definedName name="property_water_heat_of_vap">[1]Properties!$I$44</definedName>
    <definedName name="property_water_mol_weight">[1]Properties!$I$42</definedName>
    <definedName name="property_water_spec_heat">[1]Properties!$I$43</definedName>
    <definedName name="scenario_alf_adoption">#REF!</definedName>
    <definedName name="scenario_bagasse_selling_price">'[1]Scenario Inputs'!$D$8</definedName>
    <definedName name="scenario_barley_adoption">#REF!</definedName>
    <definedName name="scenario_corn_adoption">#REF!</definedName>
    <definedName name="scenario_cotton_adoption">#REF!</definedName>
    <definedName name="scenario_guar_adoption">#REF!</definedName>
    <definedName name="scenario_guar_gum_selling_price">#REF!</definedName>
    <definedName name="scenario_guar_selling_price">#REF!</definedName>
    <definedName name="scenario_guay_adoption">'[1]Scenario Inputs'!$C$21</definedName>
    <definedName name="scenario_guay_selling_price">'[1]Scenario Inputs'!$D$7</definedName>
    <definedName name="scenario_protein_selling_price">#REF!</definedName>
    <definedName name="scenario_resin_selling_price">'[1]Scenario Inputs'!$D$9</definedName>
    <definedName name="scenario_rubber_selling_price">'[1]Scenario Inputs'!$D$10</definedName>
    <definedName name="scenario_sorghum_adoption">#REF!</definedName>
    <definedName name="scenario_wheat_adoption">#REF!</definedName>
    <definedName name="scenario_wheat_alf_adoption">#REF!</definedName>
    <definedName name="sensitivity_baseline_acid">#REF!</definedName>
    <definedName name="sensitivity_baseline_carcin">#REF!</definedName>
    <definedName name="sensitivity_baseline_ecotox">#REF!</definedName>
    <definedName name="sensitivity_baseline_eutro">#REF!</definedName>
    <definedName name="sensitivity_baseline_GWP">#REF!</definedName>
    <definedName name="sensitivity_baseline_non_carcin">#REF!</definedName>
    <definedName name="sensitivity_baseline_ozone_dep">#REF!</definedName>
    <definedName name="sensitivity_baseline_ozone_form">#REF!</definedName>
    <definedName name="sensitivity_baseline_resource_dep">#REF!</definedName>
    <definedName name="sensitivity_baseline_resp">#REF!</definedName>
    <definedName name="sensitivity_baseline_value">#REF!</definedName>
    <definedName name="sensitivity_percent">#REF!</definedName>
    <definedName name="tonne_to_ton">#REF!</definedName>
    <definedName name="tonnes_to_kgs">#REF!</definedName>
    <definedName name="tons_to_kg">#REF!</definedName>
    <definedName name="tons_to_lbs">#REF!</definedName>
    <definedName name="x">#REF!</definedName>
    <definedName name="xx">#REF!</definedName>
    <definedName name="xxx">#REF!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y">#REF!</definedName>
    <definedName name="yy">#REF!</definedName>
    <definedName name="yyy">#REF!</definedName>
    <definedName name="yyyy">#REF!</definedName>
    <definedName name="yyyyy">#REF!</definedName>
    <definedName name="yyyyyy">#REF!</definedName>
    <definedName name="yyyyyyy">#REF!</definedName>
    <definedName name="yyyyyyyy">#REF!</definedName>
    <definedName name="yyyyyyyyy">#REF!</definedName>
    <definedName name="yyyyyyyyyy">#REF!</definedName>
    <definedName name="yyyyyyyyyyy">#REF!</definedName>
    <definedName name="z">#REF!</definedName>
    <definedName name="zz">#REF!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G4" i="144" l="1"/>
  <c r="G4" i="129"/>
  <c r="I4" i="126"/>
  <c r="I4" i="121"/>
  <c r="B4" i="122"/>
  <c r="G4" i="122"/>
  <c r="D10" i="119"/>
  <c r="G4" i="119"/>
  <c r="D2" i="136"/>
  <c r="N2" i="138"/>
  <c r="C7" i="94"/>
  <c r="G11" i="138"/>
  <c r="H11" i="138"/>
  <c r="I11" i="138"/>
  <c r="J11" i="138"/>
  <c r="K11" i="138"/>
  <c r="L11" i="138"/>
  <c r="M11" i="138"/>
  <c r="N11" i="138"/>
  <c r="O11" i="138"/>
  <c r="P11" i="138"/>
  <c r="Q11" i="138"/>
  <c r="R11" i="138"/>
  <c r="S11" i="138"/>
  <c r="T11" i="138"/>
  <c r="U11" i="138"/>
  <c r="V11" i="138"/>
  <c r="G9" i="138"/>
  <c r="H9" i="138"/>
  <c r="I9" i="138"/>
  <c r="J9" i="138"/>
  <c r="K9" i="138"/>
  <c r="L9" i="138"/>
  <c r="M9" i="138"/>
  <c r="N9" i="138"/>
  <c r="O9" i="138"/>
  <c r="P9" i="138"/>
  <c r="Q9" i="138"/>
  <c r="R9" i="138"/>
  <c r="S9" i="138"/>
  <c r="T9" i="138"/>
  <c r="U9" i="138"/>
  <c r="V9" i="138"/>
  <c r="E9" i="138"/>
  <c r="D11" i="138"/>
  <c r="D9" i="138"/>
  <c r="E11" i="138"/>
  <c r="E12" i="138" s="1"/>
  <c r="U8" i="138"/>
  <c r="O8" i="138"/>
  <c r="L8" i="138"/>
  <c r="F7" i="138"/>
  <c r="F8" i="138" s="1"/>
  <c r="E7" i="138"/>
  <c r="E8" i="138" s="1"/>
  <c r="C20" i="146"/>
  <c r="F9" i="138" l="1"/>
  <c r="F11" i="138"/>
  <c r="D4" i="146"/>
  <c r="D5" i="146"/>
  <c r="D6" i="146"/>
  <c r="D7" i="146"/>
  <c r="D8" i="146"/>
  <c r="D9" i="146"/>
  <c r="D10" i="146"/>
  <c r="D11" i="146"/>
  <c r="D12" i="146"/>
  <c r="D13" i="146"/>
  <c r="D14" i="146"/>
  <c r="D15" i="146"/>
  <c r="D16" i="146"/>
  <c r="D17" i="146"/>
  <c r="D18" i="146"/>
  <c r="D19" i="146"/>
  <c r="D20" i="146"/>
  <c r="C348" i="48" l="1"/>
  <c r="C185" i="48"/>
  <c r="C511" i="48"/>
  <c r="D21" i="146"/>
  <c r="Q14" i="146"/>
  <c r="Q13" i="146"/>
  <c r="Q12" i="146"/>
  <c r="Q11" i="146"/>
  <c r="C3064" i="48" l="1"/>
  <c r="C3063" i="48"/>
  <c r="C3062" i="48"/>
  <c r="C2902" i="48"/>
  <c r="C2901" i="48"/>
  <c r="C2900" i="48"/>
  <c r="C2740" i="48"/>
  <c r="C2739" i="48"/>
  <c r="C2738" i="48"/>
  <c r="C2578" i="48"/>
  <c r="C2577" i="48"/>
  <c r="C2576" i="48"/>
  <c r="C2416" i="48"/>
  <c r="C2415" i="48"/>
  <c r="C2414" i="48"/>
  <c r="C2254" i="48"/>
  <c r="C2253" i="48"/>
  <c r="C2252" i="48"/>
  <c r="C2092" i="48"/>
  <c r="C2091" i="48"/>
  <c r="C2090" i="48"/>
  <c r="C1930" i="48"/>
  <c r="C1929" i="48"/>
  <c r="C1928" i="48"/>
  <c r="C1768" i="48"/>
  <c r="C1767" i="48"/>
  <c r="C1766" i="48"/>
  <c r="C1606" i="48"/>
  <c r="C1605" i="48"/>
  <c r="C1604" i="48"/>
  <c r="C1444" i="48"/>
  <c r="C1443" i="48"/>
  <c r="C1442" i="48"/>
  <c r="C1281" i="48"/>
  <c r="C1280" i="48"/>
  <c r="C1279" i="48"/>
  <c r="C1119" i="48"/>
  <c r="C1118" i="48"/>
  <c r="C1117" i="48"/>
  <c r="C957" i="48"/>
  <c r="C956" i="48"/>
  <c r="C955" i="48"/>
  <c r="C795" i="48"/>
  <c r="C794" i="48"/>
  <c r="C793" i="48"/>
  <c r="C633" i="48"/>
  <c r="C632" i="48"/>
  <c r="C631" i="48"/>
  <c r="C470" i="48"/>
  <c r="C469" i="48"/>
  <c r="C468" i="48"/>
  <c r="C307" i="48"/>
  <c r="C306" i="48"/>
  <c r="C305" i="48"/>
  <c r="B12" i="138" l="1"/>
  <c r="B11" i="138"/>
  <c r="B10" i="138"/>
  <c r="B9" i="138"/>
  <c r="B8" i="138"/>
  <c r="B7" i="138"/>
  <c r="D13" i="135" l="1"/>
  <c r="O37" i="138" l="1"/>
  <c r="M37" i="138"/>
  <c r="L37" i="138"/>
  <c r="P35" i="138"/>
  <c r="O35" i="138"/>
  <c r="M35" i="138"/>
  <c r="L35" i="138"/>
  <c r="P33" i="138"/>
  <c r="M33" i="138"/>
  <c r="P32" i="138"/>
  <c r="O32" i="138" s="1"/>
  <c r="M32" i="138"/>
  <c r="L32" i="138"/>
  <c r="D27" i="135" l="1"/>
  <c r="D32" i="135"/>
  <c r="D31" i="135"/>
  <c r="D30" i="135"/>
  <c r="D29" i="135"/>
  <c r="D28" i="135"/>
  <c r="B4" i="48"/>
  <c r="B3" i="48"/>
  <c r="D46" i="48"/>
  <c r="D45" i="48"/>
  <c r="D44" i="48"/>
  <c r="D43" i="48"/>
  <c r="D39" i="48"/>
  <c r="D38" i="48"/>
  <c r="D37" i="48"/>
  <c r="D3040" i="48" l="1"/>
  <c r="D2878" i="48"/>
  <c r="D2716" i="48"/>
  <c r="D2554" i="48"/>
  <c r="D2392" i="48"/>
  <c r="D2230" i="48"/>
  <c r="D2068" i="48"/>
  <c r="D1906" i="48"/>
  <c r="D1744" i="48"/>
  <c r="D1582" i="48"/>
  <c r="D1419" i="48"/>
  <c r="D1257" i="48"/>
  <c r="D1095" i="48"/>
  <c r="D933" i="48"/>
  <c r="D771" i="48"/>
  <c r="D609" i="48"/>
  <c r="D446" i="48"/>
  <c r="D120" i="48"/>
  <c r="D80" i="132"/>
  <c r="D79" i="132"/>
  <c r="D78" i="132"/>
  <c r="D79" i="140"/>
  <c r="D79" i="145"/>
  <c r="D79" i="144"/>
  <c r="D80" i="143"/>
  <c r="D79" i="142"/>
  <c r="D79" i="131"/>
  <c r="D78" i="131"/>
  <c r="D79" i="130"/>
  <c r="D78" i="130"/>
  <c r="D77" i="130"/>
  <c r="D79" i="129"/>
  <c r="D79" i="128"/>
  <c r="D78" i="128"/>
  <c r="D77" i="128"/>
  <c r="D83" i="127"/>
  <c r="C83" i="127"/>
  <c r="D79" i="126"/>
  <c r="D79" i="125"/>
  <c r="D79" i="124"/>
  <c r="D78" i="123"/>
  <c r="R16" i="147" l="1"/>
  <c r="R17" i="147" l="1"/>
  <c r="R18" i="147"/>
  <c r="D283" i="48" l="1"/>
  <c r="D77" i="131"/>
  <c r="F77" i="131"/>
  <c r="D82" i="127" l="1"/>
  <c r="C82" i="127"/>
  <c r="C81" i="127"/>
  <c r="D178" i="48" l="1"/>
  <c r="D176" i="48"/>
  <c r="D175" i="48"/>
  <c r="D174" i="48"/>
  <c r="D31" i="48"/>
  <c r="D504" i="48"/>
  <c r="D502" i="48"/>
  <c r="D501" i="48"/>
  <c r="D500" i="48"/>
  <c r="D499" i="48"/>
  <c r="D667" i="48"/>
  <c r="D665" i="48"/>
  <c r="D664" i="48"/>
  <c r="D663" i="48"/>
  <c r="D662" i="48"/>
  <c r="D341" i="48"/>
  <c r="D339" i="48"/>
  <c r="D338" i="48"/>
  <c r="D337" i="48"/>
  <c r="D336" i="48"/>
  <c r="D209" i="48"/>
  <c r="D208" i="48"/>
  <c r="D207" i="48"/>
  <c r="D206" i="48"/>
  <c r="D202" i="48"/>
  <c r="D201" i="48"/>
  <c r="D200" i="48"/>
  <c r="D372" i="48"/>
  <c r="D371" i="48"/>
  <c r="D370" i="48"/>
  <c r="D369" i="48"/>
  <c r="D365" i="48"/>
  <c r="D364" i="48"/>
  <c r="D363" i="48"/>
  <c r="D357" i="48"/>
  <c r="D535" i="48"/>
  <c r="D534" i="48"/>
  <c r="D533" i="48"/>
  <c r="D532" i="48"/>
  <c r="D528" i="48"/>
  <c r="D527" i="48"/>
  <c r="D526" i="48"/>
  <c r="D520" i="48"/>
  <c r="J6" i="146" l="1"/>
  <c r="B23" i="135"/>
  <c r="B19" i="135"/>
  <c r="B15" i="135"/>
  <c r="P11" i="146"/>
  <c r="P10" i="146"/>
  <c r="J5" i="138"/>
  <c r="I5" i="138"/>
  <c r="D2975" i="48"/>
  <c r="D74" i="132" s="1"/>
  <c r="C2975" i="48"/>
  <c r="F74" i="132" s="1"/>
  <c r="B2975" i="48"/>
  <c r="C74" i="132" s="1"/>
  <c r="D2974" i="48"/>
  <c r="D73" i="132" s="1"/>
  <c r="C2974" i="48"/>
  <c r="F73" i="132" s="1"/>
  <c r="B2974" i="48"/>
  <c r="C73" i="132" s="1"/>
  <c r="D2973" i="48"/>
  <c r="D72" i="132" s="1"/>
  <c r="C2973" i="48"/>
  <c r="F72" i="132" s="1"/>
  <c r="B2973" i="48"/>
  <c r="C72" i="132" s="1"/>
  <c r="D2972" i="48"/>
  <c r="D71" i="132" s="1"/>
  <c r="C2972" i="48"/>
  <c r="F71" i="132" s="1"/>
  <c r="B2972" i="48"/>
  <c r="C71" i="132" s="1"/>
  <c r="D2971" i="48"/>
  <c r="D70" i="132" s="1"/>
  <c r="C2971" i="48"/>
  <c r="F70" i="132" s="1"/>
  <c r="B2971" i="48"/>
  <c r="C70" i="132" s="1"/>
  <c r="D2970" i="48"/>
  <c r="D69" i="132" s="1"/>
  <c r="C2970" i="48"/>
  <c r="F69" i="132" s="1"/>
  <c r="B2970" i="48"/>
  <c r="C69" i="132" s="1"/>
  <c r="D2969" i="48"/>
  <c r="D68" i="132" s="1"/>
  <c r="C2969" i="48"/>
  <c r="F68" i="132" s="1"/>
  <c r="B2969" i="48"/>
  <c r="C68" i="132" s="1"/>
  <c r="D2968" i="48"/>
  <c r="D67" i="132" s="1"/>
  <c r="C2968" i="48"/>
  <c r="F67" i="132" s="1"/>
  <c r="B2968" i="48"/>
  <c r="C67" i="132" s="1"/>
  <c r="D2967" i="48"/>
  <c r="C2967" i="48"/>
  <c r="B2967" i="48"/>
  <c r="D2813" i="48"/>
  <c r="D73" i="140" s="1"/>
  <c r="C2813" i="48"/>
  <c r="F73" i="140" s="1"/>
  <c r="B2813" i="48"/>
  <c r="D2812" i="48"/>
  <c r="D72" i="140" s="1"/>
  <c r="C2812" i="48"/>
  <c r="F72" i="140" s="1"/>
  <c r="B2812" i="48"/>
  <c r="D2811" i="48"/>
  <c r="D71" i="140" s="1"/>
  <c r="C2811" i="48"/>
  <c r="F71" i="140" s="1"/>
  <c r="B2811" i="48"/>
  <c r="D2810" i="48"/>
  <c r="D70" i="140" s="1"/>
  <c r="C2810" i="48"/>
  <c r="F70" i="140" s="1"/>
  <c r="B2810" i="48"/>
  <c r="D2809" i="48"/>
  <c r="D69" i="140" s="1"/>
  <c r="C2809" i="48"/>
  <c r="F69" i="140" s="1"/>
  <c r="B2809" i="48"/>
  <c r="D2808" i="48"/>
  <c r="D68" i="140" s="1"/>
  <c r="C2808" i="48"/>
  <c r="F68" i="140" s="1"/>
  <c r="B2808" i="48"/>
  <c r="D2807" i="48"/>
  <c r="D67" i="140" s="1"/>
  <c r="C2807" i="48"/>
  <c r="F67" i="140" s="1"/>
  <c r="B2807" i="48"/>
  <c r="D2806" i="48"/>
  <c r="D66" i="140" s="1"/>
  <c r="C2806" i="48"/>
  <c r="F66" i="140" s="1"/>
  <c r="B2806" i="48"/>
  <c r="D2805" i="48"/>
  <c r="C2805" i="48"/>
  <c r="B2805" i="48"/>
  <c r="D2651" i="48"/>
  <c r="D73" i="145" s="1"/>
  <c r="C2651" i="48"/>
  <c r="F73" i="145" s="1"/>
  <c r="B2651" i="48"/>
  <c r="C73" i="145" s="1"/>
  <c r="D2650" i="48"/>
  <c r="D72" i="145" s="1"/>
  <c r="C2650" i="48"/>
  <c r="F72" i="145" s="1"/>
  <c r="B2650" i="48"/>
  <c r="C72" i="145" s="1"/>
  <c r="D2649" i="48"/>
  <c r="D71" i="145" s="1"/>
  <c r="C2649" i="48"/>
  <c r="F71" i="145" s="1"/>
  <c r="B2649" i="48"/>
  <c r="C71" i="145" s="1"/>
  <c r="D2648" i="48"/>
  <c r="D70" i="145" s="1"/>
  <c r="C2648" i="48"/>
  <c r="F70" i="145" s="1"/>
  <c r="B2648" i="48"/>
  <c r="C70" i="145" s="1"/>
  <c r="D2647" i="48"/>
  <c r="D69" i="145" s="1"/>
  <c r="C2647" i="48"/>
  <c r="F69" i="145" s="1"/>
  <c r="B2647" i="48"/>
  <c r="C69" i="145" s="1"/>
  <c r="D2646" i="48"/>
  <c r="D68" i="145" s="1"/>
  <c r="C2646" i="48"/>
  <c r="F68" i="145" s="1"/>
  <c r="B2646" i="48"/>
  <c r="C68" i="145" s="1"/>
  <c r="D2645" i="48"/>
  <c r="D67" i="145" s="1"/>
  <c r="C2645" i="48"/>
  <c r="F67" i="145" s="1"/>
  <c r="B2645" i="48"/>
  <c r="C67" i="145" s="1"/>
  <c r="D2644" i="48"/>
  <c r="D66" i="145" s="1"/>
  <c r="C2644" i="48"/>
  <c r="F66" i="145" s="1"/>
  <c r="B2644" i="48"/>
  <c r="C66" i="145" s="1"/>
  <c r="D2643" i="48"/>
  <c r="C2643" i="48"/>
  <c r="B2643" i="48"/>
  <c r="D2489" i="48"/>
  <c r="D73" i="144" s="1"/>
  <c r="C2489" i="48"/>
  <c r="F73" i="144" s="1"/>
  <c r="B2489" i="48"/>
  <c r="C73" i="144" s="1"/>
  <c r="D2488" i="48"/>
  <c r="D72" i="144" s="1"/>
  <c r="C2488" i="48"/>
  <c r="F72" i="144" s="1"/>
  <c r="B2488" i="48"/>
  <c r="C72" i="144" s="1"/>
  <c r="D2487" i="48"/>
  <c r="D71" i="144" s="1"/>
  <c r="C2487" i="48"/>
  <c r="F71" i="144" s="1"/>
  <c r="B2487" i="48"/>
  <c r="C71" i="144" s="1"/>
  <c r="D2486" i="48"/>
  <c r="D70" i="144" s="1"/>
  <c r="C2486" i="48"/>
  <c r="F70" i="144" s="1"/>
  <c r="B2486" i="48"/>
  <c r="C70" i="144" s="1"/>
  <c r="D2485" i="48"/>
  <c r="D69" i="144" s="1"/>
  <c r="C2485" i="48"/>
  <c r="F69" i="144" s="1"/>
  <c r="B2485" i="48"/>
  <c r="C69" i="144" s="1"/>
  <c r="D2484" i="48"/>
  <c r="D68" i="144" s="1"/>
  <c r="C2484" i="48"/>
  <c r="F68" i="144" s="1"/>
  <c r="B2484" i="48"/>
  <c r="C68" i="144" s="1"/>
  <c r="D2483" i="48"/>
  <c r="D67" i="144" s="1"/>
  <c r="C2483" i="48"/>
  <c r="F67" i="144" s="1"/>
  <c r="B2483" i="48"/>
  <c r="C67" i="144" s="1"/>
  <c r="D2482" i="48"/>
  <c r="D66" i="144" s="1"/>
  <c r="C2482" i="48"/>
  <c r="F66" i="144" s="1"/>
  <c r="B2482" i="48"/>
  <c r="C66" i="144" s="1"/>
  <c r="D2481" i="48"/>
  <c r="C2481" i="48"/>
  <c r="B2481" i="48"/>
  <c r="D2327" i="48"/>
  <c r="D73" i="143" s="1"/>
  <c r="C2327" i="48"/>
  <c r="F73" i="143" s="1"/>
  <c r="B2327" i="48"/>
  <c r="C73" i="143" s="1"/>
  <c r="D2326" i="48"/>
  <c r="D72" i="143" s="1"/>
  <c r="C2326" i="48"/>
  <c r="F72" i="143" s="1"/>
  <c r="B2326" i="48"/>
  <c r="C72" i="143" s="1"/>
  <c r="D2325" i="48"/>
  <c r="D71" i="143" s="1"/>
  <c r="C2325" i="48"/>
  <c r="F71" i="143" s="1"/>
  <c r="B2325" i="48"/>
  <c r="C71" i="143" s="1"/>
  <c r="D2324" i="48"/>
  <c r="D70" i="143" s="1"/>
  <c r="C2324" i="48"/>
  <c r="F70" i="143" s="1"/>
  <c r="B2324" i="48"/>
  <c r="C70" i="143" s="1"/>
  <c r="D2323" i="48"/>
  <c r="D69" i="143" s="1"/>
  <c r="C2323" i="48"/>
  <c r="F69" i="143" s="1"/>
  <c r="B2323" i="48"/>
  <c r="C69" i="143" s="1"/>
  <c r="D2322" i="48"/>
  <c r="D68" i="143" s="1"/>
  <c r="C2322" i="48"/>
  <c r="F68" i="143" s="1"/>
  <c r="B2322" i="48"/>
  <c r="C68" i="143" s="1"/>
  <c r="D2321" i="48"/>
  <c r="D67" i="143" s="1"/>
  <c r="C2321" i="48"/>
  <c r="F67" i="143" s="1"/>
  <c r="B2321" i="48"/>
  <c r="C67" i="143" s="1"/>
  <c r="D2320" i="48"/>
  <c r="C2320" i="48"/>
  <c r="B2320" i="48"/>
  <c r="D2319" i="48"/>
  <c r="D65" i="143" s="1"/>
  <c r="C2319" i="48"/>
  <c r="F65" i="143" s="1"/>
  <c r="B2319" i="48"/>
  <c r="C65" i="143" s="1"/>
  <c r="D2165" i="48"/>
  <c r="D73" i="142" s="1"/>
  <c r="C2165" i="48"/>
  <c r="F73" i="142" s="1"/>
  <c r="B2165" i="48"/>
  <c r="C73" i="142" s="1"/>
  <c r="D2164" i="48"/>
  <c r="D72" i="142" s="1"/>
  <c r="C2164" i="48"/>
  <c r="F72" i="142" s="1"/>
  <c r="B2164" i="48"/>
  <c r="C72" i="142" s="1"/>
  <c r="D2163" i="48"/>
  <c r="D71" i="142" s="1"/>
  <c r="C2163" i="48"/>
  <c r="F71" i="142" s="1"/>
  <c r="B2163" i="48"/>
  <c r="C71" i="142" s="1"/>
  <c r="D2162" i="48"/>
  <c r="D70" i="142" s="1"/>
  <c r="C2162" i="48"/>
  <c r="F70" i="142" s="1"/>
  <c r="B2162" i="48"/>
  <c r="C70" i="142" s="1"/>
  <c r="D2161" i="48"/>
  <c r="D69" i="142" s="1"/>
  <c r="C2161" i="48"/>
  <c r="F69" i="142" s="1"/>
  <c r="B2161" i="48"/>
  <c r="C69" i="142" s="1"/>
  <c r="D2160" i="48"/>
  <c r="D68" i="142" s="1"/>
  <c r="C2160" i="48"/>
  <c r="F68" i="142" s="1"/>
  <c r="B2160" i="48"/>
  <c r="C68" i="142" s="1"/>
  <c r="D2159" i="48"/>
  <c r="D67" i="142" s="1"/>
  <c r="C2159" i="48"/>
  <c r="F67" i="142" s="1"/>
  <c r="B2159" i="48"/>
  <c r="C67" i="142" s="1"/>
  <c r="D2158" i="48"/>
  <c r="D66" i="142" s="1"/>
  <c r="C2158" i="48"/>
  <c r="F66" i="142" s="1"/>
  <c r="B2158" i="48"/>
  <c r="C66" i="142" s="1"/>
  <c r="D2157" i="48"/>
  <c r="C2157" i="48"/>
  <c r="B2157" i="48"/>
  <c r="D2003" i="48"/>
  <c r="D73" i="131" s="1"/>
  <c r="C2003" i="48"/>
  <c r="F73" i="131" s="1"/>
  <c r="B2003" i="48"/>
  <c r="C73" i="140" s="1"/>
  <c r="D2002" i="48"/>
  <c r="D72" i="131" s="1"/>
  <c r="C2002" i="48"/>
  <c r="F72" i="131" s="1"/>
  <c r="B2002" i="48"/>
  <c r="C72" i="140" s="1"/>
  <c r="D2001" i="48"/>
  <c r="D71" i="131" s="1"/>
  <c r="C2001" i="48"/>
  <c r="F71" i="131" s="1"/>
  <c r="B2001" i="48"/>
  <c r="C71" i="140" s="1"/>
  <c r="D2000" i="48"/>
  <c r="D70" i="131" s="1"/>
  <c r="C2000" i="48"/>
  <c r="F70" i="131" s="1"/>
  <c r="B2000" i="48"/>
  <c r="C70" i="140" s="1"/>
  <c r="D1999" i="48"/>
  <c r="D69" i="131" s="1"/>
  <c r="C1999" i="48"/>
  <c r="F69" i="131" s="1"/>
  <c r="B1999" i="48"/>
  <c r="C69" i="140" s="1"/>
  <c r="D1998" i="48"/>
  <c r="D68" i="131" s="1"/>
  <c r="C1998" i="48"/>
  <c r="F68" i="131" s="1"/>
  <c r="B1998" i="48"/>
  <c r="C68" i="140" s="1"/>
  <c r="D1997" i="48"/>
  <c r="D67" i="131" s="1"/>
  <c r="C1997" i="48"/>
  <c r="F67" i="131" s="1"/>
  <c r="B1997" i="48"/>
  <c r="C67" i="140" s="1"/>
  <c r="D1996" i="48"/>
  <c r="D66" i="131" s="1"/>
  <c r="C1996" i="48"/>
  <c r="F66" i="131" s="1"/>
  <c r="B1996" i="48"/>
  <c r="C66" i="140" s="1"/>
  <c r="D1995" i="48"/>
  <c r="C1995" i="48"/>
  <c r="B1995" i="48"/>
  <c r="D1841" i="48"/>
  <c r="D73" i="130" s="1"/>
  <c r="C1841" i="48"/>
  <c r="F73" i="130" s="1"/>
  <c r="B1841" i="48"/>
  <c r="C73" i="130" s="1"/>
  <c r="D1840" i="48"/>
  <c r="D72" i="130" s="1"/>
  <c r="C1840" i="48"/>
  <c r="F72" i="130" s="1"/>
  <c r="B1840" i="48"/>
  <c r="C72" i="130" s="1"/>
  <c r="D1839" i="48"/>
  <c r="D71" i="130" s="1"/>
  <c r="C1839" i="48"/>
  <c r="F71" i="130" s="1"/>
  <c r="B1839" i="48"/>
  <c r="C71" i="130" s="1"/>
  <c r="D1838" i="48"/>
  <c r="D70" i="130" s="1"/>
  <c r="C1838" i="48"/>
  <c r="F70" i="130" s="1"/>
  <c r="B1838" i="48"/>
  <c r="C70" i="130" s="1"/>
  <c r="D1837" i="48"/>
  <c r="D69" i="130" s="1"/>
  <c r="C1837" i="48"/>
  <c r="F69" i="130" s="1"/>
  <c r="B1837" i="48"/>
  <c r="C69" i="130" s="1"/>
  <c r="D1836" i="48"/>
  <c r="D68" i="130" s="1"/>
  <c r="C1836" i="48"/>
  <c r="F68" i="130" s="1"/>
  <c r="B1836" i="48"/>
  <c r="C68" i="130" s="1"/>
  <c r="D1835" i="48"/>
  <c r="D67" i="130" s="1"/>
  <c r="C1835" i="48"/>
  <c r="F67" i="130" s="1"/>
  <c r="B1835" i="48"/>
  <c r="C67" i="130" s="1"/>
  <c r="D1834" i="48"/>
  <c r="D66" i="130" s="1"/>
  <c r="C1834" i="48"/>
  <c r="F66" i="130" s="1"/>
  <c r="B1834" i="48"/>
  <c r="C66" i="130" s="1"/>
  <c r="D1833" i="48"/>
  <c r="C1833" i="48"/>
  <c r="B1833" i="48"/>
  <c r="D1679" i="48"/>
  <c r="D73" i="129" s="1"/>
  <c r="C1679" i="48"/>
  <c r="F73" i="129" s="1"/>
  <c r="B1679" i="48"/>
  <c r="C73" i="129" s="1"/>
  <c r="D1678" i="48"/>
  <c r="D72" i="129" s="1"/>
  <c r="C1678" i="48"/>
  <c r="F72" i="129" s="1"/>
  <c r="B1678" i="48"/>
  <c r="C72" i="129" s="1"/>
  <c r="D1677" i="48"/>
  <c r="D71" i="129" s="1"/>
  <c r="C1677" i="48"/>
  <c r="F71" i="129" s="1"/>
  <c r="B1677" i="48"/>
  <c r="C71" i="129" s="1"/>
  <c r="D1676" i="48"/>
  <c r="D70" i="129" s="1"/>
  <c r="C1676" i="48"/>
  <c r="F70" i="129" s="1"/>
  <c r="B1676" i="48"/>
  <c r="C70" i="129" s="1"/>
  <c r="D1675" i="48"/>
  <c r="D69" i="129" s="1"/>
  <c r="C1675" i="48"/>
  <c r="F69" i="129" s="1"/>
  <c r="B1675" i="48"/>
  <c r="C69" i="129" s="1"/>
  <c r="D1674" i="48"/>
  <c r="D68" i="129" s="1"/>
  <c r="C1674" i="48"/>
  <c r="F68" i="129" s="1"/>
  <c r="B1674" i="48"/>
  <c r="C68" i="129" s="1"/>
  <c r="D1673" i="48"/>
  <c r="D67" i="129" s="1"/>
  <c r="C1673" i="48"/>
  <c r="F67" i="129" s="1"/>
  <c r="B1673" i="48"/>
  <c r="C67" i="129" s="1"/>
  <c r="D1672" i="48"/>
  <c r="D66" i="129" s="1"/>
  <c r="C1672" i="48"/>
  <c r="F66" i="129" s="1"/>
  <c r="B1672" i="48"/>
  <c r="C66" i="129" s="1"/>
  <c r="D1671" i="48"/>
  <c r="C1671" i="48"/>
  <c r="B1671" i="48"/>
  <c r="D1517" i="48"/>
  <c r="D73" i="128" s="1"/>
  <c r="C1517" i="48"/>
  <c r="F73" i="128" s="1"/>
  <c r="B1517" i="48"/>
  <c r="C73" i="128" s="1"/>
  <c r="D1516" i="48"/>
  <c r="D72" i="128" s="1"/>
  <c r="C1516" i="48"/>
  <c r="F72" i="128" s="1"/>
  <c r="B1516" i="48"/>
  <c r="C72" i="128" s="1"/>
  <c r="D1515" i="48"/>
  <c r="D71" i="128" s="1"/>
  <c r="C1515" i="48"/>
  <c r="F71" i="128" s="1"/>
  <c r="B1515" i="48"/>
  <c r="C71" i="128" s="1"/>
  <c r="D1514" i="48"/>
  <c r="D70" i="128" s="1"/>
  <c r="C1514" i="48"/>
  <c r="F70" i="128" s="1"/>
  <c r="B1514" i="48"/>
  <c r="C70" i="128" s="1"/>
  <c r="D1513" i="48"/>
  <c r="D69" i="128" s="1"/>
  <c r="C1513" i="48"/>
  <c r="F69" i="128" s="1"/>
  <c r="B1513" i="48"/>
  <c r="C69" i="128" s="1"/>
  <c r="D1512" i="48"/>
  <c r="D68" i="128" s="1"/>
  <c r="C1512" i="48"/>
  <c r="F68" i="128" s="1"/>
  <c r="B1512" i="48"/>
  <c r="C68" i="128" s="1"/>
  <c r="D1511" i="48"/>
  <c r="D67" i="128" s="1"/>
  <c r="C1511" i="48"/>
  <c r="F67" i="128" s="1"/>
  <c r="B1511" i="48"/>
  <c r="C67" i="128" s="1"/>
  <c r="D1510" i="48"/>
  <c r="D66" i="128" s="1"/>
  <c r="C1510" i="48"/>
  <c r="F66" i="128" s="1"/>
  <c r="B1510" i="48"/>
  <c r="C66" i="128" s="1"/>
  <c r="D1509" i="48"/>
  <c r="C1509" i="48"/>
  <c r="B1509" i="48"/>
  <c r="D1354" i="48"/>
  <c r="D74" i="127" s="1"/>
  <c r="C1354" i="48"/>
  <c r="F74" i="127" s="1"/>
  <c r="B1354" i="48"/>
  <c r="C74" i="127" s="1"/>
  <c r="D1353" i="48"/>
  <c r="D73" i="127" s="1"/>
  <c r="C1353" i="48"/>
  <c r="F73" i="127" s="1"/>
  <c r="B1353" i="48"/>
  <c r="C73" i="127" s="1"/>
  <c r="D1352" i="48"/>
  <c r="D72" i="127" s="1"/>
  <c r="C1352" i="48"/>
  <c r="F72" i="127" s="1"/>
  <c r="B1352" i="48"/>
  <c r="C72" i="127" s="1"/>
  <c r="D1351" i="48"/>
  <c r="D71" i="127" s="1"/>
  <c r="C1351" i="48"/>
  <c r="F71" i="127" s="1"/>
  <c r="B1351" i="48"/>
  <c r="C71" i="127" s="1"/>
  <c r="D1350" i="48"/>
  <c r="D70" i="127" s="1"/>
  <c r="C1350" i="48"/>
  <c r="F70" i="127" s="1"/>
  <c r="B1350" i="48"/>
  <c r="C70" i="127" s="1"/>
  <c r="D1349" i="48"/>
  <c r="D69" i="127" s="1"/>
  <c r="C1349" i="48"/>
  <c r="F69" i="127" s="1"/>
  <c r="B1349" i="48"/>
  <c r="C69" i="127" s="1"/>
  <c r="D1348" i="48"/>
  <c r="D68" i="127" s="1"/>
  <c r="C1348" i="48"/>
  <c r="F68" i="127" s="1"/>
  <c r="B1348" i="48"/>
  <c r="C68" i="127" s="1"/>
  <c r="D1347" i="48"/>
  <c r="D67" i="127" s="1"/>
  <c r="C1347" i="48"/>
  <c r="F67" i="127" s="1"/>
  <c r="B1347" i="48"/>
  <c r="C67" i="127" s="1"/>
  <c r="D1346" i="48"/>
  <c r="C1346" i="48"/>
  <c r="B1346" i="48"/>
  <c r="D1192" i="48"/>
  <c r="D73" i="126" s="1"/>
  <c r="C1192" i="48"/>
  <c r="F73" i="126" s="1"/>
  <c r="B1192" i="48"/>
  <c r="C73" i="126" s="1"/>
  <c r="D1191" i="48"/>
  <c r="D72" i="126" s="1"/>
  <c r="C1191" i="48"/>
  <c r="F72" i="126" s="1"/>
  <c r="B1191" i="48"/>
  <c r="C72" i="126" s="1"/>
  <c r="D1190" i="48"/>
  <c r="D71" i="126" s="1"/>
  <c r="C1190" i="48"/>
  <c r="F71" i="126" s="1"/>
  <c r="B1190" i="48"/>
  <c r="C71" i="126" s="1"/>
  <c r="D1189" i="48"/>
  <c r="D70" i="126" s="1"/>
  <c r="C1189" i="48"/>
  <c r="F70" i="126" s="1"/>
  <c r="B1189" i="48"/>
  <c r="C70" i="126" s="1"/>
  <c r="D1188" i="48"/>
  <c r="D69" i="126" s="1"/>
  <c r="C1188" i="48"/>
  <c r="F69" i="126" s="1"/>
  <c r="B1188" i="48"/>
  <c r="C69" i="126" s="1"/>
  <c r="D1187" i="48"/>
  <c r="D68" i="126" s="1"/>
  <c r="C1187" i="48"/>
  <c r="F68" i="126" s="1"/>
  <c r="B1187" i="48"/>
  <c r="C68" i="126" s="1"/>
  <c r="D1186" i="48"/>
  <c r="D67" i="126" s="1"/>
  <c r="C1186" i="48"/>
  <c r="F67" i="126" s="1"/>
  <c r="B1186" i="48"/>
  <c r="C67" i="126" s="1"/>
  <c r="D1185" i="48"/>
  <c r="D66" i="126" s="1"/>
  <c r="C1185" i="48"/>
  <c r="F66" i="126" s="1"/>
  <c r="B1185" i="48"/>
  <c r="C66" i="126" s="1"/>
  <c r="D1184" i="48"/>
  <c r="C1184" i="48"/>
  <c r="B1184" i="48"/>
  <c r="D1030" i="48"/>
  <c r="D73" i="125" s="1"/>
  <c r="C1030" i="48"/>
  <c r="F73" i="125" s="1"/>
  <c r="B1030" i="48"/>
  <c r="C73" i="125" s="1"/>
  <c r="D1029" i="48"/>
  <c r="D72" i="125" s="1"/>
  <c r="C1029" i="48"/>
  <c r="F72" i="125" s="1"/>
  <c r="B1029" i="48"/>
  <c r="C72" i="125" s="1"/>
  <c r="D1028" i="48"/>
  <c r="D71" i="125" s="1"/>
  <c r="C1028" i="48"/>
  <c r="F71" i="125" s="1"/>
  <c r="B1028" i="48"/>
  <c r="C71" i="125" s="1"/>
  <c r="D1027" i="48"/>
  <c r="D70" i="125" s="1"/>
  <c r="C1027" i="48"/>
  <c r="F70" i="125" s="1"/>
  <c r="B1027" i="48"/>
  <c r="C70" i="125" s="1"/>
  <c r="D1026" i="48"/>
  <c r="D69" i="125" s="1"/>
  <c r="C1026" i="48"/>
  <c r="F69" i="125" s="1"/>
  <c r="B1026" i="48"/>
  <c r="C69" i="125" s="1"/>
  <c r="D1025" i="48"/>
  <c r="D68" i="125" s="1"/>
  <c r="C1025" i="48"/>
  <c r="F68" i="125" s="1"/>
  <c r="B1025" i="48"/>
  <c r="C68" i="125" s="1"/>
  <c r="D1024" i="48"/>
  <c r="D67" i="125" s="1"/>
  <c r="C1024" i="48"/>
  <c r="F67" i="125" s="1"/>
  <c r="B1024" i="48"/>
  <c r="C67" i="125" s="1"/>
  <c r="D1023" i="48"/>
  <c r="D66" i="125" s="1"/>
  <c r="C1023" i="48"/>
  <c r="F66" i="125" s="1"/>
  <c r="B1023" i="48"/>
  <c r="C66" i="125" s="1"/>
  <c r="D1022" i="48"/>
  <c r="C1022" i="48"/>
  <c r="B1022" i="48"/>
  <c r="D868" i="48"/>
  <c r="D73" i="124" s="1"/>
  <c r="C868" i="48"/>
  <c r="F73" i="124" s="1"/>
  <c r="B868" i="48"/>
  <c r="C73" i="124" s="1"/>
  <c r="D867" i="48"/>
  <c r="D72" i="124" s="1"/>
  <c r="C867" i="48"/>
  <c r="F72" i="124" s="1"/>
  <c r="B867" i="48"/>
  <c r="C72" i="124" s="1"/>
  <c r="D866" i="48"/>
  <c r="D71" i="124" s="1"/>
  <c r="C866" i="48"/>
  <c r="F71" i="124" s="1"/>
  <c r="B866" i="48"/>
  <c r="C71" i="124" s="1"/>
  <c r="D865" i="48"/>
  <c r="D70" i="124" s="1"/>
  <c r="C865" i="48"/>
  <c r="F70" i="124" s="1"/>
  <c r="B865" i="48"/>
  <c r="C70" i="124" s="1"/>
  <c r="D864" i="48"/>
  <c r="D69" i="124" s="1"/>
  <c r="C864" i="48"/>
  <c r="F69" i="124" s="1"/>
  <c r="B864" i="48"/>
  <c r="C69" i="124" s="1"/>
  <c r="D863" i="48"/>
  <c r="D68" i="124" s="1"/>
  <c r="C863" i="48"/>
  <c r="F68" i="124" s="1"/>
  <c r="B863" i="48"/>
  <c r="C68" i="124" s="1"/>
  <c r="D862" i="48"/>
  <c r="D67" i="124" s="1"/>
  <c r="C862" i="48"/>
  <c r="F67" i="124" s="1"/>
  <c r="B862" i="48"/>
  <c r="C67" i="124" s="1"/>
  <c r="D861" i="48"/>
  <c r="D66" i="124" s="1"/>
  <c r="C861" i="48"/>
  <c r="F66" i="124" s="1"/>
  <c r="B861" i="48"/>
  <c r="C66" i="124" s="1"/>
  <c r="D860" i="48"/>
  <c r="C860" i="48"/>
  <c r="B860" i="48"/>
  <c r="D706" i="48"/>
  <c r="D72" i="123" s="1"/>
  <c r="C706" i="48"/>
  <c r="F72" i="123" s="1"/>
  <c r="B706" i="48"/>
  <c r="C72" i="123" s="1"/>
  <c r="D705" i="48"/>
  <c r="D71" i="123" s="1"/>
  <c r="C705" i="48"/>
  <c r="F71" i="123" s="1"/>
  <c r="B705" i="48"/>
  <c r="C71" i="123" s="1"/>
  <c r="D704" i="48"/>
  <c r="D70" i="123" s="1"/>
  <c r="C704" i="48"/>
  <c r="F70" i="123" s="1"/>
  <c r="B704" i="48"/>
  <c r="C70" i="123" s="1"/>
  <c r="D703" i="48"/>
  <c r="D69" i="123" s="1"/>
  <c r="C703" i="48"/>
  <c r="F69" i="123" s="1"/>
  <c r="B703" i="48"/>
  <c r="C69" i="123" s="1"/>
  <c r="D702" i="48"/>
  <c r="D68" i="123" s="1"/>
  <c r="C702" i="48"/>
  <c r="F68" i="123" s="1"/>
  <c r="B702" i="48"/>
  <c r="C68" i="123" s="1"/>
  <c r="D701" i="48"/>
  <c r="D67" i="123" s="1"/>
  <c r="C701" i="48"/>
  <c r="F67" i="123" s="1"/>
  <c r="B701" i="48"/>
  <c r="C67" i="123" s="1"/>
  <c r="D700" i="48"/>
  <c r="D66" i="123" s="1"/>
  <c r="C700" i="48"/>
  <c r="F66" i="123" s="1"/>
  <c r="B700" i="48"/>
  <c r="C66" i="123" s="1"/>
  <c r="D699" i="48"/>
  <c r="D65" i="123" s="1"/>
  <c r="C699" i="48"/>
  <c r="F65" i="123" s="1"/>
  <c r="B699" i="48"/>
  <c r="C65" i="123" s="1"/>
  <c r="D698" i="48"/>
  <c r="C698" i="48"/>
  <c r="B698" i="48"/>
  <c r="D544" i="48"/>
  <c r="D74" i="122" s="1"/>
  <c r="C544" i="48"/>
  <c r="F74" i="122" s="1"/>
  <c r="B544" i="48"/>
  <c r="C74" i="122" s="1"/>
  <c r="D543" i="48"/>
  <c r="D73" i="122" s="1"/>
  <c r="C543" i="48"/>
  <c r="F73" i="122" s="1"/>
  <c r="B543" i="48"/>
  <c r="C73" i="122" s="1"/>
  <c r="D542" i="48"/>
  <c r="D72" i="122" s="1"/>
  <c r="C542" i="48"/>
  <c r="F72" i="122" s="1"/>
  <c r="B542" i="48"/>
  <c r="C72" i="122" s="1"/>
  <c r="D541" i="48"/>
  <c r="D71" i="122" s="1"/>
  <c r="C541" i="48"/>
  <c r="F71" i="122" s="1"/>
  <c r="B541" i="48"/>
  <c r="C71" i="122" s="1"/>
  <c r="D540" i="48"/>
  <c r="D70" i="122" s="1"/>
  <c r="C540" i="48"/>
  <c r="F70" i="122" s="1"/>
  <c r="B540" i="48"/>
  <c r="C70" i="122" s="1"/>
  <c r="D539" i="48"/>
  <c r="D69" i="122" s="1"/>
  <c r="C539" i="48"/>
  <c r="F69" i="122" s="1"/>
  <c r="B539" i="48"/>
  <c r="C69" i="122" s="1"/>
  <c r="D538" i="48"/>
  <c r="D68" i="122" s="1"/>
  <c r="C538" i="48"/>
  <c r="F68" i="122" s="1"/>
  <c r="B538" i="48"/>
  <c r="C68" i="122" s="1"/>
  <c r="D537" i="48"/>
  <c r="D67" i="122" s="1"/>
  <c r="C537" i="48"/>
  <c r="F67" i="122" s="1"/>
  <c r="B537" i="48"/>
  <c r="C67" i="122" s="1"/>
  <c r="D536" i="48"/>
  <c r="C536" i="48"/>
  <c r="B536" i="48"/>
  <c r="D381" i="48"/>
  <c r="D74" i="121" s="1"/>
  <c r="C381" i="48"/>
  <c r="F74" i="121" s="1"/>
  <c r="B381" i="48"/>
  <c r="C74" i="121" s="1"/>
  <c r="D380" i="48"/>
  <c r="D73" i="121" s="1"/>
  <c r="C380" i="48"/>
  <c r="F73" i="121" s="1"/>
  <c r="B380" i="48"/>
  <c r="C73" i="121" s="1"/>
  <c r="D379" i="48"/>
  <c r="D72" i="121" s="1"/>
  <c r="C379" i="48"/>
  <c r="F72" i="121" s="1"/>
  <c r="B379" i="48"/>
  <c r="C72" i="121" s="1"/>
  <c r="D378" i="48"/>
  <c r="D71" i="121" s="1"/>
  <c r="C378" i="48"/>
  <c r="F71" i="121" s="1"/>
  <c r="B378" i="48"/>
  <c r="C71" i="121" s="1"/>
  <c r="D377" i="48"/>
  <c r="D70" i="121" s="1"/>
  <c r="C377" i="48"/>
  <c r="F70" i="121" s="1"/>
  <c r="B377" i="48"/>
  <c r="C70" i="121" s="1"/>
  <c r="D376" i="48"/>
  <c r="D69" i="121" s="1"/>
  <c r="C376" i="48"/>
  <c r="F69" i="121" s="1"/>
  <c r="B376" i="48"/>
  <c r="C69" i="121" s="1"/>
  <c r="D375" i="48"/>
  <c r="D68" i="121" s="1"/>
  <c r="C375" i="48"/>
  <c r="F68" i="121" s="1"/>
  <c r="B375" i="48"/>
  <c r="C68" i="121" s="1"/>
  <c r="D374" i="48"/>
  <c r="D67" i="121" s="1"/>
  <c r="C374" i="48"/>
  <c r="F67" i="121" s="1"/>
  <c r="B374" i="48"/>
  <c r="C67" i="121" s="1"/>
  <c r="D373" i="48"/>
  <c r="C373" i="48"/>
  <c r="B373" i="48"/>
  <c r="D218" i="48"/>
  <c r="D74" i="119" s="1"/>
  <c r="C218" i="48"/>
  <c r="F74" i="119" s="1"/>
  <c r="B218" i="48"/>
  <c r="C74" i="119" s="1"/>
  <c r="D217" i="48"/>
  <c r="D73" i="119" s="1"/>
  <c r="C217" i="48"/>
  <c r="F73" i="119" s="1"/>
  <c r="B217" i="48"/>
  <c r="C73" i="119" s="1"/>
  <c r="D216" i="48"/>
  <c r="D72" i="119" s="1"/>
  <c r="C216" i="48"/>
  <c r="F72" i="119" s="1"/>
  <c r="B216" i="48"/>
  <c r="C72" i="119" s="1"/>
  <c r="D215" i="48"/>
  <c r="D71" i="119" s="1"/>
  <c r="C215" i="48"/>
  <c r="F71" i="119" s="1"/>
  <c r="B215" i="48"/>
  <c r="C71" i="119" s="1"/>
  <c r="D214" i="48"/>
  <c r="D70" i="119" s="1"/>
  <c r="C214" i="48"/>
  <c r="F70" i="119" s="1"/>
  <c r="B214" i="48"/>
  <c r="C70" i="119" s="1"/>
  <c r="D213" i="48"/>
  <c r="D69" i="119" s="1"/>
  <c r="C213" i="48"/>
  <c r="F69" i="119" s="1"/>
  <c r="B213" i="48"/>
  <c r="C69" i="119" s="1"/>
  <c r="D212" i="48"/>
  <c r="D68" i="119" s="1"/>
  <c r="C212" i="48"/>
  <c r="F68" i="119" s="1"/>
  <c r="B212" i="48"/>
  <c r="C68" i="119" s="1"/>
  <c r="D211" i="48"/>
  <c r="D67" i="119" s="1"/>
  <c r="C211" i="48"/>
  <c r="F67" i="119" s="1"/>
  <c r="B211" i="48"/>
  <c r="C67" i="119" s="1"/>
  <c r="D210" i="48"/>
  <c r="C210" i="48"/>
  <c r="B210" i="48"/>
  <c r="B27" i="48"/>
  <c r="B22" i="48" s="1"/>
  <c r="B510" i="48"/>
  <c r="C144" i="48"/>
  <c r="C143" i="48"/>
  <c r="C142" i="48"/>
  <c r="B305" i="48" l="1"/>
  <c r="B3062" i="48"/>
  <c r="B1928" i="48"/>
  <c r="B2738" i="48"/>
  <c r="B2090" i="48"/>
  <c r="B1442" i="48"/>
  <c r="B793" i="48"/>
  <c r="B955" i="48"/>
  <c r="B1117" i="48"/>
  <c r="B468" i="48"/>
  <c r="B142" i="48"/>
  <c r="B1279" i="48"/>
  <c r="B2576" i="48"/>
  <c r="B2900" i="48"/>
  <c r="B2252" i="48"/>
  <c r="B1604" i="48"/>
  <c r="B2414" i="48"/>
  <c r="B1766" i="48"/>
  <c r="B631" i="48"/>
  <c r="B1280" i="48"/>
  <c r="B2901" i="48"/>
  <c r="B2253" i="48"/>
  <c r="B1605" i="48"/>
  <c r="B956" i="48"/>
  <c r="B306" i="48"/>
  <c r="B469" i="48"/>
  <c r="B1929" i="48"/>
  <c r="B2739" i="48"/>
  <c r="B2091" i="48"/>
  <c r="B794" i="48"/>
  <c r="B2577" i="48"/>
  <c r="B632" i="48"/>
  <c r="B3063" i="48"/>
  <c r="B2415" i="48"/>
  <c r="B1767" i="48"/>
  <c r="B1118" i="48"/>
  <c r="B143" i="48"/>
  <c r="B1443" i="48"/>
  <c r="B1281" i="48"/>
  <c r="B2092" i="48"/>
  <c r="B2902" i="48"/>
  <c r="B2254" i="48"/>
  <c r="B957" i="48"/>
  <c r="B3064" i="48"/>
  <c r="B2416" i="48"/>
  <c r="B1768" i="48"/>
  <c r="B1119" i="48"/>
  <c r="B470" i="48"/>
  <c r="B144" i="48"/>
  <c r="B2740" i="48"/>
  <c r="B1444" i="48"/>
  <c r="B1606" i="48"/>
  <c r="B307" i="48"/>
  <c r="B2578" i="48"/>
  <c r="B1930" i="48"/>
  <c r="B633" i="48"/>
  <c r="B795" i="48"/>
  <c r="C73" i="131"/>
  <c r="C70" i="131"/>
  <c r="C68" i="131"/>
  <c r="C67" i="131"/>
  <c r="C72" i="131"/>
  <c r="C69" i="131"/>
  <c r="C66" i="131"/>
  <c r="C71" i="131"/>
  <c r="D55" i="48"/>
  <c r="D73" i="111" s="1"/>
  <c r="C55" i="48"/>
  <c r="F73" i="111" s="1"/>
  <c r="B55" i="48"/>
  <c r="C73" i="111" s="1"/>
  <c r="D54" i="48"/>
  <c r="D72" i="111" s="1"/>
  <c r="C54" i="48"/>
  <c r="F72" i="111" s="1"/>
  <c r="B54" i="48"/>
  <c r="C72" i="111" s="1"/>
  <c r="D53" i="48"/>
  <c r="D71" i="111" s="1"/>
  <c r="C53" i="48"/>
  <c r="F71" i="111" s="1"/>
  <c r="B53" i="48"/>
  <c r="C71" i="111" s="1"/>
  <c r="D52" i="48"/>
  <c r="D70" i="111" s="1"/>
  <c r="C52" i="48"/>
  <c r="F70" i="111" s="1"/>
  <c r="B52" i="48"/>
  <c r="C70" i="111" s="1"/>
  <c r="D51" i="48"/>
  <c r="D69" i="111" s="1"/>
  <c r="C51" i="48"/>
  <c r="F69" i="111" s="1"/>
  <c r="B51" i="48"/>
  <c r="C69" i="111" s="1"/>
  <c r="D50" i="48"/>
  <c r="D68" i="111" s="1"/>
  <c r="C50" i="48"/>
  <c r="F68" i="111" s="1"/>
  <c r="B50" i="48"/>
  <c r="C68" i="111" s="1"/>
  <c r="D49" i="48"/>
  <c r="D67" i="111" s="1"/>
  <c r="C49" i="48"/>
  <c r="F67" i="111" s="1"/>
  <c r="B49" i="48"/>
  <c r="C67" i="111" s="1"/>
  <c r="D48" i="48"/>
  <c r="D66" i="111" s="1"/>
  <c r="C48" i="48"/>
  <c r="F66" i="111" s="1"/>
  <c r="B48" i="48"/>
  <c r="C66" i="111" s="1"/>
  <c r="D47" i="48"/>
  <c r="C47" i="48"/>
  <c r="B47" i="48"/>
  <c r="U4" i="146"/>
  <c r="T4" i="146"/>
  <c r="S4" i="146"/>
  <c r="G12" i="138"/>
  <c r="J12" i="138"/>
  <c r="O12" i="138"/>
  <c r="R12" i="138"/>
  <c r="H12" i="138"/>
  <c r="K12" i="138"/>
  <c r="M12" i="138"/>
  <c r="N12" i="138"/>
  <c r="P12" i="138"/>
  <c r="S12" i="138"/>
  <c r="U12" i="138"/>
  <c r="V12" i="138"/>
  <c r="D12" i="138"/>
  <c r="D79" i="111"/>
  <c r="D78" i="111"/>
  <c r="D77" i="111"/>
  <c r="D62" i="111"/>
  <c r="D52" i="111"/>
  <c r="D41" i="111"/>
  <c r="D40" i="111"/>
  <c r="D33" i="111"/>
  <c r="D32" i="111"/>
  <c r="D17" i="111"/>
  <c r="D16" i="111"/>
  <c r="D15" i="111"/>
  <c r="D14" i="111"/>
  <c r="D13" i="111"/>
  <c r="D12" i="111"/>
  <c r="D11" i="111"/>
  <c r="D10" i="111"/>
  <c r="D9" i="111"/>
  <c r="D80" i="121"/>
  <c r="D79" i="121"/>
  <c r="D78" i="121"/>
  <c r="D63" i="121"/>
  <c r="D53" i="121"/>
  <c r="D42" i="121"/>
  <c r="D41" i="121"/>
  <c r="D34" i="121"/>
  <c r="D33" i="121"/>
  <c r="D18" i="121"/>
  <c r="D17" i="121"/>
  <c r="D16" i="121"/>
  <c r="D15" i="121"/>
  <c r="D14" i="121"/>
  <c r="D13" i="121"/>
  <c r="D12" i="121"/>
  <c r="D11" i="121"/>
  <c r="D10" i="121"/>
  <c r="D80" i="122"/>
  <c r="D79" i="122"/>
  <c r="D78" i="122"/>
  <c r="D63" i="122"/>
  <c r="D53" i="122"/>
  <c r="D42" i="122"/>
  <c r="D41" i="122"/>
  <c r="D34" i="122"/>
  <c r="D33" i="122"/>
  <c r="D18" i="122"/>
  <c r="D17" i="122"/>
  <c r="D16" i="122"/>
  <c r="D15" i="122"/>
  <c r="D14" i="122"/>
  <c r="D13" i="122"/>
  <c r="D12" i="122"/>
  <c r="D11" i="122"/>
  <c r="D10" i="122"/>
  <c r="D80" i="119"/>
  <c r="D79" i="119"/>
  <c r="D78" i="119"/>
  <c r="D63" i="119"/>
  <c r="D53" i="119"/>
  <c r="D42" i="119"/>
  <c r="D41" i="119"/>
  <c r="D34" i="119"/>
  <c r="D33" i="119"/>
  <c r="D18" i="119"/>
  <c r="D17" i="119"/>
  <c r="D16" i="119"/>
  <c r="D15" i="119"/>
  <c r="D14" i="119"/>
  <c r="D13" i="119"/>
  <c r="D12" i="119"/>
  <c r="D11" i="119"/>
  <c r="D562" i="48"/>
  <c r="D561" i="48"/>
  <c r="D560" i="48"/>
  <c r="D559" i="48"/>
  <c r="D558" i="48"/>
  <c r="D557" i="48"/>
  <c r="D556" i="48"/>
  <c r="D555" i="48"/>
  <c r="D554" i="48"/>
  <c r="D553" i="48"/>
  <c r="D552" i="48"/>
  <c r="D551" i="48"/>
  <c r="D550" i="48"/>
  <c r="D549" i="48"/>
  <c r="D548" i="48"/>
  <c r="D547" i="48"/>
  <c r="D546" i="48"/>
  <c r="D545" i="48"/>
  <c r="D399" i="48"/>
  <c r="D398" i="48"/>
  <c r="D397" i="48"/>
  <c r="D396" i="48"/>
  <c r="D395" i="48"/>
  <c r="D394" i="48"/>
  <c r="D393" i="48"/>
  <c r="D392" i="48"/>
  <c r="D391" i="48"/>
  <c r="D390" i="48"/>
  <c r="D389" i="48"/>
  <c r="D388" i="48"/>
  <c r="D387" i="48"/>
  <c r="D386" i="48"/>
  <c r="D385" i="48"/>
  <c r="D384" i="48"/>
  <c r="D383" i="48"/>
  <c r="D382" i="48"/>
  <c r="D236" i="48"/>
  <c r="D235" i="48"/>
  <c r="D234" i="48"/>
  <c r="D233" i="48"/>
  <c r="D232" i="48"/>
  <c r="D231" i="48"/>
  <c r="D230" i="48"/>
  <c r="D229" i="48"/>
  <c r="D228" i="48"/>
  <c r="D227" i="48"/>
  <c r="D226" i="48"/>
  <c r="D225" i="48"/>
  <c r="D224" i="48"/>
  <c r="D223" i="48"/>
  <c r="D222" i="48"/>
  <c r="D221" i="48"/>
  <c r="D220" i="48"/>
  <c r="D219" i="48"/>
  <c r="D73" i="48"/>
  <c r="D72" i="48"/>
  <c r="D71" i="48"/>
  <c r="D70" i="48"/>
  <c r="D69" i="48"/>
  <c r="D68" i="48"/>
  <c r="D67" i="48"/>
  <c r="D66" i="48"/>
  <c r="D65" i="48"/>
  <c r="D64" i="48"/>
  <c r="D63" i="48"/>
  <c r="D62" i="48"/>
  <c r="D61" i="48"/>
  <c r="D60" i="48"/>
  <c r="D59" i="48"/>
  <c r="D58" i="48"/>
  <c r="D57" i="48"/>
  <c r="D56" i="48"/>
  <c r="D42" i="132"/>
  <c r="D41" i="132"/>
  <c r="O5" i="94"/>
  <c r="W3" i="94"/>
  <c r="L5" i="94"/>
  <c r="F12" i="138" l="1"/>
  <c r="T12" i="138"/>
  <c r="L12" i="138"/>
  <c r="Q12" i="138"/>
  <c r="I12" i="138"/>
  <c r="F2" i="136"/>
  <c r="E2" i="136"/>
  <c r="C2" i="136"/>
  <c r="C8" i="136"/>
  <c r="I13" i="147" l="1"/>
  <c r="O21" i="147"/>
  <c r="N21" i="147"/>
  <c r="O20" i="147"/>
  <c r="N20" i="147"/>
  <c r="O19" i="147"/>
  <c r="N19" i="147"/>
  <c r="O18" i="147"/>
  <c r="N18" i="147"/>
  <c r="O15" i="147"/>
  <c r="N15" i="147"/>
  <c r="N13" i="147"/>
  <c r="O11" i="147"/>
  <c r="N11" i="147"/>
  <c r="O10" i="147"/>
  <c r="N10" i="147"/>
  <c r="O9" i="147"/>
  <c r="N9" i="147"/>
  <c r="O8" i="147"/>
  <c r="N8" i="147"/>
  <c r="O7" i="147"/>
  <c r="N7" i="147"/>
  <c r="F26" i="140"/>
  <c r="AC68" i="114" l="1"/>
  <c r="AB70" i="114"/>
  <c r="AB74" i="114"/>
  <c r="D63" i="132" l="1"/>
  <c r="D53" i="132"/>
  <c r="D34" i="132"/>
  <c r="D33" i="132"/>
  <c r="D17" i="132"/>
  <c r="D16" i="132"/>
  <c r="D15" i="132"/>
  <c r="D14" i="132"/>
  <c r="D13" i="132"/>
  <c r="D12" i="132"/>
  <c r="D11" i="132"/>
  <c r="D10" i="132"/>
  <c r="D9" i="132"/>
  <c r="D78" i="140"/>
  <c r="D77" i="140"/>
  <c r="D62" i="140"/>
  <c r="D52" i="140"/>
  <c r="D41" i="140"/>
  <c r="D40" i="140"/>
  <c r="D33" i="140"/>
  <c r="D32" i="140"/>
  <c r="D17" i="140"/>
  <c r="D16" i="140"/>
  <c r="D15" i="140"/>
  <c r="D14" i="140"/>
  <c r="D13" i="140"/>
  <c r="D12" i="140"/>
  <c r="D11" i="140"/>
  <c r="D10" i="140"/>
  <c r="D9" i="140"/>
  <c r="D78" i="145"/>
  <c r="D77" i="145"/>
  <c r="D62" i="145"/>
  <c r="D52" i="145"/>
  <c r="D41" i="145"/>
  <c r="D40" i="145"/>
  <c r="D33" i="145"/>
  <c r="D32" i="145"/>
  <c r="D17" i="145"/>
  <c r="D16" i="145"/>
  <c r="D15" i="145"/>
  <c r="D14" i="145"/>
  <c r="D13" i="145"/>
  <c r="D12" i="145"/>
  <c r="D11" i="145"/>
  <c r="D10" i="145"/>
  <c r="D9" i="145"/>
  <c r="D78" i="144"/>
  <c r="D77" i="144"/>
  <c r="D62" i="144"/>
  <c r="D52" i="144"/>
  <c r="D41" i="144"/>
  <c r="D40" i="144"/>
  <c r="D33" i="144"/>
  <c r="D32" i="144"/>
  <c r="D17" i="144"/>
  <c r="D16" i="144"/>
  <c r="D15" i="144"/>
  <c r="D14" i="144"/>
  <c r="D13" i="144"/>
  <c r="D12" i="144"/>
  <c r="D11" i="144"/>
  <c r="D10" i="144"/>
  <c r="D9" i="144"/>
  <c r="D79" i="143"/>
  <c r="D78" i="143"/>
  <c r="D62" i="143"/>
  <c r="D52" i="143"/>
  <c r="D41" i="143"/>
  <c r="D40" i="143"/>
  <c r="D33" i="143"/>
  <c r="D32" i="143"/>
  <c r="D17" i="143"/>
  <c r="D16" i="143"/>
  <c r="D15" i="143"/>
  <c r="D14" i="143"/>
  <c r="D13" i="143"/>
  <c r="D12" i="143"/>
  <c r="D11" i="143"/>
  <c r="D10" i="143"/>
  <c r="D9" i="143"/>
  <c r="D78" i="142"/>
  <c r="D77" i="142"/>
  <c r="D62" i="142"/>
  <c r="D52" i="142"/>
  <c r="D41" i="142"/>
  <c r="D40" i="142"/>
  <c r="D33" i="142"/>
  <c r="D32" i="142"/>
  <c r="D17" i="142"/>
  <c r="D16" i="142"/>
  <c r="D15" i="142"/>
  <c r="D14" i="142"/>
  <c r="D13" i="142"/>
  <c r="D12" i="142"/>
  <c r="D11" i="142"/>
  <c r="D10" i="142"/>
  <c r="D9" i="142"/>
  <c r="D62" i="131"/>
  <c r="D52" i="131"/>
  <c r="D41" i="131"/>
  <c r="D40" i="131"/>
  <c r="D33" i="131"/>
  <c r="D32" i="131"/>
  <c r="D17" i="131"/>
  <c r="D16" i="131"/>
  <c r="D15" i="131"/>
  <c r="D14" i="131"/>
  <c r="D13" i="131"/>
  <c r="D12" i="131"/>
  <c r="D11" i="131"/>
  <c r="D10" i="131"/>
  <c r="D9" i="131"/>
  <c r="D62" i="130"/>
  <c r="D52" i="130"/>
  <c r="D41" i="130"/>
  <c r="D40" i="130"/>
  <c r="D33" i="130"/>
  <c r="D32" i="130"/>
  <c r="D17" i="130"/>
  <c r="D16" i="130"/>
  <c r="D15" i="130"/>
  <c r="D14" i="130"/>
  <c r="D13" i="130"/>
  <c r="D12" i="130"/>
  <c r="D11" i="130"/>
  <c r="D10" i="130"/>
  <c r="D9" i="130"/>
  <c r="D78" i="129"/>
  <c r="D77" i="129"/>
  <c r="D62" i="129"/>
  <c r="D52" i="129"/>
  <c r="D41" i="129"/>
  <c r="D40" i="129"/>
  <c r="D33" i="129"/>
  <c r="D32" i="129"/>
  <c r="D17" i="129"/>
  <c r="D16" i="129"/>
  <c r="D15" i="129"/>
  <c r="D14" i="129"/>
  <c r="D13" i="129"/>
  <c r="D12" i="129"/>
  <c r="D11" i="129"/>
  <c r="D10" i="129"/>
  <c r="D9" i="129"/>
  <c r="D62" i="128"/>
  <c r="D52" i="128"/>
  <c r="D41" i="128"/>
  <c r="D40" i="128"/>
  <c r="D33" i="128"/>
  <c r="D32" i="128"/>
  <c r="D17" i="128"/>
  <c r="D16" i="128"/>
  <c r="D15" i="128"/>
  <c r="D14" i="128"/>
  <c r="D13" i="128"/>
  <c r="D12" i="128"/>
  <c r="D11" i="128"/>
  <c r="D10" i="128"/>
  <c r="D9" i="128"/>
  <c r="D78" i="126"/>
  <c r="D77" i="126"/>
  <c r="D62" i="126"/>
  <c r="D52" i="126"/>
  <c r="D41" i="126"/>
  <c r="D40" i="126"/>
  <c r="D33" i="126"/>
  <c r="D32" i="126"/>
  <c r="D17" i="126"/>
  <c r="D16" i="126"/>
  <c r="D15" i="126"/>
  <c r="D14" i="126"/>
  <c r="D13" i="126"/>
  <c r="D12" i="126"/>
  <c r="D11" i="126"/>
  <c r="D10" i="126"/>
  <c r="D9" i="126"/>
  <c r="D78" i="125"/>
  <c r="D77" i="125"/>
  <c r="D62" i="125"/>
  <c r="D52" i="125"/>
  <c r="D41" i="125"/>
  <c r="D40" i="125"/>
  <c r="D33" i="125"/>
  <c r="D32" i="125"/>
  <c r="D17" i="125"/>
  <c r="D16" i="125"/>
  <c r="D15" i="125"/>
  <c r="D14" i="125"/>
  <c r="D13" i="125"/>
  <c r="D12" i="125"/>
  <c r="D11" i="125"/>
  <c r="D10" i="125"/>
  <c r="D9" i="125"/>
  <c r="D78" i="124"/>
  <c r="D77" i="124"/>
  <c r="D62" i="124"/>
  <c r="D52" i="124"/>
  <c r="D41" i="124"/>
  <c r="D40" i="124"/>
  <c r="D33" i="124"/>
  <c r="D32" i="124"/>
  <c r="D17" i="124"/>
  <c r="D16" i="124"/>
  <c r="D15" i="124"/>
  <c r="D14" i="124"/>
  <c r="D13" i="124"/>
  <c r="D12" i="124"/>
  <c r="D11" i="124"/>
  <c r="D10" i="124"/>
  <c r="D9" i="124"/>
  <c r="D77" i="123"/>
  <c r="D76" i="123"/>
  <c r="D61" i="123"/>
  <c r="D51" i="123"/>
  <c r="D40" i="123"/>
  <c r="D39" i="123"/>
  <c r="D32" i="123"/>
  <c r="D31" i="123"/>
  <c r="D17" i="123"/>
  <c r="D16" i="123"/>
  <c r="D15" i="123"/>
  <c r="D14" i="123"/>
  <c r="D13" i="123"/>
  <c r="D12" i="123"/>
  <c r="D11" i="123"/>
  <c r="D10" i="123"/>
  <c r="D9" i="123"/>
  <c r="D63" i="127"/>
  <c r="D53" i="127"/>
  <c r="D42" i="127"/>
  <c r="D41" i="127"/>
  <c r="D35" i="127"/>
  <c r="D34" i="127"/>
  <c r="D18" i="127"/>
  <c r="D17" i="127"/>
  <c r="D16" i="127"/>
  <c r="D15" i="127"/>
  <c r="D14" i="127"/>
  <c r="D13" i="127"/>
  <c r="D12" i="127"/>
  <c r="D11" i="127"/>
  <c r="D10" i="127"/>
  <c r="D81" i="127"/>
  <c r="G2" i="132" l="1"/>
  <c r="G2" i="140"/>
  <c r="G2" i="145"/>
  <c r="G2" i="144"/>
  <c r="G2" i="143"/>
  <c r="G2" i="142"/>
  <c r="G2" i="131"/>
  <c r="G2" i="130"/>
  <c r="G2" i="129"/>
  <c r="G2" i="128"/>
  <c r="G2" i="127"/>
  <c r="G2" i="126"/>
  <c r="G2" i="125"/>
  <c r="G2" i="124"/>
  <c r="G2" i="123"/>
  <c r="G2" i="121"/>
  <c r="G2" i="122"/>
  <c r="G2" i="119"/>
  <c r="G2" i="111" l="1"/>
  <c r="H99" i="131" l="1"/>
  <c r="F37" i="121"/>
  <c r="C789" i="48" l="1"/>
  <c r="C951" i="48"/>
  <c r="C1113" i="48"/>
  <c r="C1275" i="48"/>
  <c r="C1438" i="48"/>
  <c r="C1600" i="48"/>
  <c r="C1762" i="48"/>
  <c r="C1924" i="48"/>
  <c r="C2086" i="48"/>
  <c r="C2248" i="48"/>
  <c r="C2410" i="48"/>
  <c r="C2572" i="48"/>
  <c r="C2734" i="48"/>
  <c r="C2896" i="48"/>
  <c r="C3058" i="48"/>
  <c r="C627" i="48"/>
  <c r="C464" i="48"/>
  <c r="C138" i="48"/>
  <c r="C301" i="48"/>
  <c r="P12" i="146" l="1"/>
  <c r="P13" i="146"/>
  <c r="P14" i="146"/>
  <c r="P15" i="146"/>
  <c r="P16" i="146"/>
  <c r="P17" i="146"/>
  <c r="P18" i="146"/>
  <c r="P19" i="146"/>
  <c r="P20" i="146"/>
  <c r="P21" i="146"/>
  <c r="P22" i="146"/>
  <c r="P23" i="146"/>
  <c r="P24" i="146"/>
  <c r="P26" i="146"/>
  <c r="P27" i="146"/>
  <c r="P93" i="146"/>
  <c r="P94" i="146"/>
  <c r="P95" i="146"/>
  <c r="P96" i="146"/>
  <c r="P97" i="146"/>
  <c r="P98" i="146"/>
  <c r="P99" i="146"/>
  <c r="P100" i="146"/>
  <c r="P101" i="146"/>
  <c r="P102" i="146"/>
  <c r="P103" i="146"/>
  <c r="P104" i="146"/>
  <c r="P105" i="146"/>
  <c r="P106" i="146"/>
  <c r="P107" i="146"/>
  <c r="P108" i="146"/>
  <c r="P109" i="146"/>
  <c r="P110" i="146"/>
  <c r="P111" i="146"/>
  <c r="P112" i="146"/>
  <c r="P113" i="146"/>
  <c r="P114" i="146"/>
  <c r="P115" i="146"/>
  <c r="P116" i="146"/>
  <c r="P117" i="146"/>
  <c r="P118" i="146"/>
  <c r="P119" i="146"/>
  <c r="P120" i="146"/>
  <c r="P121" i="146"/>
  <c r="P122" i="146"/>
  <c r="P123" i="146"/>
  <c r="P124" i="146"/>
  <c r="P125" i="146"/>
  <c r="P126" i="146"/>
  <c r="P127" i="146"/>
  <c r="P128" i="146"/>
  <c r="P129" i="146"/>
  <c r="P130" i="146"/>
  <c r="P131" i="146"/>
  <c r="P132" i="146"/>
  <c r="P133" i="146"/>
  <c r="P134" i="146"/>
  <c r="P135" i="146"/>
  <c r="P136" i="146"/>
  <c r="P137" i="146"/>
  <c r="P138" i="146"/>
  <c r="P139" i="146"/>
  <c r="P140" i="146"/>
  <c r="P141" i="146"/>
  <c r="R5" i="146"/>
  <c r="D8" i="135"/>
  <c r="D7" i="135"/>
  <c r="D12" i="135"/>
  <c r="D11" i="135"/>
  <c r="D10" i="135"/>
  <c r="F29" i="127"/>
  <c r="I18" i="137" l="1"/>
  <c r="I12" i="137"/>
  <c r="M12" i="137" s="1"/>
  <c r="M26" i="137"/>
  <c r="M24" i="137"/>
  <c r="M22" i="137"/>
  <c r="M21" i="137"/>
  <c r="M20" i="137"/>
  <c r="M18" i="137"/>
  <c r="M9" i="137"/>
  <c r="V32" i="138"/>
  <c r="B5" i="149"/>
  <c r="B13" i="149" s="1"/>
  <c r="B6" i="149"/>
  <c r="B22" i="149" s="1"/>
  <c r="B18" i="149"/>
  <c r="B9" i="149"/>
  <c r="B8" i="149"/>
  <c r="B24" i="149" s="1"/>
  <c r="B7" i="149"/>
  <c r="B15" i="149" s="1"/>
  <c r="D87" i="127"/>
  <c r="D85" i="127"/>
  <c r="D86" i="127"/>
  <c r="D88" i="127"/>
  <c r="D84" i="127"/>
  <c r="D89" i="127"/>
  <c r="F64" i="127"/>
  <c r="F54" i="127"/>
  <c r="F26" i="127"/>
  <c r="F20" i="127"/>
  <c r="F63" i="128"/>
  <c r="F53" i="128"/>
  <c r="F21" i="128"/>
  <c r="F19" i="128"/>
  <c r="F53" i="130"/>
  <c r="B14" i="149" l="1"/>
  <c r="B23" i="149"/>
  <c r="B17" i="149"/>
  <c r="B16" i="149"/>
  <c r="B21" i="149"/>
  <c r="C2976" i="48"/>
  <c r="C2814" i="48"/>
  <c r="C2789" i="48"/>
  <c r="H99" i="130"/>
  <c r="C1493" i="48" l="1"/>
  <c r="B20" i="114"/>
  <c r="C1330" i="48"/>
  <c r="F28" i="130"/>
  <c r="F28" i="131"/>
  <c r="M31" i="137" l="1"/>
  <c r="M32" i="137" s="1"/>
  <c r="N32" i="137" s="1"/>
  <c r="M30" i="137"/>
  <c r="M28" i="137"/>
  <c r="M29" i="137" s="1"/>
  <c r="H2949" i="48" l="1"/>
  <c r="C2951" i="48"/>
  <c r="F39" i="132" s="1"/>
  <c r="C28" i="138"/>
  <c r="C29" i="138"/>
  <c r="C27" i="138"/>
  <c r="C24" i="138"/>
  <c r="C25" i="138"/>
  <c r="C26" i="138"/>
  <c r="C23" i="138"/>
  <c r="C22" i="138"/>
  <c r="AE63" i="114"/>
  <c r="D2669" i="48"/>
  <c r="D2668" i="48"/>
  <c r="D2667" i="48"/>
  <c r="D2666" i="48"/>
  <c r="D2665" i="48"/>
  <c r="D2664" i="48"/>
  <c r="D2663" i="48"/>
  <c r="D2662" i="48"/>
  <c r="D2661" i="48"/>
  <c r="D2660" i="48"/>
  <c r="D2659" i="48"/>
  <c r="D2658" i="48"/>
  <c r="D2657" i="48"/>
  <c r="D2656" i="48"/>
  <c r="D2655" i="48"/>
  <c r="D2654" i="48"/>
  <c r="D2653" i="48"/>
  <c r="D2652" i="48"/>
  <c r="D2507" i="48"/>
  <c r="D2506" i="48"/>
  <c r="D2505" i="48"/>
  <c r="D2504" i="48"/>
  <c r="D2503" i="48"/>
  <c r="D2502" i="48"/>
  <c r="D2501" i="48"/>
  <c r="D2500" i="48"/>
  <c r="D2499" i="48"/>
  <c r="D2498" i="48"/>
  <c r="D2497" i="48"/>
  <c r="D2496" i="48"/>
  <c r="D2495" i="48"/>
  <c r="D2494" i="48"/>
  <c r="D2493" i="48"/>
  <c r="D2492" i="48"/>
  <c r="D2491" i="48"/>
  <c r="D2490" i="48"/>
  <c r="D2345" i="48"/>
  <c r="D2344" i="48"/>
  <c r="D2343" i="48"/>
  <c r="D2342" i="48"/>
  <c r="D2341" i="48"/>
  <c r="D2340" i="48"/>
  <c r="D2339" i="48"/>
  <c r="D2338" i="48"/>
  <c r="D2337" i="48"/>
  <c r="D2336" i="48"/>
  <c r="D2335" i="48"/>
  <c r="D2334" i="48"/>
  <c r="D2333" i="48"/>
  <c r="D2332" i="48"/>
  <c r="D2331" i="48"/>
  <c r="D2330" i="48"/>
  <c r="D2329" i="48"/>
  <c r="D2328" i="48"/>
  <c r="D74" i="143" s="1"/>
  <c r="D2183" i="48"/>
  <c r="D2182" i="48"/>
  <c r="D2181" i="48"/>
  <c r="D2180" i="48"/>
  <c r="D2179" i="48"/>
  <c r="D2178" i="48"/>
  <c r="D2177" i="48"/>
  <c r="D2176" i="48"/>
  <c r="D2175" i="48"/>
  <c r="D2174" i="48"/>
  <c r="D2173" i="48"/>
  <c r="D2172" i="48"/>
  <c r="D2171" i="48"/>
  <c r="D2170" i="48"/>
  <c r="D2169" i="48"/>
  <c r="D2168" i="48"/>
  <c r="D2167" i="48"/>
  <c r="D2166" i="48"/>
  <c r="D89" i="142"/>
  <c r="D2288" i="48"/>
  <c r="D2286" i="48"/>
  <c r="D2285" i="48"/>
  <c r="D2284" i="48"/>
  <c r="D2283" i="48"/>
  <c r="D90" i="143"/>
  <c r="D2450" i="48"/>
  <c r="D2448" i="48"/>
  <c r="D2447" i="48"/>
  <c r="D2446" i="48"/>
  <c r="D2445" i="48"/>
  <c r="D89" i="144"/>
  <c r="D2612" i="48"/>
  <c r="D2610" i="48"/>
  <c r="D2609" i="48"/>
  <c r="D2608" i="48"/>
  <c r="D2607" i="48"/>
  <c r="D89" i="145"/>
  <c r="D2774" i="48"/>
  <c r="D2772" i="48"/>
  <c r="D2771" i="48"/>
  <c r="D2770" i="48"/>
  <c r="D2769" i="48"/>
  <c r="D2642" i="48"/>
  <c r="D61" i="145" s="1"/>
  <c r="D2641" i="48"/>
  <c r="D60" i="145" s="1"/>
  <c r="D2640" i="48"/>
  <c r="D59" i="145" s="1"/>
  <c r="D2639" i="48"/>
  <c r="D58" i="145" s="1"/>
  <c r="D2635" i="48"/>
  <c r="D51" i="145" s="1"/>
  <c r="D2634" i="48"/>
  <c r="D50" i="145" s="1"/>
  <c r="D2633" i="48"/>
  <c r="D49" i="145" s="1"/>
  <c r="D2627" i="48"/>
  <c r="D38" i="145" s="1"/>
  <c r="D2480" i="48"/>
  <c r="D61" i="144" s="1"/>
  <c r="D2479" i="48"/>
  <c r="D60" i="144" s="1"/>
  <c r="D2478" i="48"/>
  <c r="D59" i="144" s="1"/>
  <c r="D2477" i="48"/>
  <c r="D58" i="144" s="1"/>
  <c r="D2473" i="48"/>
  <c r="D51" i="144" s="1"/>
  <c r="D2472" i="48"/>
  <c r="D50" i="144" s="1"/>
  <c r="D2471" i="48"/>
  <c r="D49" i="144" s="1"/>
  <c r="D2465" i="48"/>
  <c r="D38" i="144" s="1"/>
  <c r="D2318" i="48"/>
  <c r="D61" i="143" s="1"/>
  <c r="D2317" i="48"/>
  <c r="D60" i="143" s="1"/>
  <c r="D2316" i="48"/>
  <c r="D59" i="143" s="1"/>
  <c r="D2315" i="48"/>
  <c r="D58" i="143" s="1"/>
  <c r="D2311" i="48"/>
  <c r="D51" i="143" s="1"/>
  <c r="D2310" i="48"/>
  <c r="D50" i="143" s="1"/>
  <c r="D2309" i="48"/>
  <c r="D49" i="143" s="1"/>
  <c r="D2303" i="48"/>
  <c r="D38" i="143" s="1"/>
  <c r="D2156" i="48"/>
  <c r="D61" i="142" s="1"/>
  <c r="D2155" i="48"/>
  <c r="D60" i="142" s="1"/>
  <c r="D2154" i="48"/>
  <c r="D59" i="142" s="1"/>
  <c r="D2153" i="48"/>
  <c r="D58" i="142" s="1"/>
  <c r="D2149" i="48"/>
  <c r="D51" i="142" s="1"/>
  <c r="D2148" i="48"/>
  <c r="D50" i="142" s="1"/>
  <c r="D2147" i="48"/>
  <c r="D49" i="142" s="1"/>
  <c r="D2141" i="48"/>
  <c r="D38" i="142" s="1"/>
  <c r="B23" i="147"/>
  <c r="B22" i="147"/>
  <c r="B21" i="147"/>
  <c r="B20" i="147"/>
  <c r="B19" i="147"/>
  <c r="B18" i="147"/>
  <c r="B17" i="147"/>
  <c r="B16" i="147"/>
  <c r="B15" i="147"/>
  <c r="B14" i="147"/>
  <c r="B11" i="147"/>
  <c r="B10" i="147"/>
  <c r="B9" i="147"/>
  <c r="B8" i="147"/>
  <c r="B6" i="147"/>
  <c r="B7" i="147"/>
  <c r="H7" i="147"/>
  <c r="G5" i="146"/>
  <c r="G4" i="146"/>
  <c r="J4" i="146"/>
  <c r="H8" i="147"/>
  <c r="G6" i="146"/>
  <c r="J5" i="146"/>
  <c r="H9" i="147"/>
  <c r="G7" i="146"/>
  <c r="J7" i="146"/>
  <c r="H10" i="147"/>
  <c r="G8" i="146"/>
  <c r="J8" i="146"/>
  <c r="G9" i="146"/>
  <c r="J9" i="146"/>
  <c r="G10" i="146"/>
  <c r="J10" i="146"/>
  <c r="G11" i="146"/>
  <c r="J11" i="146"/>
  <c r="H15" i="147"/>
  <c r="G12" i="146"/>
  <c r="J12" i="146"/>
  <c r="G13" i="146"/>
  <c r="J13" i="146"/>
  <c r="G14" i="146"/>
  <c r="J14" i="146"/>
  <c r="G15" i="146"/>
  <c r="J15" i="146"/>
  <c r="G16" i="146"/>
  <c r="J16" i="146"/>
  <c r="G17" i="146"/>
  <c r="J17" i="146"/>
  <c r="G18" i="146"/>
  <c r="J18" i="146"/>
  <c r="G19" i="146"/>
  <c r="J19" i="146"/>
  <c r="G20" i="146"/>
  <c r="J20" i="146"/>
  <c r="E21" i="146"/>
  <c r="F21" i="146"/>
  <c r="J21" i="146"/>
  <c r="J22" i="146"/>
  <c r="B19" i="48"/>
  <c r="B16" i="48"/>
  <c r="B17" i="48"/>
  <c r="B18" i="48"/>
  <c r="B11" i="48"/>
  <c r="B12" i="48"/>
  <c r="B13" i="48"/>
  <c r="B14" i="48"/>
  <c r="B15" i="48"/>
  <c r="B5" i="48"/>
  <c r="B6" i="48"/>
  <c r="B7" i="48"/>
  <c r="B8" i="48"/>
  <c r="B9" i="48"/>
  <c r="B10" i="48"/>
  <c r="H106" i="145"/>
  <c r="H104" i="145"/>
  <c r="H103" i="145"/>
  <c r="H102" i="145"/>
  <c r="H101" i="145"/>
  <c r="C95" i="145"/>
  <c r="C94" i="145"/>
  <c r="D92" i="145"/>
  <c r="D91" i="145"/>
  <c r="F90" i="145"/>
  <c r="F89" i="145"/>
  <c r="C89" i="145"/>
  <c r="F88" i="145"/>
  <c r="F87" i="145"/>
  <c r="F86" i="145"/>
  <c r="F85" i="145"/>
  <c r="F84" i="145"/>
  <c r="F83" i="145"/>
  <c r="F28" i="145"/>
  <c r="F82" i="145"/>
  <c r="F81" i="145"/>
  <c r="F80" i="145"/>
  <c r="D75" i="145"/>
  <c r="D74" i="145"/>
  <c r="F63" i="145"/>
  <c r="F53" i="145"/>
  <c r="F43" i="145"/>
  <c r="F42" i="145"/>
  <c r="F36" i="145"/>
  <c r="F35" i="145"/>
  <c r="F34" i="145"/>
  <c r="D30" i="145"/>
  <c r="D29" i="145"/>
  <c r="F27" i="145"/>
  <c r="F26" i="145"/>
  <c r="F25" i="145"/>
  <c r="F24" i="145"/>
  <c r="F23" i="145"/>
  <c r="F22" i="145"/>
  <c r="F21" i="145"/>
  <c r="F20" i="145"/>
  <c r="F19" i="145"/>
  <c r="F18" i="145"/>
  <c r="H106" i="144"/>
  <c r="H104" i="144"/>
  <c r="H103" i="144"/>
  <c r="H102" i="144"/>
  <c r="H101" i="144"/>
  <c r="C95" i="144"/>
  <c r="C94" i="144"/>
  <c r="D92" i="144"/>
  <c r="D91" i="144"/>
  <c r="F90" i="144"/>
  <c r="F89" i="144"/>
  <c r="C89" i="144"/>
  <c r="F88" i="144"/>
  <c r="F87" i="144"/>
  <c r="F86" i="144"/>
  <c r="F85" i="144"/>
  <c r="F84" i="144"/>
  <c r="F83" i="144"/>
  <c r="F28" i="144"/>
  <c r="F82" i="144"/>
  <c r="F81" i="144"/>
  <c r="F80" i="144"/>
  <c r="D75" i="144"/>
  <c r="D74" i="144"/>
  <c r="F63" i="144"/>
  <c r="F53" i="144"/>
  <c r="F43" i="144"/>
  <c r="F42" i="144"/>
  <c r="F36" i="144"/>
  <c r="F35" i="144"/>
  <c r="F34" i="144"/>
  <c r="D30" i="144"/>
  <c r="D29" i="144"/>
  <c r="F27" i="144"/>
  <c r="F26" i="144"/>
  <c r="F25" i="144"/>
  <c r="F24" i="144"/>
  <c r="F23" i="144"/>
  <c r="F22" i="144"/>
  <c r="F21" i="144"/>
  <c r="F20" i="144"/>
  <c r="F19" i="144"/>
  <c r="F18" i="144"/>
  <c r="H107" i="143"/>
  <c r="H105" i="143"/>
  <c r="H104" i="143"/>
  <c r="H103" i="143"/>
  <c r="H102" i="143"/>
  <c r="C96" i="143"/>
  <c r="C95" i="143"/>
  <c r="D93" i="143"/>
  <c r="D92" i="143"/>
  <c r="F91" i="143"/>
  <c r="F90" i="143"/>
  <c r="C90" i="143"/>
  <c r="F89" i="143"/>
  <c r="F88" i="143"/>
  <c r="F87" i="143"/>
  <c r="F86" i="143"/>
  <c r="F85" i="143"/>
  <c r="F84" i="143"/>
  <c r="F28" i="143"/>
  <c r="F83" i="143"/>
  <c r="F82" i="143"/>
  <c r="F81" i="143"/>
  <c r="D76" i="143"/>
  <c r="D75" i="143"/>
  <c r="F63" i="143"/>
  <c r="F53" i="143"/>
  <c r="F43" i="143"/>
  <c r="F42" i="143"/>
  <c r="F36" i="143"/>
  <c r="F35" i="143"/>
  <c r="F34" i="143"/>
  <c r="D30" i="143"/>
  <c r="D29" i="143"/>
  <c r="F27" i="143"/>
  <c r="F26" i="143"/>
  <c r="F25" i="143"/>
  <c r="F24" i="143"/>
  <c r="F23" i="143"/>
  <c r="F22" i="143"/>
  <c r="F21" i="143"/>
  <c r="F20" i="143"/>
  <c r="F19" i="143"/>
  <c r="F18" i="143"/>
  <c r="H106" i="142"/>
  <c r="H104" i="142"/>
  <c r="H103" i="142"/>
  <c r="H102" i="142"/>
  <c r="H101" i="142"/>
  <c r="C95" i="142"/>
  <c r="C94" i="142"/>
  <c r="D92" i="142"/>
  <c r="D91" i="142"/>
  <c r="F90" i="142"/>
  <c r="F89" i="142"/>
  <c r="C89" i="142"/>
  <c r="F88" i="142"/>
  <c r="F87" i="142"/>
  <c r="F86" i="142"/>
  <c r="F85" i="142"/>
  <c r="F84" i="142"/>
  <c r="F83" i="142"/>
  <c r="F28" i="142"/>
  <c r="F82" i="142"/>
  <c r="F81" i="142"/>
  <c r="F80" i="142"/>
  <c r="D75" i="142"/>
  <c r="D74" i="142"/>
  <c r="F63" i="142"/>
  <c r="F53" i="142"/>
  <c r="F43" i="142"/>
  <c r="F42" i="142"/>
  <c r="F36" i="142"/>
  <c r="F35" i="142"/>
  <c r="F34" i="142"/>
  <c r="D30" i="142"/>
  <c r="D29" i="142"/>
  <c r="F27" i="142"/>
  <c r="F26" i="142"/>
  <c r="F25" i="142"/>
  <c r="F24" i="142"/>
  <c r="F23" i="142"/>
  <c r="F22" i="142"/>
  <c r="F21" i="142"/>
  <c r="F20" i="142"/>
  <c r="F19" i="142"/>
  <c r="F18" i="142"/>
  <c r="D2623" i="48"/>
  <c r="G4" i="145" s="1"/>
  <c r="C2623" i="48"/>
  <c r="F4" i="145" s="1"/>
  <c r="B2774" i="48"/>
  <c r="B104" i="145" s="1"/>
  <c r="B2772" i="48"/>
  <c r="B106" i="145" s="1"/>
  <c r="B2771" i="48"/>
  <c r="B103" i="145" s="1"/>
  <c r="B2770" i="48"/>
  <c r="B102" i="145" s="1"/>
  <c r="B2769" i="48"/>
  <c r="B101" i="145" s="1"/>
  <c r="H111" i="145"/>
  <c r="D2734" i="48"/>
  <c r="E95" i="145" s="1"/>
  <c r="D2733" i="48"/>
  <c r="E94" i="145" s="1"/>
  <c r="C2733" i="48"/>
  <c r="D2732" i="48"/>
  <c r="C2732" i="48"/>
  <c r="F92" i="145" s="1"/>
  <c r="B2732" i="48"/>
  <c r="C92" i="145" s="1"/>
  <c r="D2731" i="48"/>
  <c r="C2731" i="48"/>
  <c r="F91" i="145" s="1"/>
  <c r="B2731" i="48"/>
  <c r="C91" i="145" s="1"/>
  <c r="D2730" i="48"/>
  <c r="C2730" i="48"/>
  <c r="F75" i="145" s="1"/>
  <c r="B2730" i="48"/>
  <c r="C75" i="145" s="1"/>
  <c r="D2729" i="48"/>
  <c r="C2729" i="48"/>
  <c r="F74" i="145" s="1"/>
  <c r="B2729" i="48"/>
  <c r="C74" i="145" s="1"/>
  <c r="D2728" i="48"/>
  <c r="C2728" i="48"/>
  <c r="F30" i="145" s="1"/>
  <c r="B2728" i="48"/>
  <c r="C30" i="145" s="1"/>
  <c r="D2727" i="48"/>
  <c r="C2727" i="48"/>
  <c r="F29" i="145" s="1"/>
  <c r="B2727" i="48"/>
  <c r="C29" i="145" s="1"/>
  <c r="C2716" i="48"/>
  <c r="B2716" i="48"/>
  <c r="C2669" i="48"/>
  <c r="F52" i="145" s="1"/>
  <c r="B2669" i="48"/>
  <c r="C52" i="145" s="1"/>
  <c r="C2668" i="48"/>
  <c r="F41" i="145" s="1"/>
  <c r="B2668" i="48"/>
  <c r="C41" i="145" s="1"/>
  <c r="C2667" i="48"/>
  <c r="F40" i="145" s="1"/>
  <c r="B2667" i="48"/>
  <c r="C40" i="145" s="1"/>
  <c r="C2666" i="48"/>
  <c r="F17" i="145" s="1"/>
  <c r="B2666" i="48"/>
  <c r="C17" i="145" s="1"/>
  <c r="C2665" i="48"/>
  <c r="F16" i="145" s="1"/>
  <c r="B2665" i="48"/>
  <c r="C16" i="145" s="1"/>
  <c r="C2664" i="48"/>
  <c r="F15" i="145" s="1"/>
  <c r="B2664" i="48"/>
  <c r="C15" i="145" s="1"/>
  <c r="C2663" i="48"/>
  <c r="F14" i="145" s="1"/>
  <c r="B2663" i="48"/>
  <c r="C14" i="145" s="1"/>
  <c r="C2662" i="48"/>
  <c r="F13" i="145" s="1"/>
  <c r="B2662" i="48"/>
  <c r="C13" i="145" s="1"/>
  <c r="C2661" i="48"/>
  <c r="F12" i="145" s="1"/>
  <c r="B2661" i="48"/>
  <c r="C12" i="145" s="1"/>
  <c r="C2660" i="48"/>
  <c r="F11" i="145" s="1"/>
  <c r="B2660" i="48"/>
  <c r="C11" i="145" s="1"/>
  <c r="C2659" i="48"/>
  <c r="F10" i="145" s="1"/>
  <c r="B2659" i="48"/>
  <c r="C10" i="145" s="1"/>
  <c r="C2658" i="48"/>
  <c r="F9" i="145" s="1"/>
  <c r="B2658" i="48"/>
  <c r="C9" i="145" s="1"/>
  <c r="C2657" i="48"/>
  <c r="F62" i="145" s="1"/>
  <c r="B2657" i="48"/>
  <c r="C62" i="145" s="1"/>
  <c r="C2656" i="48"/>
  <c r="F33" i="145" s="1"/>
  <c r="B2656" i="48"/>
  <c r="C33" i="145" s="1"/>
  <c r="C2655" i="48"/>
  <c r="F32" i="145" s="1"/>
  <c r="B2655" i="48"/>
  <c r="C32" i="145" s="1"/>
  <c r="C2654" i="48"/>
  <c r="F79" i="145" s="1"/>
  <c r="B2654" i="48"/>
  <c r="C79" i="145" s="1"/>
  <c r="C2653" i="48"/>
  <c r="F78" i="145" s="1"/>
  <c r="B2653" i="48"/>
  <c r="C78" i="145" s="1"/>
  <c r="C2652" i="48"/>
  <c r="F77" i="145" s="1"/>
  <c r="B2652" i="48"/>
  <c r="C77" i="145" s="1"/>
  <c r="D65" i="145"/>
  <c r="F65" i="145"/>
  <c r="C65" i="145"/>
  <c r="C2642" i="48"/>
  <c r="F61" i="145" s="1"/>
  <c r="B2642" i="48"/>
  <c r="C61" i="145" s="1"/>
  <c r="C2641" i="48"/>
  <c r="F60" i="145" s="1"/>
  <c r="B2641" i="48"/>
  <c r="C60" i="145" s="1"/>
  <c r="C2640" i="48"/>
  <c r="F59" i="145" s="1"/>
  <c r="B2640" i="48"/>
  <c r="C59" i="145" s="1"/>
  <c r="C2639" i="48"/>
  <c r="F58" i="145" s="1"/>
  <c r="B2639" i="48"/>
  <c r="C58" i="145" s="1"/>
  <c r="D2638" i="48"/>
  <c r="D57" i="145" s="1"/>
  <c r="C2638" i="48"/>
  <c r="F57" i="145" s="1"/>
  <c r="B2638" i="48"/>
  <c r="C57" i="145" s="1"/>
  <c r="D2637" i="48"/>
  <c r="D56" i="145" s="1"/>
  <c r="C2637" i="48"/>
  <c r="F56" i="145" s="1"/>
  <c r="B2637" i="48"/>
  <c r="C56" i="145" s="1"/>
  <c r="D2636" i="48"/>
  <c r="D55" i="145" s="1"/>
  <c r="C2636" i="48"/>
  <c r="F55" i="145" s="1"/>
  <c r="B2636" i="48"/>
  <c r="C55" i="145" s="1"/>
  <c r="C2635" i="48"/>
  <c r="F51" i="145" s="1"/>
  <c r="B2635" i="48"/>
  <c r="C51" i="145" s="1"/>
  <c r="C2634" i="48"/>
  <c r="F50" i="145" s="1"/>
  <c r="B2634" i="48"/>
  <c r="C50" i="145" s="1"/>
  <c r="C2633" i="48"/>
  <c r="F49" i="145" s="1"/>
  <c r="B2633" i="48"/>
  <c r="C49" i="145" s="1"/>
  <c r="D2632" i="48"/>
  <c r="D48" i="145" s="1"/>
  <c r="C2632" i="48"/>
  <c r="F48" i="145" s="1"/>
  <c r="B2632" i="48"/>
  <c r="C48" i="145" s="1"/>
  <c r="D2631" i="48"/>
  <c r="D47" i="145" s="1"/>
  <c r="C2631" i="48"/>
  <c r="F47" i="145" s="1"/>
  <c r="B2631" i="48"/>
  <c r="C47" i="145" s="1"/>
  <c r="D2630" i="48"/>
  <c r="D46" i="145" s="1"/>
  <c r="C2630" i="48"/>
  <c r="F46" i="145" s="1"/>
  <c r="B2630" i="48"/>
  <c r="C46" i="145" s="1"/>
  <c r="D2629" i="48"/>
  <c r="D45" i="145" s="1"/>
  <c r="C2629" i="48"/>
  <c r="F45" i="145" s="1"/>
  <c r="B2629" i="48"/>
  <c r="C45" i="145" s="1"/>
  <c r="D2628" i="48"/>
  <c r="D39" i="145" s="1"/>
  <c r="C2628" i="48"/>
  <c r="F39" i="145" s="1"/>
  <c r="B2628" i="48"/>
  <c r="C39" i="145" s="1"/>
  <c r="C2627" i="48"/>
  <c r="F38" i="145" s="1"/>
  <c r="B2627" i="48"/>
  <c r="C38" i="145" s="1"/>
  <c r="D2461" i="48"/>
  <c r="C2461" i="48"/>
  <c r="F4" i="144" s="1"/>
  <c r="B2612" i="48"/>
  <c r="B104" i="144" s="1"/>
  <c r="B2610" i="48"/>
  <c r="B106" i="144" s="1"/>
  <c r="B2609" i="48"/>
  <c r="B103" i="144" s="1"/>
  <c r="B2608" i="48"/>
  <c r="B102" i="144" s="1"/>
  <c r="B2607" i="48"/>
  <c r="B101" i="144" s="1"/>
  <c r="H111" i="144"/>
  <c r="D2572" i="48"/>
  <c r="E95" i="144" s="1"/>
  <c r="D2571" i="48"/>
  <c r="E94" i="144" s="1"/>
  <c r="C2571" i="48"/>
  <c r="D2570" i="48"/>
  <c r="C2570" i="48"/>
  <c r="F92" i="144" s="1"/>
  <c r="B2570" i="48"/>
  <c r="C92" i="144" s="1"/>
  <c r="D2569" i="48"/>
  <c r="C2569" i="48"/>
  <c r="F91" i="144" s="1"/>
  <c r="B2569" i="48"/>
  <c r="C91" i="144" s="1"/>
  <c r="D2568" i="48"/>
  <c r="C2568" i="48"/>
  <c r="F75" i="144" s="1"/>
  <c r="B2568" i="48"/>
  <c r="C75" i="144" s="1"/>
  <c r="D2567" i="48"/>
  <c r="C2567" i="48"/>
  <c r="F74" i="144" s="1"/>
  <c r="B2567" i="48"/>
  <c r="C74" i="144" s="1"/>
  <c r="D2566" i="48"/>
  <c r="C2566" i="48"/>
  <c r="F30" i="144" s="1"/>
  <c r="B2566" i="48"/>
  <c r="C30" i="144" s="1"/>
  <c r="D2565" i="48"/>
  <c r="C2565" i="48"/>
  <c r="F29" i="144" s="1"/>
  <c r="B2565" i="48"/>
  <c r="C29" i="144" s="1"/>
  <c r="C2554" i="48"/>
  <c r="B2554" i="48"/>
  <c r="C2507" i="48"/>
  <c r="F52" i="144" s="1"/>
  <c r="B2507" i="48"/>
  <c r="C52" i="144" s="1"/>
  <c r="C2506" i="48"/>
  <c r="F41" i="144" s="1"/>
  <c r="B2506" i="48"/>
  <c r="C41" i="144" s="1"/>
  <c r="C2505" i="48"/>
  <c r="F40" i="144" s="1"/>
  <c r="B2505" i="48"/>
  <c r="C40" i="144" s="1"/>
  <c r="C2504" i="48"/>
  <c r="F17" i="144" s="1"/>
  <c r="B2504" i="48"/>
  <c r="C17" i="144" s="1"/>
  <c r="C2503" i="48"/>
  <c r="F16" i="144" s="1"/>
  <c r="B2503" i="48"/>
  <c r="C16" i="144" s="1"/>
  <c r="C2502" i="48"/>
  <c r="F15" i="144" s="1"/>
  <c r="B2502" i="48"/>
  <c r="C15" i="144" s="1"/>
  <c r="C2501" i="48"/>
  <c r="F14" i="144" s="1"/>
  <c r="B2501" i="48"/>
  <c r="C14" i="144" s="1"/>
  <c r="C2500" i="48"/>
  <c r="F13" i="144" s="1"/>
  <c r="B2500" i="48"/>
  <c r="C13" i="144" s="1"/>
  <c r="C2499" i="48"/>
  <c r="F12" i="144" s="1"/>
  <c r="B2499" i="48"/>
  <c r="C12" i="144" s="1"/>
  <c r="C2498" i="48"/>
  <c r="F11" i="144" s="1"/>
  <c r="B2498" i="48"/>
  <c r="C11" i="144" s="1"/>
  <c r="C2497" i="48"/>
  <c r="F10" i="144" s="1"/>
  <c r="B2497" i="48"/>
  <c r="C10" i="144" s="1"/>
  <c r="C2496" i="48"/>
  <c r="F9" i="144" s="1"/>
  <c r="B2496" i="48"/>
  <c r="C9" i="144" s="1"/>
  <c r="C2495" i="48"/>
  <c r="F62" i="144" s="1"/>
  <c r="B2495" i="48"/>
  <c r="C62" i="144" s="1"/>
  <c r="C2494" i="48"/>
  <c r="F33" i="144" s="1"/>
  <c r="B2494" i="48"/>
  <c r="C33" i="144" s="1"/>
  <c r="C2493" i="48"/>
  <c r="F32" i="144" s="1"/>
  <c r="B2493" i="48"/>
  <c r="C32" i="144" s="1"/>
  <c r="C2492" i="48"/>
  <c r="F79" i="144" s="1"/>
  <c r="B2492" i="48"/>
  <c r="C79" i="144" s="1"/>
  <c r="C2491" i="48"/>
  <c r="F78" i="144" s="1"/>
  <c r="B2491" i="48"/>
  <c r="C78" i="144" s="1"/>
  <c r="C2490" i="48"/>
  <c r="F77" i="144" s="1"/>
  <c r="B2490" i="48"/>
  <c r="C77" i="144" s="1"/>
  <c r="D65" i="144"/>
  <c r="F65" i="144"/>
  <c r="C65" i="144"/>
  <c r="C2480" i="48"/>
  <c r="F61" i="144" s="1"/>
  <c r="B2480" i="48"/>
  <c r="C61" i="144" s="1"/>
  <c r="C2479" i="48"/>
  <c r="F60" i="144" s="1"/>
  <c r="B2479" i="48"/>
  <c r="C60" i="144" s="1"/>
  <c r="C2478" i="48"/>
  <c r="F59" i="144" s="1"/>
  <c r="B2478" i="48"/>
  <c r="C59" i="144" s="1"/>
  <c r="C2477" i="48"/>
  <c r="F58" i="144" s="1"/>
  <c r="B2477" i="48"/>
  <c r="C58" i="144" s="1"/>
  <c r="D2476" i="48"/>
  <c r="D57" i="144" s="1"/>
  <c r="C2476" i="48"/>
  <c r="F57" i="144" s="1"/>
  <c r="B2476" i="48"/>
  <c r="C57" i="144" s="1"/>
  <c r="D2475" i="48"/>
  <c r="D56" i="144" s="1"/>
  <c r="C2475" i="48"/>
  <c r="F56" i="144" s="1"/>
  <c r="B2475" i="48"/>
  <c r="C56" i="144" s="1"/>
  <c r="D2474" i="48"/>
  <c r="D55" i="144" s="1"/>
  <c r="C2474" i="48"/>
  <c r="F55" i="144" s="1"/>
  <c r="B2474" i="48"/>
  <c r="C55" i="144" s="1"/>
  <c r="C2473" i="48"/>
  <c r="F51" i="144" s="1"/>
  <c r="B2473" i="48"/>
  <c r="C51" i="144" s="1"/>
  <c r="C2472" i="48"/>
  <c r="F50" i="144" s="1"/>
  <c r="B2472" i="48"/>
  <c r="C50" i="144" s="1"/>
  <c r="C2471" i="48"/>
  <c r="F49" i="144" s="1"/>
  <c r="B2471" i="48"/>
  <c r="C49" i="144" s="1"/>
  <c r="D2470" i="48"/>
  <c r="D48" i="144" s="1"/>
  <c r="C2470" i="48"/>
  <c r="F48" i="144" s="1"/>
  <c r="B2470" i="48"/>
  <c r="C48" i="144" s="1"/>
  <c r="D2469" i="48"/>
  <c r="D47" i="144" s="1"/>
  <c r="C2469" i="48"/>
  <c r="F47" i="144" s="1"/>
  <c r="B2469" i="48"/>
  <c r="C47" i="144" s="1"/>
  <c r="D2468" i="48"/>
  <c r="D46" i="144" s="1"/>
  <c r="C2468" i="48"/>
  <c r="F46" i="144" s="1"/>
  <c r="B2468" i="48"/>
  <c r="C46" i="144" s="1"/>
  <c r="D2467" i="48"/>
  <c r="D45" i="144" s="1"/>
  <c r="C2467" i="48"/>
  <c r="F45" i="144" s="1"/>
  <c r="B2467" i="48"/>
  <c r="C45" i="144" s="1"/>
  <c r="D2466" i="48"/>
  <c r="D39" i="144" s="1"/>
  <c r="C2466" i="48"/>
  <c r="F39" i="144" s="1"/>
  <c r="B2466" i="48"/>
  <c r="C39" i="144" s="1"/>
  <c r="C2465" i="48"/>
  <c r="F38" i="144" s="1"/>
  <c r="B2465" i="48"/>
  <c r="C38" i="144" s="1"/>
  <c r="D1975" i="48"/>
  <c r="C1975" i="48"/>
  <c r="D2137" i="48"/>
  <c r="G4" i="142" s="1"/>
  <c r="C2137" i="48"/>
  <c r="F4" i="142" s="1"/>
  <c r="D2299" i="48"/>
  <c r="G4" i="143" s="1"/>
  <c r="C2299" i="48"/>
  <c r="F4" i="143" s="1"/>
  <c r="B2450" i="48"/>
  <c r="B105" i="143" s="1"/>
  <c r="B2448" i="48"/>
  <c r="B107" i="143" s="1"/>
  <c r="B2447" i="48"/>
  <c r="B104" i="143" s="1"/>
  <c r="B2446" i="48"/>
  <c r="B103" i="143" s="1"/>
  <c r="B2445" i="48"/>
  <c r="B102" i="143" s="1"/>
  <c r="H112" i="143"/>
  <c r="D2410" i="48"/>
  <c r="E96" i="143" s="1"/>
  <c r="D2409" i="48"/>
  <c r="E95" i="143" s="1"/>
  <c r="C2409" i="48"/>
  <c r="D2408" i="48"/>
  <c r="C2408" i="48"/>
  <c r="F93" i="143" s="1"/>
  <c r="B2408" i="48"/>
  <c r="C93" i="143" s="1"/>
  <c r="D2407" i="48"/>
  <c r="C2407" i="48"/>
  <c r="F92" i="143" s="1"/>
  <c r="B2407" i="48"/>
  <c r="C92" i="143" s="1"/>
  <c r="D2406" i="48"/>
  <c r="C2406" i="48"/>
  <c r="F76" i="143" s="1"/>
  <c r="B2406" i="48"/>
  <c r="C76" i="143" s="1"/>
  <c r="D2405" i="48"/>
  <c r="C2405" i="48"/>
  <c r="F75" i="143" s="1"/>
  <c r="B2405" i="48"/>
  <c r="C75" i="143" s="1"/>
  <c r="D2404" i="48"/>
  <c r="C2404" i="48"/>
  <c r="F30" i="143" s="1"/>
  <c r="B2404" i="48"/>
  <c r="C30" i="143" s="1"/>
  <c r="D2403" i="48"/>
  <c r="C2403" i="48"/>
  <c r="F29" i="143" s="1"/>
  <c r="B2403" i="48"/>
  <c r="C29" i="143" s="1"/>
  <c r="C2392" i="48"/>
  <c r="B2392" i="48"/>
  <c r="C2345" i="48"/>
  <c r="F52" i="143" s="1"/>
  <c r="B2345" i="48"/>
  <c r="C52" i="143" s="1"/>
  <c r="C2344" i="48"/>
  <c r="F41" i="143" s="1"/>
  <c r="B2344" i="48"/>
  <c r="C41" i="143" s="1"/>
  <c r="C2343" i="48"/>
  <c r="F40" i="143" s="1"/>
  <c r="B2343" i="48"/>
  <c r="C40" i="143" s="1"/>
  <c r="C2342" i="48"/>
  <c r="F17" i="143" s="1"/>
  <c r="B2342" i="48"/>
  <c r="C17" i="143" s="1"/>
  <c r="C2341" i="48"/>
  <c r="F16" i="143" s="1"/>
  <c r="B2341" i="48"/>
  <c r="C16" i="143" s="1"/>
  <c r="C2340" i="48"/>
  <c r="F15" i="143" s="1"/>
  <c r="B2340" i="48"/>
  <c r="C15" i="143" s="1"/>
  <c r="C2339" i="48"/>
  <c r="F14" i="143" s="1"/>
  <c r="B2339" i="48"/>
  <c r="C14" i="143" s="1"/>
  <c r="C2338" i="48"/>
  <c r="F13" i="143" s="1"/>
  <c r="B2338" i="48"/>
  <c r="C13" i="143" s="1"/>
  <c r="C2337" i="48"/>
  <c r="F12" i="143" s="1"/>
  <c r="B2337" i="48"/>
  <c r="C12" i="143" s="1"/>
  <c r="C2336" i="48"/>
  <c r="F11" i="143" s="1"/>
  <c r="B2336" i="48"/>
  <c r="C11" i="143" s="1"/>
  <c r="C2335" i="48"/>
  <c r="F10" i="143" s="1"/>
  <c r="B2335" i="48"/>
  <c r="C10" i="143" s="1"/>
  <c r="C2334" i="48"/>
  <c r="F9" i="143" s="1"/>
  <c r="B2334" i="48"/>
  <c r="C9" i="143" s="1"/>
  <c r="C2333" i="48"/>
  <c r="F62" i="143" s="1"/>
  <c r="B2333" i="48"/>
  <c r="C62" i="143" s="1"/>
  <c r="C2332" i="48"/>
  <c r="F33" i="143" s="1"/>
  <c r="B2332" i="48"/>
  <c r="C33" i="143" s="1"/>
  <c r="C2331" i="48"/>
  <c r="F32" i="143" s="1"/>
  <c r="B2331" i="48"/>
  <c r="C32" i="143" s="1"/>
  <c r="C2330" i="48"/>
  <c r="F80" i="143" s="1"/>
  <c r="B2330" i="48"/>
  <c r="C80" i="143" s="1"/>
  <c r="C2329" i="48"/>
  <c r="F79" i="143" s="1"/>
  <c r="B2329" i="48"/>
  <c r="C79" i="143" s="1"/>
  <c r="C2328" i="48"/>
  <c r="B2328" i="48"/>
  <c r="D66" i="143"/>
  <c r="F66" i="143"/>
  <c r="C66" i="143"/>
  <c r="C2318" i="48"/>
  <c r="F61" i="143" s="1"/>
  <c r="B2318" i="48"/>
  <c r="C61" i="143" s="1"/>
  <c r="C2317" i="48"/>
  <c r="F60" i="143" s="1"/>
  <c r="B2317" i="48"/>
  <c r="C60" i="143" s="1"/>
  <c r="C2316" i="48"/>
  <c r="F59" i="143" s="1"/>
  <c r="B2316" i="48"/>
  <c r="C59" i="143" s="1"/>
  <c r="C2315" i="48"/>
  <c r="F58" i="143" s="1"/>
  <c r="B2315" i="48"/>
  <c r="C58" i="143" s="1"/>
  <c r="D2314" i="48"/>
  <c r="D57" i="143" s="1"/>
  <c r="C2314" i="48"/>
  <c r="F57" i="143" s="1"/>
  <c r="B2314" i="48"/>
  <c r="C57" i="143" s="1"/>
  <c r="D2313" i="48"/>
  <c r="D56" i="143" s="1"/>
  <c r="C2313" i="48"/>
  <c r="F56" i="143" s="1"/>
  <c r="B2313" i="48"/>
  <c r="C56" i="143" s="1"/>
  <c r="D2312" i="48"/>
  <c r="D55" i="143" s="1"/>
  <c r="C2312" i="48"/>
  <c r="F55" i="143" s="1"/>
  <c r="B2312" i="48"/>
  <c r="C55" i="143" s="1"/>
  <c r="C2311" i="48"/>
  <c r="F51" i="143" s="1"/>
  <c r="B2311" i="48"/>
  <c r="C51" i="143" s="1"/>
  <c r="C2310" i="48"/>
  <c r="F50" i="143" s="1"/>
  <c r="B2310" i="48"/>
  <c r="C50" i="143" s="1"/>
  <c r="C2309" i="48"/>
  <c r="F49" i="143" s="1"/>
  <c r="B2309" i="48"/>
  <c r="C49" i="143" s="1"/>
  <c r="D2308" i="48"/>
  <c r="D48" i="143" s="1"/>
  <c r="C2308" i="48"/>
  <c r="F48" i="143" s="1"/>
  <c r="B2308" i="48"/>
  <c r="C48" i="143" s="1"/>
  <c r="D2307" i="48"/>
  <c r="D47" i="143" s="1"/>
  <c r="C2307" i="48"/>
  <c r="F47" i="143" s="1"/>
  <c r="B2307" i="48"/>
  <c r="C47" i="143" s="1"/>
  <c r="D2306" i="48"/>
  <c r="D46" i="143" s="1"/>
  <c r="C2306" i="48"/>
  <c r="F46" i="143" s="1"/>
  <c r="B2306" i="48"/>
  <c r="C46" i="143" s="1"/>
  <c r="D2305" i="48"/>
  <c r="D45" i="143" s="1"/>
  <c r="C2305" i="48"/>
  <c r="F45" i="143" s="1"/>
  <c r="B2305" i="48"/>
  <c r="C45" i="143" s="1"/>
  <c r="D2304" i="48"/>
  <c r="D39" i="143" s="1"/>
  <c r="C2304" i="48"/>
  <c r="F39" i="143" s="1"/>
  <c r="B2304" i="48"/>
  <c r="C39" i="143" s="1"/>
  <c r="C2303" i="48"/>
  <c r="F38" i="143" s="1"/>
  <c r="B2303" i="48"/>
  <c r="C38" i="143" s="1"/>
  <c r="B2288" i="48"/>
  <c r="B104" i="142" s="1"/>
  <c r="B2286" i="48"/>
  <c r="B106" i="142" s="1"/>
  <c r="B2285" i="48"/>
  <c r="B103" i="142" s="1"/>
  <c r="B2284" i="48"/>
  <c r="B102" i="142" s="1"/>
  <c r="B2283" i="48"/>
  <c r="B101" i="142" s="1"/>
  <c r="H111" i="142"/>
  <c r="D2248" i="48"/>
  <c r="E95" i="142" s="1"/>
  <c r="D2247" i="48"/>
  <c r="E94" i="142" s="1"/>
  <c r="C2247" i="48"/>
  <c r="D2246" i="48"/>
  <c r="C2246" i="48"/>
  <c r="F92" i="142" s="1"/>
  <c r="B2246" i="48"/>
  <c r="C92" i="142" s="1"/>
  <c r="D2245" i="48"/>
  <c r="C2245" i="48"/>
  <c r="F91" i="142" s="1"/>
  <c r="B2245" i="48"/>
  <c r="C91" i="142" s="1"/>
  <c r="D2244" i="48"/>
  <c r="C2244" i="48"/>
  <c r="F75" i="142" s="1"/>
  <c r="B2244" i="48"/>
  <c r="C75" i="142" s="1"/>
  <c r="D2243" i="48"/>
  <c r="C2243" i="48"/>
  <c r="F74" i="142" s="1"/>
  <c r="B2243" i="48"/>
  <c r="C74" i="142" s="1"/>
  <c r="D2242" i="48"/>
  <c r="C2242" i="48"/>
  <c r="F30" i="142" s="1"/>
  <c r="B2242" i="48"/>
  <c r="C30" i="142" s="1"/>
  <c r="D2241" i="48"/>
  <c r="C2241" i="48"/>
  <c r="F29" i="142" s="1"/>
  <c r="B2241" i="48"/>
  <c r="C29" i="142" s="1"/>
  <c r="C2230" i="48"/>
  <c r="B2230" i="48"/>
  <c r="C2183" i="48"/>
  <c r="F52" i="142" s="1"/>
  <c r="B2183" i="48"/>
  <c r="C52" i="142" s="1"/>
  <c r="C2182" i="48"/>
  <c r="F41" i="142" s="1"/>
  <c r="B2182" i="48"/>
  <c r="C41" i="142" s="1"/>
  <c r="C2181" i="48"/>
  <c r="F40" i="142" s="1"/>
  <c r="B2181" i="48"/>
  <c r="C40" i="142" s="1"/>
  <c r="C2180" i="48"/>
  <c r="F17" i="142" s="1"/>
  <c r="B2180" i="48"/>
  <c r="C17" i="142" s="1"/>
  <c r="C2179" i="48"/>
  <c r="F16" i="142" s="1"/>
  <c r="B2179" i="48"/>
  <c r="C16" i="142" s="1"/>
  <c r="C2178" i="48"/>
  <c r="F15" i="142" s="1"/>
  <c r="B2178" i="48"/>
  <c r="C15" i="142" s="1"/>
  <c r="C2177" i="48"/>
  <c r="F14" i="142" s="1"/>
  <c r="B2177" i="48"/>
  <c r="C14" i="142" s="1"/>
  <c r="C2176" i="48"/>
  <c r="F13" i="142" s="1"/>
  <c r="B2176" i="48"/>
  <c r="C13" i="142" s="1"/>
  <c r="C2175" i="48"/>
  <c r="F12" i="142" s="1"/>
  <c r="B2175" i="48"/>
  <c r="C12" i="142" s="1"/>
  <c r="C2174" i="48"/>
  <c r="F11" i="142" s="1"/>
  <c r="B2174" i="48"/>
  <c r="C11" i="142" s="1"/>
  <c r="C2173" i="48"/>
  <c r="F10" i="142" s="1"/>
  <c r="B2173" i="48"/>
  <c r="C10" i="142" s="1"/>
  <c r="C2172" i="48"/>
  <c r="F9" i="142" s="1"/>
  <c r="B2172" i="48"/>
  <c r="C9" i="142" s="1"/>
  <c r="C2171" i="48"/>
  <c r="F62" i="142" s="1"/>
  <c r="B2171" i="48"/>
  <c r="C62" i="142" s="1"/>
  <c r="C2170" i="48"/>
  <c r="F33" i="142" s="1"/>
  <c r="B2170" i="48"/>
  <c r="C33" i="142" s="1"/>
  <c r="C2169" i="48"/>
  <c r="F32" i="142" s="1"/>
  <c r="B2169" i="48"/>
  <c r="C32" i="142" s="1"/>
  <c r="C2168" i="48"/>
  <c r="F79" i="142" s="1"/>
  <c r="B2168" i="48"/>
  <c r="C79" i="142" s="1"/>
  <c r="C2167" i="48"/>
  <c r="F78" i="142" s="1"/>
  <c r="B2167" i="48"/>
  <c r="C78" i="142" s="1"/>
  <c r="C2166" i="48"/>
  <c r="F77" i="142" s="1"/>
  <c r="B2166" i="48"/>
  <c r="C77" i="142" s="1"/>
  <c r="D65" i="142"/>
  <c r="F65" i="142"/>
  <c r="C65" i="142"/>
  <c r="C2156" i="48"/>
  <c r="F61" i="142" s="1"/>
  <c r="B2156" i="48"/>
  <c r="C61" i="142" s="1"/>
  <c r="C2155" i="48"/>
  <c r="F60" i="142" s="1"/>
  <c r="B2155" i="48"/>
  <c r="C60" i="142" s="1"/>
  <c r="C2154" i="48"/>
  <c r="F59" i="142" s="1"/>
  <c r="B2154" i="48"/>
  <c r="C59" i="142" s="1"/>
  <c r="C2153" i="48"/>
  <c r="F58" i="142" s="1"/>
  <c r="B2153" i="48"/>
  <c r="C58" i="142" s="1"/>
  <c r="D2152" i="48"/>
  <c r="D57" i="142" s="1"/>
  <c r="C2152" i="48"/>
  <c r="F57" i="142" s="1"/>
  <c r="B2152" i="48"/>
  <c r="C57" i="142" s="1"/>
  <c r="D2151" i="48"/>
  <c r="D56" i="142" s="1"/>
  <c r="C2151" i="48"/>
  <c r="F56" i="142" s="1"/>
  <c r="B2151" i="48"/>
  <c r="C56" i="142" s="1"/>
  <c r="D2150" i="48"/>
  <c r="D55" i="142" s="1"/>
  <c r="C2150" i="48"/>
  <c r="F55" i="142" s="1"/>
  <c r="B2150" i="48"/>
  <c r="C55" i="142" s="1"/>
  <c r="C2149" i="48"/>
  <c r="F51" i="142" s="1"/>
  <c r="B2149" i="48"/>
  <c r="C51" i="142" s="1"/>
  <c r="C2148" i="48"/>
  <c r="F50" i="142" s="1"/>
  <c r="B2148" i="48"/>
  <c r="C50" i="142" s="1"/>
  <c r="C2147" i="48"/>
  <c r="F49" i="142" s="1"/>
  <c r="B2147" i="48"/>
  <c r="C49" i="142" s="1"/>
  <c r="D2146" i="48"/>
  <c r="D48" i="142" s="1"/>
  <c r="C2146" i="48"/>
  <c r="F48" i="142" s="1"/>
  <c r="B2146" i="48"/>
  <c r="C48" i="142" s="1"/>
  <c r="D2145" i="48"/>
  <c r="D47" i="142" s="1"/>
  <c r="C2145" i="48"/>
  <c r="F47" i="142" s="1"/>
  <c r="B2145" i="48"/>
  <c r="C47" i="142" s="1"/>
  <c r="D2144" i="48"/>
  <c r="D46" i="142" s="1"/>
  <c r="C2144" i="48"/>
  <c r="F46" i="142" s="1"/>
  <c r="B2144" i="48"/>
  <c r="C46" i="142" s="1"/>
  <c r="D2143" i="48"/>
  <c r="D45" i="142" s="1"/>
  <c r="C2143" i="48"/>
  <c r="F45" i="142" s="1"/>
  <c r="B2143" i="48"/>
  <c r="C45" i="142" s="1"/>
  <c r="D2142" i="48"/>
  <c r="D39" i="142" s="1"/>
  <c r="C2142" i="48"/>
  <c r="F39" i="142" s="1"/>
  <c r="B2142" i="48"/>
  <c r="C39" i="142" s="1"/>
  <c r="C2141" i="48"/>
  <c r="F38" i="142" s="1"/>
  <c r="B2141" i="48"/>
  <c r="C38" i="142" s="1"/>
  <c r="S2" i="136"/>
  <c r="T2" i="138" s="1"/>
  <c r="R2" i="136"/>
  <c r="S2" i="138" s="1"/>
  <c r="Q2" i="136"/>
  <c r="R2" i="139" s="1"/>
  <c r="P2" i="136"/>
  <c r="Q2" i="139" s="1"/>
  <c r="F35" i="140"/>
  <c r="F63" i="111"/>
  <c r="F63" i="125"/>
  <c r="H104" i="140"/>
  <c r="H102" i="140"/>
  <c r="H101" i="140"/>
  <c r="H100" i="140"/>
  <c r="H99" i="140"/>
  <c r="C95" i="140"/>
  <c r="C94" i="140"/>
  <c r="F90" i="140"/>
  <c r="F88" i="140"/>
  <c r="F87" i="140"/>
  <c r="F86" i="140"/>
  <c r="F85" i="140"/>
  <c r="F84" i="140"/>
  <c r="F83" i="140"/>
  <c r="F28" i="140"/>
  <c r="F82" i="140"/>
  <c r="F81" i="140"/>
  <c r="F80" i="140"/>
  <c r="F63" i="140"/>
  <c r="F53" i="140"/>
  <c r="F36" i="140"/>
  <c r="F43" i="140"/>
  <c r="F42" i="140"/>
  <c r="F34" i="140"/>
  <c r="F27" i="140"/>
  <c r="F25" i="140"/>
  <c r="F24" i="140"/>
  <c r="F23" i="140"/>
  <c r="F22" i="140"/>
  <c r="F21" i="140"/>
  <c r="F20" i="140"/>
  <c r="F19" i="140"/>
  <c r="F18" i="140"/>
  <c r="Q16" i="146" l="1"/>
  <c r="Q30" i="146"/>
  <c r="Q29" i="146"/>
  <c r="Q28" i="146"/>
  <c r="Q15" i="146"/>
  <c r="H18" i="147"/>
  <c r="M18" i="147" s="1"/>
  <c r="Q21" i="146"/>
  <c r="H19" i="147"/>
  <c r="M19" i="147" s="1"/>
  <c r="Q22" i="146"/>
  <c r="H20" i="147"/>
  <c r="Q23" i="146"/>
  <c r="H21" i="147"/>
  <c r="M21" i="147" s="1"/>
  <c r="Q24" i="146"/>
  <c r="H22" i="147"/>
  <c r="M22" i="147" s="1"/>
  <c r="Q26" i="146"/>
  <c r="H17" i="147"/>
  <c r="M17" i="147" s="1"/>
  <c r="Q20" i="146"/>
  <c r="H16" i="147"/>
  <c r="M16" i="147" s="1"/>
  <c r="Q19" i="146"/>
  <c r="H14" i="147"/>
  <c r="M14" i="147" s="1"/>
  <c r="Q17" i="146"/>
  <c r="Q18" i="146"/>
  <c r="H6" i="147"/>
  <c r="M6" i="147" s="1"/>
  <c r="B189" i="48"/>
  <c r="B352" i="48"/>
  <c r="C78" i="143"/>
  <c r="C74" i="143"/>
  <c r="F78" i="143"/>
  <c r="F74" i="143"/>
  <c r="H13" i="147"/>
  <c r="M13" i="147" s="1"/>
  <c r="H12" i="147"/>
  <c r="M12" i="147" s="1"/>
  <c r="H11" i="147"/>
  <c r="M11" i="147" s="1"/>
  <c r="F4" i="136"/>
  <c r="E4" i="136"/>
  <c r="D4" i="136"/>
  <c r="C4" i="136"/>
  <c r="M10" i="147"/>
  <c r="J18" i="147"/>
  <c r="L18" i="147"/>
  <c r="M9" i="147"/>
  <c r="M7" i="147"/>
  <c r="J19" i="147"/>
  <c r="L19" i="147"/>
  <c r="M20" i="147"/>
  <c r="M15" i="147"/>
  <c r="J21" i="147"/>
  <c r="L21" i="147"/>
  <c r="L20" i="147"/>
  <c r="J20" i="147"/>
  <c r="M8" i="147"/>
  <c r="P4" i="136"/>
  <c r="R4" i="136"/>
  <c r="S4" i="136"/>
  <c r="B2461" i="48"/>
  <c r="B4" i="144" s="1"/>
  <c r="B2299" i="48"/>
  <c r="B2294" i="48" s="1"/>
  <c r="C2133" i="48"/>
  <c r="B2623" i="48"/>
  <c r="B2618" i="48" s="1"/>
  <c r="B2137" i="48"/>
  <c r="B4" i="142" s="1"/>
  <c r="B13" i="147"/>
  <c r="B12" i="147"/>
  <c r="C2295" i="48"/>
  <c r="C2457" i="48"/>
  <c r="Q4" i="136"/>
  <c r="C2619" i="48"/>
  <c r="C13" i="149"/>
  <c r="C18" i="149"/>
  <c r="C16" i="149"/>
  <c r="C15" i="149"/>
  <c r="C17" i="149"/>
  <c r="C2781" i="48"/>
  <c r="C1485" i="48"/>
  <c r="C1809" i="48"/>
  <c r="C1971" i="48"/>
  <c r="C1647" i="48"/>
  <c r="C1321" i="48"/>
  <c r="G21" i="146"/>
  <c r="Q2" i="138"/>
  <c r="S2" i="139"/>
  <c r="R2" i="138"/>
  <c r="T2" i="139"/>
  <c r="E2901" i="48" l="1"/>
  <c r="E2900" i="48"/>
  <c r="E2902" i="48"/>
  <c r="E2416" i="48"/>
  <c r="E2414" i="48"/>
  <c r="E2415" i="48"/>
  <c r="E2576" i="48"/>
  <c r="E2578" i="48"/>
  <c r="E2577" i="48"/>
  <c r="E1443" i="48"/>
  <c r="E1444" i="48"/>
  <c r="E1442" i="48"/>
  <c r="E307" i="48"/>
  <c r="E306" i="48"/>
  <c r="E305" i="48"/>
  <c r="E1768" i="48"/>
  <c r="E1767" i="48"/>
  <c r="E1766" i="48"/>
  <c r="E469" i="48"/>
  <c r="E468" i="48"/>
  <c r="E470" i="48"/>
  <c r="E1604" i="48"/>
  <c r="E1605" i="48"/>
  <c r="E1606" i="48"/>
  <c r="E2090" i="48"/>
  <c r="E2092" i="48"/>
  <c r="E2091" i="48"/>
  <c r="E633" i="48"/>
  <c r="E632" i="48"/>
  <c r="E631" i="48"/>
  <c r="E1929" i="48"/>
  <c r="E1930" i="48"/>
  <c r="E1928" i="48"/>
  <c r="E2738" i="48"/>
  <c r="E2740" i="48"/>
  <c r="E2739" i="48"/>
  <c r="E2254" i="48"/>
  <c r="E2253" i="48"/>
  <c r="E2252" i="48"/>
  <c r="G2463" i="48"/>
  <c r="G2464" i="48"/>
  <c r="G2575" i="48"/>
  <c r="G2574" i="48"/>
  <c r="G2614" i="48"/>
  <c r="G2301" i="48"/>
  <c r="G2413" i="48"/>
  <c r="G2302" i="48"/>
  <c r="G2412" i="48"/>
  <c r="G2452" i="48"/>
  <c r="G1491" i="48"/>
  <c r="G1603" i="48"/>
  <c r="G1492" i="48"/>
  <c r="G1642" i="48"/>
  <c r="G1602" i="48"/>
  <c r="E1436" i="48"/>
  <c r="G1480" i="48"/>
  <c r="G1440" i="48"/>
  <c r="G2938" i="48"/>
  <c r="G2787" i="48"/>
  <c r="G2898" i="48"/>
  <c r="G2788" i="48"/>
  <c r="G2899" i="48"/>
  <c r="G1764" i="48"/>
  <c r="G1804" i="48"/>
  <c r="G1653" i="48"/>
  <c r="G1765" i="48"/>
  <c r="G1654" i="48"/>
  <c r="G2088" i="48"/>
  <c r="G2128" i="48"/>
  <c r="G1977" i="48"/>
  <c r="G2089" i="48"/>
  <c r="G1978" i="48"/>
  <c r="G1815" i="48"/>
  <c r="G1816" i="48"/>
  <c r="G1926" i="48"/>
  <c r="G1966" i="48"/>
  <c r="G2736" i="48"/>
  <c r="G2776" i="48"/>
  <c r="G2625" i="48"/>
  <c r="G2737" i="48"/>
  <c r="G2626" i="48"/>
  <c r="G2250" i="48"/>
  <c r="G2290" i="48"/>
  <c r="G2139" i="48"/>
  <c r="G2140" i="48"/>
  <c r="G2251" i="48"/>
  <c r="E2325" i="48"/>
  <c r="E2163" i="48"/>
  <c r="E2488" i="48"/>
  <c r="E2165" i="48"/>
  <c r="E2164" i="48"/>
  <c r="E2327" i="48"/>
  <c r="E2651" i="48"/>
  <c r="E1679" i="48"/>
  <c r="E1354" i="48"/>
  <c r="E238" i="48"/>
  <c r="E225" i="48"/>
  <c r="E237" i="48"/>
  <c r="E308" i="48" s="1"/>
  <c r="E1677" i="48"/>
  <c r="E1678" i="48"/>
  <c r="E1963" i="48"/>
  <c r="E1838" i="48"/>
  <c r="E1837" i="48"/>
  <c r="E1835" i="48"/>
  <c r="E1834" i="48"/>
  <c r="E1833" i="48"/>
  <c r="E1836" i="48"/>
  <c r="E2162" i="48"/>
  <c r="E2161" i="48"/>
  <c r="E2159" i="48"/>
  <c r="E2157" i="48"/>
  <c r="E2158" i="48"/>
  <c r="E2160" i="48"/>
  <c r="E2326" i="48"/>
  <c r="E1839" i="48"/>
  <c r="E1672" i="48"/>
  <c r="E1671" i="48"/>
  <c r="E1673" i="48"/>
  <c r="E1675" i="48"/>
  <c r="E1676" i="48"/>
  <c r="E1674" i="48"/>
  <c r="E2649" i="48"/>
  <c r="E1840" i="48"/>
  <c r="E2486" i="48"/>
  <c r="E2485" i="48"/>
  <c r="E2483" i="48"/>
  <c r="E2482" i="48"/>
  <c r="E2481" i="48"/>
  <c r="E2484" i="48"/>
  <c r="E2487" i="48"/>
  <c r="E1841" i="48"/>
  <c r="E2643" i="48"/>
  <c r="E2648" i="48"/>
  <c r="E2647" i="48"/>
  <c r="E2645" i="48"/>
  <c r="E2644" i="48"/>
  <c r="E2646" i="48"/>
  <c r="E2321" i="48"/>
  <c r="E2323" i="48"/>
  <c r="E2320" i="48"/>
  <c r="E2319" i="48"/>
  <c r="E65" i="143" s="1"/>
  <c r="E2324" i="48"/>
  <c r="E2322" i="48"/>
  <c r="E2650" i="48"/>
  <c r="E2489" i="48"/>
  <c r="E2935" i="48"/>
  <c r="E2810" i="48"/>
  <c r="E2806" i="48"/>
  <c r="E2809" i="48"/>
  <c r="E2807" i="48"/>
  <c r="E2805" i="48"/>
  <c r="F2805" i="48" s="1"/>
  <c r="G2805" i="48" s="1"/>
  <c r="E2808" i="48"/>
  <c r="E2811" i="48"/>
  <c r="E2813" i="48"/>
  <c r="E2812" i="48"/>
  <c r="E1639" i="48"/>
  <c r="E1516" i="48"/>
  <c r="E1515" i="48"/>
  <c r="E1509" i="48"/>
  <c r="E1514" i="48"/>
  <c r="E1510" i="48"/>
  <c r="E1517" i="48"/>
  <c r="E1513" i="48"/>
  <c r="E1511" i="48"/>
  <c r="E1512" i="48"/>
  <c r="E2125" i="48"/>
  <c r="E1999" i="48"/>
  <c r="E1995" i="48"/>
  <c r="E2000" i="48"/>
  <c r="E1997" i="48"/>
  <c r="E1996" i="48"/>
  <c r="E1998" i="48"/>
  <c r="E2001" i="48"/>
  <c r="E2002" i="48"/>
  <c r="E2003" i="48"/>
  <c r="E1477" i="48"/>
  <c r="E1351" i="48"/>
  <c r="E1347" i="48"/>
  <c r="E1350" i="48"/>
  <c r="E1348" i="48"/>
  <c r="E1346" i="48"/>
  <c r="E1349" i="48"/>
  <c r="E1352" i="48"/>
  <c r="E1353" i="48"/>
  <c r="E2773" i="48"/>
  <c r="E2611" i="48"/>
  <c r="E2449" i="48"/>
  <c r="E2287" i="48"/>
  <c r="E1801" i="48"/>
  <c r="Q10" i="146"/>
  <c r="E2719" i="48"/>
  <c r="E2765" i="48" s="1"/>
  <c r="E2558" i="48"/>
  <c r="E2381" i="48"/>
  <c r="E2204" i="48"/>
  <c r="E1355" i="48"/>
  <c r="E2399" i="48"/>
  <c r="E2390" i="48"/>
  <c r="E2382" i="48"/>
  <c r="E2203" i="48"/>
  <c r="E2148" i="48"/>
  <c r="E50" i="142" s="1"/>
  <c r="E2286" i="48"/>
  <c r="E2299" i="48"/>
  <c r="I4" i="143" s="1"/>
  <c r="E2308" i="48"/>
  <c r="E48" i="143" s="1"/>
  <c r="E2404" i="48"/>
  <c r="F2404" i="48" s="1"/>
  <c r="G2404" i="48" s="1"/>
  <c r="E2447" i="48"/>
  <c r="E2346" i="48"/>
  <c r="E2384" i="48"/>
  <c r="E2313" i="48"/>
  <c r="E56" i="143" s="1"/>
  <c r="E2343" i="48"/>
  <c r="E40" i="143" s="1"/>
  <c r="E2375" i="48"/>
  <c r="E2403" i="48"/>
  <c r="E29" i="143" s="1"/>
  <c r="E2347" i="48"/>
  <c r="E2211" i="48"/>
  <c r="E2307" i="48"/>
  <c r="E47" i="143" s="1"/>
  <c r="E2195" i="48"/>
  <c r="E2156" i="48"/>
  <c r="E61" i="142" s="1"/>
  <c r="E2187" i="48"/>
  <c r="E2233" i="48"/>
  <c r="E2235" i="48"/>
  <c r="E2200" i="48"/>
  <c r="E2316" i="48"/>
  <c r="E59" i="143" s="1"/>
  <c r="E2372" i="48"/>
  <c r="E2166" i="48"/>
  <c r="E77" i="142" s="1"/>
  <c r="I77" i="142" s="1"/>
  <c r="J77" i="142" s="1"/>
  <c r="E2173" i="48"/>
  <c r="E10" i="142" s="1"/>
  <c r="I10" i="142" s="1"/>
  <c r="J10" i="142" s="1"/>
  <c r="E2137" i="48"/>
  <c r="I4" i="142" s="1"/>
  <c r="E2230" i="48"/>
  <c r="E89" i="142" s="1"/>
  <c r="E2234" i="48"/>
  <c r="E2232" i="48"/>
  <c r="E2311" i="48"/>
  <c r="E51" i="143" s="1"/>
  <c r="E2387" i="48"/>
  <c r="E2342" i="48"/>
  <c r="E17" i="143" s="1"/>
  <c r="I17" i="143" s="1"/>
  <c r="J17" i="143" s="1"/>
  <c r="B2456" i="48"/>
  <c r="E2142" i="48"/>
  <c r="E39" i="142" s="1"/>
  <c r="E2236" i="48"/>
  <c r="E2155" i="48"/>
  <c r="E60" i="142" s="1"/>
  <c r="E2224" i="48"/>
  <c r="E2315" i="48"/>
  <c r="E58" i="143" s="1"/>
  <c r="E2147" i="48"/>
  <c r="E49" i="142" s="1"/>
  <c r="E2397" i="48"/>
  <c r="E2396" i="48"/>
  <c r="E2141" i="48"/>
  <c r="E38" i="142" s="1"/>
  <c r="E2216" i="48"/>
  <c r="E2408" i="48"/>
  <c r="F2408" i="48" s="1"/>
  <c r="G2408" i="48" s="1"/>
  <c r="B4" i="143"/>
  <c r="E2509" i="48"/>
  <c r="E2378" i="48"/>
  <c r="E2218" i="48"/>
  <c r="E2244" i="48"/>
  <c r="F2244" i="48" s="1"/>
  <c r="G2244" i="48" s="1"/>
  <c r="E2367" i="48"/>
  <c r="E2340" i="48"/>
  <c r="E15" i="143" s="1"/>
  <c r="I15" i="143" s="1"/>
  <c r="J15" i="143" s="1"/>
  <c r="E2309" i="48"/>
  <c r="E49" i="143" s="1"/>
  <c r="E2284" i="48"/>
  <c r="B4" i="145"/>
  <c r="E2388" i="48"/>
  <c r="E2210" i="48"/>
  <c r="E2370" i="48"/>
  <c r="E2402" i="48"/>
  <c r="E2306" i="48"/>
  <c r="E46" i="143" s="1"/>
  <c r="E2359" i="48"/>
  <c r="E2407" i="48"/>
  <c r="F2407" i="48" s="1"/>
  <c r="G2407" i="48" s="1"/>
  <c r="E2317" i="48"/>
  <c r="E60" i="143" s="1"/>
  <c r="E2283" i="48"/>
  <c r="E2380" i="48"/>
  <c r="E2150" i="48"/>
  <c r="E55" i="142" s="1"/>
  <c r="E2202" i="48"/>
  <c r="E2362" i="48"/>
  <c r="E2361" i="48"/>
  <c r="E2401" i="48"/>
  <c r="E2444" i="48" s="1"/>
  <c r="E2190" i="48"/>
  <c r="E2406" i="48"/>
  <c r="F2406" i="48" s="1"/>
  <c r="G2406" i="48" s="1"/>
  <c r="E2240" i="48"/>
  <c r="E2239" i="48"/>
  <c r="E2282" i="48" s="1"/>
  <c r="E2237" i="48"/>
  <c r="E2177" i="48"/>
  <c r="E14" i="142" s="1"/>
  <c r="I14" i="142" s="1"/>
  <c r="J14" i="142" s="1"/>
  <c r="E2220" i="48"/>
  <c r="E2364" i="48"/>
  <c r="E2379" i="48"/>
  <c r="E2385" i="48"/>
  <c r="E2305" i="48"/>
  <c r="E45" i="143" s="1"/>
  <c r="E2303" i="48"/>
  <c r="E38" i="143" s="1"/>
  <c r="E2209" i="48"/>
  <c r="E2205" i="48"/>
  <c r="E2183" i="48"/>
  <c r="E52" i="142" s="1"/>
  <c r="E2186" i="48"/>
  <c r="E2217" i="48"/>
  <c r="E2337" i="48"/>
  <c r="E12" i="143" s="1"/>
  <c r="I12" i="143" s="1"/>
  <c r="J12" i="143" s="1"/>
  <c r="E2376" i="48"/>
  <c r="E2332" i="48"/>
  <c r="E33" i="143" s="1"/>
  <c r="I33" i="143" s="1"/>
  <c r="J33" i="143" s="1"/>
  <c r="E2350" i="48"/>
  <c r="E2392" i="48"/>
  <c r="E90" i="143" s="1"/>
  <c r="E2310" i="48"/>
  <c r="E50" i="143" s="1"/>
  <c r="E2149" i="48"/>
  <c r="E51" i="142" s="1"/>
  <c r="E2227" i="48"/>
  <c r="E2179" i="48"/>
  <c r="E16" i="142" s="1"/>
  <c r="I16" i="142" s="1"/>
  <c r="J16" i="142" s="1"/>
  <c r="E2371" i="48"/>
  <c r="E2334" i="48"/>
  <c r="E9" i="143" s="1"/>
  <c r="I9" i="143" s="1"/>
  <c r="J9" i="143" s="1"/>
  <c r="E2395" i="48"/>
  <c r="E2377" i="48"/>
  <c r="E2333" i="48"/>
  <c r="E62" i="143" s="1"/>
  <c r="I62" i="143" s="1"/>
  <c r="J62" i="143" s="1"/>
  <c r="E2368" i="48"/>
  <c r="E2391" i="48"/>
  <c r="E2328" i="48"/>
  <c r="E2152" i="48"/>
  <c r="E57" i="142" s="1"/>
  <c r="E2445" i="48"/>
  <c r="E2450" i="48"/>
  <c r="E2154" i="48"/>
  <c r="E59" i="142" s="1"/>
  <c r="E2710" i="48"/>
  <c r="E2219" i="48"/>
  <c r="E2246" i="48"/>
  <c r="E92" i="142" s="1"/>
  <c r="G92" i="142" s="1"/>
  <c r="J92" i="142" s="1"/>
  <c r="E2355" i="48"/>
  <c r="E2330" i="48"/>
  <c r="E80" i="143" s="1"/>
  <c r="I80" i="143" s="1"/>
  <c r="J80" i="143" s="1"/>
  <c r="E2386" i="48"/>
  <c r="E2201" i="48"/>
  <c r="E2369" i="48"/>
  <c r="E2329" i="48"/>
  <c r="E79" i="143" s="1"/>
  <c r="I79" i="143" s="1"/>
  <c r="J79" i="143" s="1"/>
  <c r="E2352" i="48"/>
  <c r="E2383" i="48"/>
  <c r="E2172" i="48"/>
  <c r="E9" i="142" s="1"/>
  <c r="I9" i="142" s="1"/>
  <c r="J9" i="142" s="1"/>
  <c r="E2197" i="48"/>
  <c r="E2212" i="48"/>
  <c r="E2193" i="48"/>
  <c r="E2192" i="48"/>
  <c r="E2243" i="48"/>
  <c r="E74" i="142" s="1"/>
  <c r="G74" i="142" s="1"/>
  <c r="J74" i="142" s="1"/>
  <c r="E2215" i="48"/>
  <c r="E2242" i="48"/>
  <c r="E30" i="142" s="1"/>
  <c r="G30" i="142" s="1"/>
  <c r="J30" i="142" s="1"/>
  <c r="E2231" i="48"/>
  <c r="E2238" i="48"/>
  <c r="E2176" i="48"/>
  <c r="E13" i="142" s="1"/>
  <c r="I13" i="142" s="1"/>
  <c r="J13" i="142" s="1"/>
  <c r="E2180" i="48"/>
  <c r="E17" i="142" s="1"/>
  <c r="I17" i="142" s="1"/>
  <c r="J17" i="142" s="1"/>
  <c r="E2184" i="48"/>
  <c r="E2207" i="48"/>
  <c r="E2146" i="48"/>
  <c r="E48" i="142" s="1"/>
  <c r="E2214" i="48"/>
  <c r="E2229" i="48"/>
  <c r="E2167" i="48"/>
  <c r="E78" i="142" s="1"/>
  <c r="I78" i="142" s="1"/>
  <c r="J78" i="142" s="1"/>
  <c r="E2178" i="48"/>
  <c r="E15" i="142" s="1"/>
  <c r="I15" i="142" s="1"/>
  <c r="J15" i="142" s="1"/>
  <c r="E2199" i="48"/>
  <c r="E2206" i="48"/>
  <c r="E2241" i="48"/>
  <c r="E29" i="142" s="1"/>
  <c r="E2221" i="48"/>
  <c r="E2143" i="48"/>
  <c r="E45" i="142" s="1"/>
  <c r="E2466" i="48"/>
  <c r="E39" i="144" s="1"/>
  <c r="E2191" i="48"/>
  <c r="E2198" i="48"/>
  <c r="E2145" i="48"/>
  <c r="E47" i="142" s="1"/>
  <c r="E2213" i="48"/>
  <c r="E2188" i="48"/>
  <c r="E2658" i="48"/>
  <c r="E9" i="145" s="1"/>
  <c r="I9" i="145" s="1"/>
  <c r="J9" i="145" s="1"/>
  <c r="E2506" i="48"/>
  <c r="E41" i="144" s="1"/>
  <c r="E2473" i="48"/>
  <c r="E51" i="144" s="1"/>
  <c r="E2530" i="48"/>
  <c r="E2471" i="48"/>
  <c r="E49" i="144" s="1"/>
  <c r="E2502" i="48"/>
  <c r="E15" i="144" s="1"/>
  <c r="I15" i="144" s="1"/>
  <c r="J15" i="144" s="1"/>
  <c r="E2623" i="48"/>
  <c r="F2623" i="48" s="1"/>
  <c r="F2624" i="48" s="1"/>
  <c r="G2624" i="48" s="1"/>
  <c r="E2633" i="48"/>
  <c r="E49" i="145" s="1"/>
  <c r="E2524" i="48"/>
  <c r="E2523" i="48"/>
  <c r="E2520" i="48"/>
  <c r="E2446" i="48"/>
  <c r="E2318" i="48"/>
  <c r="E61" i="143" s="1"/>
  <c r="E2288" i="48"/>
  <c r="E2285" i="48"/>
  <c r="E2356" i="48"/>
  <c r="E2339" i="48"/>
  <c r="E14" i="143" s="1"/>
  <c r="I14" i="143" s="1"/>
  <c r="J14" i="143" s="1"/>
  <c r="E2516" i="48"/>
  <c r="E2226" i="48"/>
  <c r="E2170" i="48"/>
  <c r="E33" i="142" s="1"/>
  <c r="I33" i="142" s="1"/>
  <c r="J33" i="142" s="1"/>
  <c r="E2515" i="48"/>
  <c r="E2225" i="48"/>
  <c r="E2182" i="48"/>
  <c r="E41" i="142" s="1"/>
  <c r="E2394" i="48"/>
  <c r="E2208" i="48"/>
  <c r="E2169" i="48"/>
  <c r="E32" i="142" s="1"/>
  <c r="I32" i="142" s="1"/>
  <c r="J32" i="142" s="1"/>
  <c r="E2360" i="48"/>
  <c r="E2181" i="48"/>
  <c r="E40" i="142" s="1"/>
  <c r="E2400" i="48"/>
  <c r="E2222" i="48"/>
  <c r="E2168" i="48"/>
  <c r="E79" i="142" s="1"/>
  <c r="I79" i="142" s="1"/>
  <c r="J79" i="142" s="1"/>
  <c r="E2374" i="48"/>
  <c r="E2344" i="48"/>
  <c r="E41" i="143" s="1"/>
  <c r="E2335" i="48"/>
  <c r="E10" i="143" s="1"/>
  <c r="I10" i="143" s="1"/>
  <c r="J10" i="143" s="1"/>
  <c r="E2479" i="48"/>
  <c r="E60" i="144" s="1"/>
  <c r="E2494" i="48"/>
  <c r="E33" i="144" s="1"/>
  <c r="I33" i="144" s="1"/>
  <c r="J33" i="144" s="1"/>
  <c r="E2475" i="48"/>
  <c r="E56" i="144" s="1"/>
  <c r="E2564" i="48"/>
  <c r="E2529" i="48"/>
  <c r="E2549" i="48"/>
  <c r="E2541" i="48"/>
  <c r="E2557" i="48"/>
  <c r="E2490" i="48"/>
  <c r="E77" i="144" s="1"/>
  <c r="I77" i="144" s="1"/>
  <c r="J77" i="144" s="1"/>
  <c r="E2467" i="48"/>
  <c r="E45" i="144" s="1"/>
  <c r="E2556" i="48"/>
  <c r="E2563" i="48"/>
  <c r="E2606" i="48" s="1"/>
  <c r="E2521" i="48"/>
  <c r="E2505" i="48"/>
  <c r="E40" i="144" s="1"/>
  <c r="E2607" i="48"/>
  <c r="E2508" i="48"/>
  <c r="E2570" i="48"/>
  <c r="F2570" i="48" s="1"/>
  <c r="G2570" i="48" s="1"/>
  <c r="E2513" i="48"/>
  <c r="E2501" i="48"/>
  <c r="E14" i="144" s="1"/>
  <c r="I14" i="144" s="1"/>
  <c r="J14" i="144" s="1"/>
  <c r="E2537" i="48"/>
  <c r="E2477" i="48"/>
  <c r="E58" i="144" s="1"/>
  <c r="E2608" i="48"/>
  <c r="E2533" i="48"/>
  <c r="E2476" i="48"/>
  <c r="E57" i="144" s="1"/>
  <c r="E2465" i="48"/>
  <c r="E38" i="144" s="1"/>
  <c r="E2478" i="48"/>
  <c r="E59" i="144" s="1"/>
  <c r="E2507" i="48"/>
  <c r="E52" i="144" s="1"/>
  <c r="E2498" i="48"/>
  <c r="E11" i="144" s="1"/>
  <c r="I11" i="144" s="1"/>
  <c r="J11" i="144" s="1"/>
  <c r="E2610" i="48"/>
  <c r="E2554" i="48"/>
  <c r="E89" i="144" s="1"/>
  <c r="E2472" i="48"/>
  <c r="E50" i="144" s="1"/>
  <c r="E2548" i="48"/>
  <c r="E2547" i="48"/>
  <c r="E2555" i="48"/>
  <c r="E2480" i="48"/>
  <c r="E61" i="144" s="1"/>
  <c r="E2525" i="48"/>
  <c r="E2468" i="48"/>
  <c r="E46" i="144" s="1"/>
  <c r="E2540" i="48"/>
  <c r="E2539" i="48"/>
  <c r="E2546" i="48"/>
  <c r="E2345" i="48"/>
  <c r="E52" i="143" s="1"/>
  <c r="I52" i="143" s="1"/>
  <c r="E2312" i="48"/>
  <c r="E55" i="143" s="1"/>
  <c r="E2366" i="48"/>
  <c r="E2398" i="48"/>
  <c r="E2331" i="48"/>
  <c r="E32" i="143" s="1"/>
  <c r="I32" i="143" s="1"/>
  <c r="J32" i="143" s="1"/>
  <c r="E2144" i="48"/>
  <c r="E46" i="142" s="1"/>
  <c r="E2461" i="48"/>
  <c r="F2461" i="48" s="1"/>
  <c r="F2462" i="48" s="1"/>
  <c r="G2462" i="48" s="1"/>
  <c r="E2448" i="48"/>
  <c r="E2609" i="48"/>
  <c r="E2612" i="48"/>
  <c r="E2153" i="48"/>
  <c r="E58" i="142" s="1"/>
  <c r="E2517" i="48"/>
  <c r="E2348" i="48"/>
  <c r="E2503" i="48"/>
  <c r="E16" i="144" s="1"/>
  <c r="I16" i="144" s="1"/>
  <c r="J16" i="144" s="1"/>
  <c r="E2405" i="48"/>
  <c r="F2405" i="48" s="1"/>
  <c r="G2405" i="48" s="1"/>
  <c r="E2532" i="48"/>
  <c r="E2363" i="48"/>
  <c r="E2194" i="48"/>
  <c r="E2174" i="48"/>
  <c r="E11" i="142" s="1"/>
  <c r="I11" i="142" s="1"/>
  <c r="J11" i="142" s="1"/>
  <c r="E2245" i="48"/>
  <c r="F2245" i="48" s="1"/>
  <c r="G2245" i="48" s="1"/>
  <c r="E2531" i="48"/>
  <c r="E2354" i="48"/>
  <c r="E2185" i="48"/>
  <c r="E2474" i="48"/>
  <c r="E55" i="144" s="1"/>
  <c r="E2538" i="48"/>
  <c r="E2353" i="48"/>
  <c r="E2338" i="48"/>
  <c r="E13" i="143" s="1"/>
  <c r="I13" i="143" s="1"/>
  <c r="J13" i="143" s="1"/>
  <c r="E2314" i="48"/>
  <c r="E57" i="143" s="1"/>
  <c r="E2393" i="48"/>
  <c r="E2223" i="48"/>
  <c r="E2341" i="48"/>
  <c r="E16" i="143" s="1"/>
  <c r="I16" i="143" s="1"/>
  <c r="J16" i="143" s="1"/>
  <c r="E2528" i="48"/>
  <c r="E2351" i="48"/>
  <c r="E2336" i="48"/>
  <c r="E11" i="143" s="1"/>
  <c r="I11" i="143" s="1"/>
  <c r="J11" i="143" s="1"/>
  <c r="E2304" i="48"/>
  <c r="E39" i="143" s="1"/>
  <c r="E2358" i="48"/>
  <c r="E2189" i="48"/>
  <c r="E2228" i="48"/>
  <c r="E2151" i="48"/>
  <c r="E56" i="142" s="1"/>
  <c r="E2551" i="48"/>
  <c r="E2519" i="48"/>
  <c r="E2512" i="48"/>
  <c r="E2365" i="48"/>
  <c r="B2132" i="48"/>
  <c r="E2373" i="48"/>
  <c r="E2196" i="48"/>
  <c r="E2171" i="48"/>
  <c r="E62" i="142" s="1"/>
  <c r="I62" i="142" s="1"/>
  <c r="J62" i="142" s="1"/>
  <c r="E2175" i="48"/>
  <c r="E12" i="142" s="1"/>
  <c r="I12" i="142" s="1"/>
  <c r="J12" i="142" s="1"/>
  <c r="E2357" i="48"/>
  <c r="E2349" i="48"/>
  <c r="E2526" i="48"/>
  <c r="E2492" i="48"/>
  <c r="E79" i="144" s="1"/>
  <c r="I79" i="144" s="1"/>
  <c r="J79" i="144" s="1"/>
  <c r="E2664" i="48"/>
  <c r="E15" i="145" s="1"/>
  <c r="I15" i="145" s="1"/>
  <c r="J15" i="145" s="1"/>
  <c r="E2672" i="48"/>
  <c r="E2693" i="48"/>
  <c r="E2700" i="48"/>
  <c r="E2522" i="48"/>
  <c r="E2497" i="48"/>
  <c r="E10" i="144" s="1"/>
  <c r="I10" i="144" s="1"/>
  <c r="J10" i="144" s="1"/>
  <c r="E2728" i="48"/>
  <c r="F2728" i="48" s="1"/>
  <c r="G2728" i="48" s="1"/>
  <c r="E2562" i="48"/>
  <c r="E2697" i="48"/>
  <c r="E2496" i="48"/>
  <c r="E9" i="144" s="1"/>
  <c r="I9" i="144" s="1"/>
  <c r="J9" i="144" s="1"/>
  <c r="E2470" i="48"/>
  <c r="E48" i="144" s="1"/>
  <c r="E2514" i="48"/>
  <c r="E2493" i="48"/>
  <c r="E32" i="144" s="1"/>
  <c r="I32" i="144" s="1"/>
  <c r="J32" i="144" s="1"/>
  <c r="E2569" i="48"/>
  <c r="E91" i="144" s="1"/>
  <c r="G91" i="144" s="1"/>
  <c r="J91" i="144" s="1"/>
  <c r="E2553" i="48"/>
  <c r="E2561" i="48"/>
  <c r="E2542" i="48"/>
  <c r="E2491" i="48"/>
  <c r="E78" i="144" s="1"/>
  <c r="I78" i="144" s="1"/>
  <c r="J78" i="144" s="1"/>
  <c r="E2500" i="48"/>
  <c r="E13" i="144" s="1"/>
  <c r="I13" i="144" s="1"/>
  <c r="J13" i="144" s="1"/>
  <c r="E2511" i="48"/>
  <c r="E2724" i="48"/>
  <c r="E2545" i="48"/>
  <c r="E2552" i="48"/>
  <c r="E2495" i="48"/>
  <c r="E62" i="144" s="1"/>
  <c r="I62" i="144" s="1"/>
  <c r="J62" i="144" s="1"/>
  <c r="E2469" i="48"/>
  <c r="E47" i="144" s="1"/>
  <c r="E2692" i="48"/>
  <c r="E2666" i="48"/>
  <c r="E17" i="145" s="1"/>
  <c r="I17" i="145" s="1"/>
  <c r="J17" i="145" s="1"/>
  <c r="E2715" i="48"/>
  <c r="E2632" i="48"/>
  <c r="E48" i="145" s="1"/>
  <c r="E2723" i="48"/>
  <c r="E2689" i="48"/>
  <c r="E2660" i="48"/>
  <c r="E11" i="145" s="1"/>
  <c r="I11" i="145" s="1"/>
  <c r="J11" i="145" s="1"/>
  <c r="E2695" i="48"/>
  <c r="E2659" i="48"/>
  <c r="E10" i="145" s="1"/>
  <c r="I10" i="145" s="1"/>
  <c r="J10" i="145" s="1"/>
  <c r="E2667" i="48"/>
  <c r="E40" i="145" s="1"/>
  <c r="E2694" i="48"/>
  <c r="E2663" i="48"/>
  <c r="E14" i="145" s="1"/>
  <c r="I14" i="145" s="1"/>
  <c r="J14" i="145" s="1"/>
  <c r="E2677" i="48"/>
  <c r="E2730" i="48"/>
  <c r="F2730" i="48" s="1"/>
  <c r="G2730" i="48" s="1"/>
  <c r="E2684" i="48"/>
  <c r="E2707" i="48"/>
  <c r="E2714" i="48"/>
  <c r="E2681" i="48"/>
  <c r="E2656" i="48"/>
  <c r="E33" i="145" s="1"/>
  <c r="I33" i="145" s="1"/>
  <c r="J33" i="145" s="1"/>
  <c r="E2638" i="48"/>
  <c r="E57" i="145" s="1"/>
  <c r="E2721" i="48"/>
  <c r="E2655" i="48"/>
  <c r="E32" i="145" s="1"/>
  <c r="I32" i="145" s="1"/>
  <c r="J32" i="145" s="1"/>
  <c r="E2732" i="48"/>
  <c r="F2732" i="48" s="1"/>
  <c r="G2732" i="48" s="1"/>
  <c r="E2716" i="48"/>
  <c r="E89" i="145" s="1"/>
  <c r="E2686" i="48"/>
  <c r="E2627" i="48"/>
  <c r="E38" i="145" s="1"/>
  <c r="E2676" i="48"/>
  <c r="E2699" i="48"/>
  <c r="E2706" i="48"/>
  <c r="E2673" i="48"/>
  <c r="E2652" i="48"/>
  <c r="E77" i="145" s="1"/>
  <c r="I77" i="145" s="1"/>
  <c r="J77" i="145" s="1"/>
  <c r="E2630" i="48"/>
  <c r="E46" i="145" s="1"/>
  <c r="E2712" i="48"/>
  <c r="E2628" i="48"/>
  <c r="E39" i="145" s="1"/>
  <c r="E2685" i="48"/>
  <c r="E2640" i="48"/>
  <c r="E59" i="145" s="1"/>
  <c r="E2678" i="48"/>
  <c r="E2726" i="48"/>
  <c r="E2629" i="48"/>
  <c r="E45" i="145" s="1"/>
  <c r="E2691" i="48"/>
  <c r="E2662" i="48"/>
  <c r="E13" i="145" s="1"/>
  <c r="I13" i="145" s="1"/>
  <c r="J13" i="145" s="1"/>
  <c r="E2698" i="48"/>
  <c r="E2704" i="48"/>
  <c r="E2687" i="48"/>
  <c r="E2679" i="48"/>
  <c r="E2567" i="48"/>
  <c r="E74" i="144" s="1"/>
  <c r="G74" i="144" s="1"/>
  <c r="J74" i="144" s="1"/>
  <c r="E2636" i="48"/>
  <c r="E55" i="145" s="1"/>
  <c r="E2543" i="48"/>
  <c r="E2639" i="48"/>
  <c r="E58" i="145" s="1"/>
  <c r="E2634" i="48"/>
  <c r="E50" i="145" s="1"/>
  <c r="E2670" i="48"/>
  <c r="E2718" i="48"/>
  <c r="E2725" i="48"/>
  <c r="E2768" i="48" s="1"/>
  <c r="E2683" i="48"/>
  <c r="E2661" i="48"/>
  <c r="E12" i="145" s="1"/>
  <c r="I12" i="145" s="1"/>
  <c r="J12" i="145" s="1"/>
  <c r="E2690" i="48"/>
  <c r="E2669" i="48"/>
  <c r="E52" i="145" s="1"/>
  <c r="E2727" i="48"/>
  <c r="F2727" i="48" s="1"/>
  <c r="G2727" i="48" s="1"/>
  <c r="E2722" i="48"/>
  <c r="E2696" i="48"/>
  <c r="E2535" i="48"/>
  <c r="E2671" i="48"/>
  <c r="E2560" i="48"/>
  <c r="E2566" i="48"/>
  <c r="E30" i="144" s="1"/>
  <c r="G30" i="144" s="1"/>
  <c r="J30" i="144" s="1"/>
  <c r="E2703" i="48"/>
  <c r="E2504" i="48"/>
  <c r="E17" i="144" s="1"/>
  <c r="I17" i="144" s="1"/>
  <c r="J17" i="144" s="1"/>
  <c r="E2770" i="48"/>
  <c r="E2731" i="48"/>
  <c r="E91" i="145" s="1"/>
  <c r="G91" i="145" s="1"/>
  <c r="J91" i="145" s="1"/>
  <c r="E2769" i="48"/>
  <c r="E2771" i="48"/>
  <c r="E2642" i="48"/>
  <c r="E61" i="145" s="1"/>
  <c r="E2709" i="48"/>
  <c r="E2717" i="48"/>
  <c r="E2675" i="48"/>
  <c r="E2657" i="48"/>
  <c r="E62" i="145" s="1"/>
  <c r="I62" i="145" s="1"/>
  <c r="J62" i="145" s="1"/>
  <c r="E2682" i="48"/>
  <c r="E2665" i="48"/>
  <c r="E16" i="145" s="1"/>
  <c r="I16" i="145" s="1"/>
  <c r="J16" i="145" s="1"/>
  <c r="E2631" i="48"/>
  <c r="E47" i="145" s="1"/>
  <c r="E2713" i="48"/>
  <c r="E2544" i="48"/>
  <c r="E2688" i="48"/>
  <c r="E2510" i="48"/>
  <c r="E2534" i="48"/>
  <c r="E2527" i="48"/>
  <c r="E2720" i="48"/>
  <c r="E2550" i="48"/>
  <c r="E2641" i="48"/>
  <c r="E60" i="145" s="1"/>
  <c r="E2702" i="48"/>
  <c r="E2654" i="48"/>
  <c r="E79" i="145" s="1"/>
  <c r="I79" i="145" s="1"/>
  <c r="J79" i="145" s="1"/>
  <c r="E2772" i="48"/>
  <c r="E2635" i="48"/>
  <c r="E51" i="145" s="1"/>
  <c r="E2774" i="48"/>
  <c r="E2701" i="48"/>
  <c r="E2708" i="48"/>
  <c r="E2729" i="48"/>
  <c r="E74" i="145" s="1"/>
  <c r="G74" i="145" s="1"/>
  <c r="J74" i="145" s="1"/>
  <c r="E2637" i="48"/>
  <c r="E56" i="145" s="1"/>
  <c r="E2653" i="48"/>
  <c r="E78" i="145" s="1"/>
  <c r="I78" i="145" s="1"/>
  <c r="J78" i="145" s="1"/>
  <c r="E2674" i="48"/>
  <c r="E2568" i="48"/>
  <c r="F2568" i="48" s="1"/>
  <c r="G2568" i="48" s="1"/>
  <c r="E2705" i="48"/>
  <c r="E2536" i="48"/>
  <c r="E2680" i="48"/>
  <c r="E2668" i="48"/>
  <c r="E41" i="145" s="1"/>
  <c r="E2389" i="48"/>
  <c r="E2559" i="48"/>
  <c r="E2711" i="48"/>
  <c r="E2518" i="48"/>
  <c r="E2499" i="48"/>
  <c r="E12" i="144" s="1"/>
  <c r="I12" i="144" s="1"/>
  <c r="J12" i="144" s="1"/>
  <c r="E2565" i="48"/>
  <c r="E29" i="144" s="1"/>
  <c r="F2319" i="48" l="1"/>
  <c r="G2319" i="48" s="1"/>
  <c r="E42" i="145"/>
  <c r="E21" i="144"/>
  <c r="E2582" i="48"/>
  <c r="E85" i="144"/>
  <c r="E2598" i="48"/>
  <c r="E81" i="144"/>
  <c r="E2593" i="48"/>
  <c r="E22" i="145"/>
  <c r="E2745" i="48"/>
  <c r="E84" i="145"/>
  <c r="E2759" i="48"/>
  <c r="E43" i="145"/>
  <c r="G43" i="145" s="1"/>
  <c r="E2766" i="48"/>
  <c r="E53" i="145"/>
  <c r="E2767" i="48"/>
  <c r="E88" i="144"/>
  <c r="I88" i="144" s="1"/>
  <c r="E2601" i="48"/>
  <c r="E27" i="144"/>
  <c r="E2588" i="48"/>
  <c r="E35" i="143"/>
  <c r="E2427" i="48"/>
  <c r="E25" i="142"/>
  <c r="E2262" i="48"/>
  <c r="E81" i="142"/>
  <c r="E2269" i="48"/>
  <c r="E87" i="143"/>
  <c r="I87" i="143" s="1"/>
  <c r="E2437" i="48"/>
  <c r="E34" i="143"/>
  <c r="E2429" i="48"/>
  <c r="E19" i="144"/>
  <c r="E2580" i="48"/>
  <c r="E35" i="144"/>
  <c r="E2589" i="48"/>
  <c r="E82" i="142"/>
  <c r="E2270" i="48"/>
  <c r="E80" i="145"/>
  <c r="E2754" i="48"/>
  <c r="E20" i="144"/>
  <c r="E2581" i="48"/>
  <c r="E23" i="142"/>
  <c r="G23" i="142" s="1"/>
  <c r="E2260" i="48"/>
  <c r="E90" i="144"/>
  <c r="E2602" i="48"/>
  <c r="E63" i="144"/>
  <c r="E2590" i="48"/>
  <c r="E83" i="143"/>
  <c r="E2432" i="48"/>
  <c r="E84" i="143"/>
  <c r="E2434" i="48"/>
  <c r="E80" i="142"/>
  <c r="E2268" i="48"/>
  <c r="E83" i="142"/>
  <c r="E2272" i="48"/>
  <c r="E43" i="143"/>
  <c r="G43" i="143" s="1"/>
  <c r="E2442" i="48"/>
  <c r="E86" i="143"/>
  <c r="E2436" i="48"/>
  <c r="E18" i="144"/>
  <c r="E2579" i="48"/>
  <c r="E21" i="142"/>
  <c r="E2258" i="48"/>
  <c r="E24" i="145"/>
  <c r="E2747" i="48"/>
  <c r="E23" i="144"/>
  <c r="G23" i="144" s="1"/>
  <c r="E2584" i="48"/>
  <c r="E80" i="144"/>
  <c r="E2592" i="48"/>
  <c r="E18" i="145"/>
  <c r="E2741" i="48"/>
  <c r="E83" i="145"/>
  <c r="E2758" i="48"/>
  <c r="E21" i="145"/>
  <c r="E2744" i="48"/>
  <c r="E34" i="145"/>
  <c r="E2753" i="48"/>
  <c r="E25" i="144"/>
  <c r="E2586" i="48"/>
  <c r="E82" i="144"/>
  <c r="E2594" i="48"/>
  <c r="E25" i="143"/>
  <c r="E2424" i="48"/>
  <c r="E87" i="142"/>
  <c r="E2276" i="48"/>
  <c r="E24" i="144"/>
  <c r="E2585" i="48"/>
  <c r="E90" i="142"/>
  <c r="E2278" i="48"/>
  <c r="E88" i="143"/>
  <c r="E2438" i="48"/>
  <c r="E28" i="143"/>
  <c r="E2433" i="48"/>
  <c r="E81" i="143"/>
  <c r="E2430" i="48"/>
  <c r="E18" i="143"/>
  <c r="E2417" i="48"/>
  <c r="E85" i="143"/>
  <c r="E2435" i="48"/>
  <c r="E35" i="142"/>
  <c r="E2265" i="48"/>
  <c r="E86" i="144"/>
  <c r="I86" i="144" s="1"/>
  <c r="E2599" i="48"/>
  <c r="E22" i="144"/>
  <c r="E2583" i="48"/>
  <c r="E27" i="145"/>
  <c r="E2750" i="48"/>
  <c r="E90" i="145"/>
  <c r="E2764" i="48"/>
  <c r="E87" i="145"/>
  <c r="E2762" i="48"/>
  <c r="E26" i="145"/>
  <c r="E2749" i="48"/>
  <c r="E88" i="145"/>
  <c r="I88" i="145" s="1"/>
  <c r="E2763" i="48"/>
  <c r="E63" i="145"/>
  <c r="E2752" i="48"/>
  <c r="E34" i="142"/>
  <c r="E2267" i="48"/>
  <c r="E26" i="144"/>
  <c r="E2587" i="48"/>
  <c r="E21" i="143"/>
  <c r="E2420" i="48"/>
  <c r="E63" i="143"/>
  <c r="E2428" i="48"/>
  <c r="E19" i="142"/>
  <c r="E2256" i="48"/>
  <c r="E27" i="143"/>
  <c r="E2426" i="48"/>
  <c r="E86" i="142"/>
  <c r="I86" i="142" s="1"/>
  <c r="E2275" i="48"/>
  <c r="E26" i="142"/>
  <c r="E2263" i="48"/>
  <c r="E53" i="143"/>
  <c r="E2443" i="48"/>
  <c r="E28" i="145"/>
  <c r="E2757" i="48"/>
  <c r="E19" i="145"/>
  <c r="E2742" i="48"/>
  <c r="E88" i="142"/>
  <c r="I88" i="142" s="1"/>
  <c r="E2277" i="48"/>
  <c r="E22" i="143"/>
  <c r="E2421" i="48"/>
  <c r="E28" i="144"/>
  <c r="E2595" i="48"/>
  <c r="E82" i="143"/>
  <c r="E2431" i="48"/>
  <c r="E23" i="143"/>
  <c r="G23" i="143" s="1"/>
  <c r="E2422" i="48"/>
  <c r="E20" i="142"/>
  <c r="E2257" i="48"/>
  <c r="E86" i="145"/>
  <c r="I86" i="145" s="1"/>
  <c r="E2761" i="48"/>
  <c r="E84" i="142"/>
  <c r="E2273" i="48"/>
  <c r="E43" i="142"/>
  <c r="G43" i="142" s="1"/>
  <c r="E2280" i="48"/>
  <c r="E20" i="145"/>
  <c r="E2743" i="48"/>
  <c r="E81" i="145"/>
  <c r="E2755" i="48"/>
  <c r="E34" i="144"/>
  <c r="E2591" i="48"/>
  <c r="E43" i="144"/>
  <c r="G43" i="144" s="1"/>
  <c r="E2604" i="48"/>
  <c r="E35" i="145"/>
  <c r="E2751" i="48"/>
  <c r="E25" i="145"/>
  <c r="E2748" i="48"/>
  <c r="E83" i="144"/>
  <c r="E2596" i="48"/>
  <c r="E91" i="143"/>
  <c r="E2440" i="48"/>
  <c r="E19" i="143"/>
  <c r="E2418" i="48"/>
  <c r="E63" i="142"/>
  <c r="E2266" i="48"/>
  <c r="E18" i="142"/>
  <c r="E2255" i="48"/>
  <c r="E22" i="142"/>
  <c r="E2259" i="48"/>
  <c r="E26" i="143"/>
  <c r="E2425" i="48"/>
  <c r="E28" i="142"/>
  <c r="E2271" i="48"/>
  <c r="E42" i="142"/>
  <c r="E2279" i="48"/>
  <c r="E82" i="145"/>
  <c r="E2756" i="48"/>
  <c r="E42" i="144"/>
  <c r="E2603" i="48"/>
  <c r="E89" i="143"/>
  <c r="I89" i="143" s="1"/>
  <c r="E2439" i="48"/>
  <c r="E84" i="144"/>
  <c r="E2597" i="48"/>
  <c r="E24" i="142"/>
  <c r="E2261" i="48"/>
  <c r="E23" i="145"/>
  <c r="G23" i="145" s="1"/>
  <c r="E2746" i="48"/>
  <c r="E85" i="145"/>
  <c r="E2760" i="48"/>
  <c r="E87" i="144"/>
  <c r="E2600" i="48"/>
  <c r="E53" i="144"/>
  <c r="E2605" i="48"/>
  <c r="E24" i="143"/>
  <c r="E2423" i="48"/>
  <c r="E85" i="142"/>
  <c r="E2274" i="48"/>
  <c r="E42" i="143"/>
  <c r="E2441" i="48"/>
  <c r="E20" i="143"/>
  <c r="E2419" i="48"/>
  <c r="E53" i="142"/>
  <c r="E2281" i="48"/>
  <c r="E27" i="142"/>
  <c r="E2264" i="48"/>
  <c r="F2299" i="48"/>
  <c r="F2300" i="48" s="1"/>
  <c r="G2300" i="48" s="1"/>
  <c r="E78" i="143"/>
  <c r="I78" i="143" s="1"/>
  <c r="J78" i="143" s="1"/>
  <c r="E74" i="143"/>
  <c r="F1676" i="48"/>
  <c r="G1676" i="48" s="1"/>
  <c r="E70" i="129"/>
  <c r="F1837" i="48"/>
  <c r="G1837" i="48" s="1"/>
  <c r="E69" i="130"/>
  <c r="F2161" i="48"/>
  <c r="G2161" i="48" s="1"/>
  <c r="E69" i="142"/>
  <c r="F2647" i="48"/>
  <c r="G2647" i="48" s="1"/>
  <c r="E69" i="145"/>
  <c r="F1350" i="48"/>
  <c r="G1350" i="48" s="1"/>
  <c r="E70" i="127"/>
  <c r="F2324" i="48"/>
  <c r="G2324" i="48" s="1"/>
  <c r="E70" i="143"/>
  <c r="F1999" i="48"/>
  <c r="G1999" i="48" s="1"/>
  <c r="E69" i="131"/>
  <c r="F1351" i="48"/>
  <c r="G1351" i="48" s="1"/>
  <c r="E71" i="127"/>
  <c r="F2162" i="48"/>
  <c r="G2162" i="48" s="1"/>
  <c r="E70" i="142"/>
  <c r="F1675" i="48"/>
  <c r="G1675" i="48" s="1"/>
  <c r="E69" i="129"/>
  <c r="F1514" i="48"/>
  <c r="G1514" i="48" s="1"/>
  <c r="E70" i="128"/>
  <c r="F2323" i="48"/>
  <c r="G2323" i="48" s="1"/>
  <c r="E69" i="143"/>
  <c r="F1513" i="48"/>
  <c r="G1513" i="48" s="1"/>
  <c r="E69" i="128"/>
  <c r="F2648" i="48"/>
  <c r="G2648" i="48" s="1"/>
  <c r="E70" i="145"/>
  <c r="F2485" i="48"/>
  <c r="G2485" i="48" s="1"/>
  <c r="E69" i="144"/>
  <c r="F1838" i="48"/>
  <c r="G1838" i="48" s="1"/>
  <c r="E70" i="130"/>
  <c r="F2000" i="48"/>
  <c r="G2000" i="48" s="1"/>
  <c r="E70" i="131"/>
  <c r="F2486" i="48"/>
  <c r="G2486" i="48" s="1"/>
  <c r="E70" i="144"/>
  <c r="F1354" i="48"/>
  <c r="G1354" i="48" s="1"/>
  <c r="E74" i="127"/>
  <c r="F2159" i="48"/>
  <c r="G2159" i="48" s="1"/>
  <c r="E67" i="142"/>
  <c r="F2489" i="48"/>
  <c r="G2489" i="48" s="1"/>
  <c r="E73" i="144"/>
  <c r="F2645" i="48"/>
  <c r="G2645" i="48" s="1"/>
  <c r="E67" i="145"/>
  <c r="F2327" i="48"/>
  <c r="G2327" i="48" s="1"/>
  <c r="E73" i="143"/>
  <c r="F1997" i="48"/>
  <c r="G1997" i="48" s="1"/>
  <c r="E67" i="131"/>
  <c r="F2321" i="48"/>
  <c r="G2321" i="48" s="1"/>
  <c r="E67" i="143"/>
  <c r="F1517" i="48"/>
  <c r="G1517" i="48" s="1"/>
  <c r="E73" i="128"/>
  <c r="F1673" i="48"/>
  <c r="G1673" i="48" s="1"/>
  <c r="E67" i="129"/>
  <c r="F1841" i="48"/>
  <c r="G1841" i="48" s="1"/>
  <c r="E73" i="130"/>
  <c r="F2165" i="48"/>
  <c r="G2165" i="48" s="1"/>
  <c r="E73" i="142"/>
  <c r="F2483" i="48"/>
  <c r="G2483" i="48" s="1"/>
  <c r="E67" i="144"/>
  <c r="F1511" i="48"/>
  <c r="G1511" i="48" s="1"/>
  <c r="E67" i="128"/>
  <c r="F1835" i="48"/>
  <c r="G1835" i="48" s="1"/>
  <c r="E67" i="130"/>
  <c r="F2651" i="48"/>
  <c r="G2651" i="48" s="1"/>
  <c r="E73" i="145"/>
  <c r="F2003" i="48"/>
  <c r="G2003" i="48" s="1"/>
  <c r="E73" i="131"/>
  <c r="F1348" i="48"/>
  <c r="G1348" i="48" s="1"/>
  <c r="E68" i="127"/>
  <c r="F1679" i="48"/>
  <c r="G1679" i="48" s="1"/>
  <c r="E73" i="129"/>
  <c r="F1346" i="48"/>
  <c r="G1346" i="48" s="1"/>
  <c r="E66" i="127"/>
  <c r="F1512" i="48"/>
  <c r="G1512" i="48" s="1"/>
  <c r="E68" i="128"/>
  <c r="F1678" i="48"/>
  <c r="G1678" i="48" s="1"/>
  <c r="E72" i="129"/>
  <c r="F2157" i="48"/>
  <c r="G2157" i="48" s="1"/>
  <c r="E65" i="142"/>
  <c r="F2487" i="48"/>
  <c r="G2487" i="48" s="1"/>
  <c r="E71" i="144"/>
  <c r="F2643" i="48"/>
  <c r="G2643" i="48" s="1"/>
  <c r="E65" i="145"/>
  <c r="F1515" i="48"/>
  <c r="G1515" i="48" s="1"/>
  <c r="E71" i="128"/>
  <c r="F1833" i="48"/>
  <c r="G1833" i="48" s="1"/>
  <c r="E65" i="130"/>
  <c r="F2320" i="48"/>
  <c r="G2320" i="48" s="1"/>
  <c r="E66" i="143"/>
  <c r="F1349" i="48"/>
  <c r="G1349" i="48" s="1"/>
  <c r="E69" i="127"/>
  <c r="F1516" i="48"/>
  <c r="G1516" i="48" s="1"/>
  <c r="E72" i="128"/>
  <c r="F1995" i="48"/>
  <c r="G1995" i="48" s="1"/>
  <c r="E65" i="131"/>
  <c r="F1998" i="48"/>
  <c r="G1998" i="48" s="1"/>
  <c r="E68" i="131"/>
  <c r="F2322" i="48"/>
  <c r="G2322" i="48" s="1"/>
  <c r="E68" i="143"/>
  <c r="F1347" i="48"/>
  <c r="G1347" i="48" s="1"/>
  <c r="E67" i="127"/>
  <c r="F1509" i="48"/>
  <c r="G1509" i="48" s="1"/>
  <c r="E65" i="128"/>
  <c r="F1671" i="48"/>
  <c r="G1671" i="48" s="1"/>
  <c r="E65" i="129"/>
  <c r="F1672" i="48"/>
  <c r="G1672" i="48" s="1"/>
  <c r="E66" i="129"/>
  <c r="F1836" i="48"/>
  <c r="G1836" i="48" s="1"/>
  <c r="E68" i="130"/>
  <c r="F2002" i="48"/>
  <c r="G2002" i="48" s="1"/>
  <c r="E72" i="131"/>
  <c r="F2163" i="48"/>
  <c r="G2163" i="48" s="1"/>
  <c r="E71" i="142"/>
  <c r="F2488" i="48"/>
  <c r="G2488" i="48" s="1"/>
  <c r="E72" i="144"/>
  <c r="F2644" i="48"/>
  <c r="G2644" i="48" s="1"/>
  <c r="E66" i="145"/>
  <c r="F1834" i="48"/>
  <c r="G1834" i="48" s="1"/>
  <c r="E66" i="130"/>
  <c r="F2158" i="48"/>
  <c r="G2158" i="48" s="1"/>
  <c r="E66" i="142"/>
  <c r="F2325" i="48"/>
  <c r="G2325" i="48" s="1"/>
  <c r="E71" i="143"/>
  <c r="F2481" i="48"/>
  <c r="G2481" i="48" s="1"/>
  <c r="E65" i="144"/>
  <c r="F2646" i="48"/>
  <c r="G2646" i="48" s="1"/>
  <c r="E68" i="145"/>
  <c r="F1510" i="48"/>
  <c r="G1510" i="48" s="1"/>
  <c r="E66" i="128"/>
  <c r="F1840" i="48"/>
  <c r="G1840" i="48" s="1"/>
  <c r="E72" i="130"/>
  <c r="F1996" i="48"/>
  <c r="G1996" i="48" s="1"/>
  <c r="E66" i="131"/>
  <c r="F2164" i="48"/>
  <c r="G2164" i="48" s="1"/>
  <c r="E72" i="142"/>
  <c r="F2326" i="48"/>
  <c r="G2326" i="48" s="1"/>
  <c r="E72" i="143"/>
  <c r="F2649" i="48"/>
  <c r="G2649" i="48" s="1"/>
  <c r="E71" i="145"/>
  <c r="F1674" i="48"/>
  <c r="G1674" i="48" s="1"/>
  <c r="E68" i="129"/>
  <c r="F2001" i="48"/>
  <c r="G2001" i="48" s="1"/>
  <c r="E71" i="131"/>
  <c r="F2482" i="48"/>
  <c r="G2482" i="48" s="1"/>
  <c r="E66" i="144"/>
  <c r="F1353" i="48"/>
  <c r="G1353" i="48" s="1"/>
  <c r="E73" i="127"/>
  <c r="F1352" i="48"/>
  <c r="G1352" i="48" s="1"/>
  <c r="E72" i="127"/>
  <c r="F1677" i="48"/>
  <c r="G1677" i="48" s="1"/>
  <c r="E71" i="129"/>
  <c r="F1839" i="48"/>
  <c r="G1839" i="48" s="1"/>
  <c r="E71" i="130"/>
  <c r="F2160" i="48"/>
  <c r="G2160" i="48" s="1"/>
  <c r="E68" i="142"/>
  <c r="F2484" i="48"/>
  <c r="G2484" i="48" s="1"/>
  <c r="E68" i="144"/>
  <c r="F2650" i="48"/>
  <c r="G2650" i="48" s="1"/>
  <c r="E72" i="145"/>
  <c r="F2810" i="48"/>
  <c r="G2810" i="48" s="1"/>
  <c r="E70" i="140"/>
  <c r="F2808" i="48"/>
  <c r="G2808" i="48" s="1"/>
  <c r="E68" i="140"/>
  <c r="F2813" i="48"/>
  <c r="G2813" i="48" s="1"/>
  <c r="E73" i="140"/>
  <c r="F2811" i="48"/>
  <c r="G2811" i="48" s="1"/>
  <c r="E71" i="140"/>
  <c r="F2812" i="48"/>
  <c r="G2812" i="48" s="1"/>
  <c r="E72" i="140"/>
  <c r="F2807" i="48"/>
  <c r="G2807" i="48" s="1"/>
  <c r="E67" i="140"/>
  <c r="F2809" i="48"/>
  <c r="G2809" i="48" s="1"/>
  <c r="E69" i="140"/>
  <c r="F2806" i="48"/>
  <c r="G2806" i="48" s="1"/>
  <c r="E66" i="140"/>
  <c r="J4" i="142"/>
  <c r="J5" i="142" s="1"/>
  <c r="I37" i="144"/>
  <c r="N9" i="144" s="1"/>
  <c r="L9" i="144" s="1"/>
  <c r="I44" i="143"/>
  <c r="N10" i="143" s="1"/>
  <c r="L10" i="143" s="1"/>
  <c r="I37" i="142"/>
  <c r="N9" i="142" s="1"/>
  <c r="L9" i="142" s="1"/>
  <c r="I44" i="142"/>
  <c r="N10" i="142" s="1"/>
  <c r="L10" i="142" s="1"/>
  <c r="I54" i="145"/>
  <c r="N11" i="145" s="1"/>
  <c r="L11" i="145" s="1"/>
  <c r="I44" i="145"/>
  <c r="N10" i="145" s="1"/>
  <c r="L10" i="145" s="1"/>
  <c r="I40" i="145"/>
  <c r="J40" i="145" s="1"/>
  <c r="I41" i="145"/>
  <c r="J41" i="145" s="1"/>
  <c r="I52" i="145"/>
  <c r="J52" i="145" s="1"/>
  <c r="I41" i="144"/>
  <c r="J41" i="144" s="1"/>
  <c r="I54" i="144"/>
  <c r="N11" i="144" s="1"/>
  <c r="L11" i="144" s="1"/>
  <c r="I40" i="144"/>
  <c r="J40" i="144" s="1"/>
  <c r="I52" i="144"/>
  <c r="J52" i="144" s="1"/>
  <c r="I44" i="144"/>
  <c r="N10" i="144" s="1"/>
  <c r="L10" i="144" s="1"/>
  <c r="I54" i="143"/>
  <c r="N11" i="143" s="1"/>
  <c r="L11" i="143" s="1"/>
  <c r="J52" i="143"/>
  <c r="I40" i="143"/>
  <c r="J40" i="143" s="1"/>
  <c r="I41" i="143"/>
  <c r="J41" i="143" s="1"/>
  <c r="I37" i="143"/>
  <c r="I54" i="142"/>
  <c r="N11" i="142" s="1"/>
  <c r="L11" i="142" s="1"/>
  <c r="I41" i="142"/>
  <c r="J41" i="142" s="1"/>
  <c r="I40" i="142"/>
  <c r="J40" i="142" s="1"/>
  <c r="I52" i="142"/>
  <c r="J52" i="142" s="1"/>
  <c r="T24" i="146"/>
  <c r="F2403" i="48"/>
  <c r="G2403" i="48" s="1"/>
  <c r="E30" i="143"/>
  <c r="G30" i="143" s="1"/>
  <c r="J30" i="143" s="1"/>
  <c r="E30" i="145"/>
  <c r="G30" i="145" s="1"/>
  <c r="J30" i="145" s="1"/>
  <c r="E92" i="144"/>
  <c r="G92" i="144" s="1"/>
  <c r="J92" i="144" s="1"/>
  <c r="E36" i="143"/>
  <c r="G36" i="143" s="1"/>
  <c r="E92" i="145"/>
  <c r="G92" i="145" s="1"/>
  <c r="J92" i="145" s="1"/>
  <c r="E92" i="143"/>
  <c r="G92" i="143" s="1"/>
  <c r="J92" i="143" s="1"/>
  <c r="E91" i="142"/>
  <c r="G91" i="142" s="1"/>
  <c r="J91" i="142" s="1"/>
  <c r="F2569" i="48"/>
  <c r="G2569" i="48" s="1"/>
  <c r="F2243" i="48"/>
  <c r="G2243" i="48" s="1"/>
  <c r="F2241" i="48"/>
  <c r="G2241" i="48" s="1"/>
  <c r="E93" i="143"/>
  <c r="G93" i="143" s="1"/>
  <c r="J93" i="143" s="1"/>
  <c r="I4" i="144"/>
  <c r="F2729" i="48"/>
  <c r="G2729" i="48" s="1"/>
  <c r="F2242" i="48"/>
  <c r="G2242" i="48" s="1"/>
  <c r="I4" i="145"/>
  <c r="E75" i="143"/>
  <c r="G75" i="143" s="1"/>
  <c r="J75" i="143" s="1"/>
  <c r="E36" i="144"/>
  <c r="G36" i="144" s="1"/>
  <c r="E75" i="142"/>
  <c r="G75" i="142" s="1"/>
  <c r="J75" i="142" s="1"/>
  <c r="F2246" i="48"/>
  <c r="G2246" i="48" s="1"/>
  <c r="E36" i="142"/>
  <c r="G36" i="142" s="1"/>
  <c r="E76" i="143"/>
  <c r="G76" i="143" s="1"/>
  <c r="J76" i="143" s="1"/>
  <c r="F2566" i="48"/>
  <c r="G2566" i="48" s="1"/>
  <c r="E36" i="145"/>
  <c r="G36" i="145" s="1"/>
  <c r="E29" i="145"/>
  <c r="E75" i="145"/>
  <c r="G75" i="145" s="1"/>
  <c r="J75" i="145" s="1"/>
  <c r="F2565" i="48"/>
  <c r="G2565" i="48" s="1"/>
  <c r="F2731" i="48"/>
  <c r="G2731" i="48" s="1"/>
  <c r="E75" i="144"/>
  <c r="G75" i="144" s="1"/>
  <c r="J75" i="144" s="1"/>
  <c r="F2567" i="48"/>
  <c r="G2567" i="48" s="1"/>
  <c r="J4" i="143"/>
  <c r="J5" i="143" s="1"/>
  <c r="G29" i="144"/>
  <c r="J29" i="144" s="1"/>
  <c r="G29" i="142"/>
  <c r="J29" i="142" s="1"/>
  <c r="G29" i="143"/>
  <c r="J29" i="143" s="1"/>
  <c r="I64" i="145" l="1"/>
  <c r="N12" i="142"/>
  <c r="L12" i="142" s="1"/>
  <c r="I64" i="143"/>
  <c r="N12" i="143"/>
  <c r="L12" i="143" s="1"/>
  <c r="I64" i="144"/>
  <c r="I64" i="142"/>
  <c r="G64" i="143"/>
  <c r="G64" i="130"/>
  <c r="G65" i="127"/>
  <c r="G64" i="131"/>
  <c r="G64" i="129"/>
  <c r="G64" i="144"/>
  <c r="G64" i="142"/>
  <c r="G64" i="145"/>
  <c r="G64" i="128"/>
  <c r="G64" i="140"/>
  <c r="T22" i="146"/>
  <c r="T23" i="146"/>
  <c r="T18" i="146"/>
  <c r="T21" i="146"/>
  <c r="T15" i="146"/>
  <c r="N16" i="142"/>
  <c r="L16" i="142" s="1"/>
  <c r="N16" i="145"/>
  <c r="L16" i="145" s="1"/>
  <c r="J37" i="142"/>
  <c r="N12" i="144"/>
  <c r="L12" i="144" s="1"/>
  <c r="N16" i="143"/>
  <c r="L16" i="143" s="1"/>
  <c r="N16" i="144"/>
  <c r="L16" i="144" s="1"/>
  <c r="J37" i="143"/>
  <c r="N9" i="143"/>
  <c r="L9" i="143" s="1"/>
  <c r="J44" i="142"/>
  <c r="G29" i="145"/>
  <c r="J29" i="145" s="1"/>
  <c r="N12" i="145"/>
  <c r="L12" i="145" s="1"/>
  <c r="J4" i="144"/>
  <c r="J5" i="144" s="1"/>
  <c r="J54" i="142"/>
  <c r="J37" i="144"/>
  <c r="I37" i="145"/>
  <c r="J4" i="145"/>
  <c r="J5" i="145" s="1"/>
  <c r="J44" i="145"/>
  <c r="J54" i="143"/>
  <c r="J44" i="143"/>
  <c r="C23" i="48"/>
  <c r="K4" i="136"/>
  <c r="E340" i="48"/>
  <c r="E666" i="48"/>
  <c r="F38" i="140"/>
  <c r="C1979" i="48"/>
  <c r="F38" i="131" s="1"/>
  <c r="C1817" i="48"/>
  <c r="F38" i="130" s="1"/>
  <c r="C1655" i="48"/>
  <c r="F38" i="129" s="1"/>
  <c r="C1168" i="48"/>
  <c r="F38" i="126" s="1"/>
  <c r="C1006" i="48"/>
  <c r="F38" i="125" s="1"/>
  <c r="C844" i="48"/>
  <c r="F38" i="124" s="1"/>
  <c r="C682" i="48"/>
  <c r="F37" i="123" s="1"/>
  <c r="C31" i="48"/>
  <c r="F38" i="111" s="1"/>
  <c r="G12" i="133"/>
  <c r="C35" i="88"/>
  <c r="I4" i="136"/>
  <c r="D189" i="48"/>
  <c r="F189" i="48" s="1"/>
  <c r="D352" i="48"/>
  <c r="F352" i="48" s="1"/>
  <c r="N6" i="94"/>
  <c r="M6" i="94" s="1"/>
  <c r="L6" i="94" s="1"/>
  <c r="D27" i="48"/>
  <c r="G4" i="111" s="1"/>
  <c r="F6" i="94"/>
  <c r="C10" i="94"/>
  <c r="C17" i="94" s="1"/>
  <c r="C24" i="94" s="1"/>
  <c r="D515" i="48"/>
  <c r="O5" i="110" s="1"/>
  <c r="P5" i="110" s="1"/>
  <c r="Q5" i="110" s="1"/>
  <c r="D195" i="48"/>
  <c r="D40" i="119" s="1"/>
  <c r="D196" i="48"/>
  <c r="D46" i="119" s="1"/>
  <c r="D197" i="48"/>
  <c r="D47" i="119" s="1"/>
  <c r="D198" i="48"/>
  <c r="D48" i="119" s="1"/>
  <c r="D199" i="48"/>
  <c r="D49" i="119" s="1"/>
  <c r="D50" i="119"/>
  <c r="D51" i="119"/>
  <c r="D52" i="119"/>
  <c r="D203" i="48"/>
  <c r="D56" i="119" s="1"/>
  <c r="D204" i="48"/>
  <c r="D57" i="119" s="1"/>
  <c r="D205" i="48"/>
  <c r="D58" i="119" s="1"/>
  <c r="D59" i="119"/>
  <c r="D60" i="119"/>
  <c r="D61" i="119"/>
  <c r="D62" i="119"/>
  <c r="D66" i="119"/>
  <c r="D294" i="48"/>
  <c r="D295" i="48"/>
  <c r="D296" i="48"/>
  <c r="D297" i="48"/>
  <c r="D298" i="48"/>
  <c r="D299" i="48"/>
  <c r="D300" i="48"/>
  <c r="E95" i="119" s="1"/>
  <c r="D301" i="48"/>
  <c r="E96" i="119" s="1"/>
  <c r="K10" i="94"/>
  <c r="K9" i="94" s="1"/>
  <c r="O4" i="136"/>
  <c r="D2010" i="48"/>
  <c r="C674" i="48"/>
  <c r="C1160" i="48"/>
  <c r="L4" i="136"/>
  <c r="E1528" i="48" s="1"/>
  <c r="M4" i="136"/>
  <c r="E1690" i="48" s="1"/>
  <c r="N4" i="136"/>
  <c r="T4" i="136"/>
  <c r="D2011" i="48"/>
  <c r="D2013" i="48"/>
  <c r="D29" i="140"/>
  <c r="D30" i="140"/>
  <c r="D2007" i="48"/>
  <c r="D1979" i="48"/>
  <c r="D38" i="131" s="1"/>
  <c r="D1980" i="48"/>
  <c r="D39" i="131" s="1"/>
  <c r="D2021" i="48"/>
  <c r="D1988" i="48"/>
  <c r="D55" i="131" s="1"/>
  <c r="D1989" i="48"/>
  <c r="D56" i="131" s="1"/>
  <c r="D1990" i="48"/>
  <c r="D57" i="131" s="1"/>
  <c r="D1991" i="48"/>
  <c r="D58" i="131" s="1"/>
  <c r="D1992" i="48"/>
  <c r="D59" i="131" s="1"/>
  <c r="D1994" i="48"/>
  <c r="D61" i="131" s="1"/>
  <c r="D65" i="131"/>
  <c r="I64" i="131" s="1"/>
  <c r="D74" i="140"/>
  <c r="D75" i="140"/>
  <c r="D2004" i="48"/>
  <c r="D2005" i="48"/>
  <c r="D91" i="140"/>
  <c r="D92" i="140"/>
  <c r="D2085" i="48"/>
  <c r="E94" i="131" s="1"/>
  <c r="D2086" i="48"/>
  <c r="E95" i="131" s="1"/>
  <c r="D2121" i="48"/>
  <c r="D2122" i="48"/>
  <c r="D2123" i="48"/>
  <c r="D2126" i="48"/>
  <c r="D2124" i="48"/>
  <c r="H109" i="131"/>
  <c r="B2124" i="48"/>
  <c r="B104" i="131" s="1"/>
  <c r="B2126" i="48"/>
  <c r="B102" i="131" s="1"/>
  <c r="B2123" i="48"/>
  <c r="B101" i="131" s="1"/>
  <c r="B2122" i="48"/>
  <c r="B100" i="131" s="1"/>
  <c r="B2121" i="48"/>
  <c r="B99" i="131" s="1"/>
  <c r="C2084" i="48"/>
  <c r="F92" i="131" s="1"/>
  <c r="B2084" i="48"/>
  <c r="C2083" i="48"/>
  <c r="F91" i="131" s="1"/>
  <c r="B2083" i="48"/>
  <c r="F89" i="140"/>
  <c r="D89" i="131"/>
  <c r="C89" i="140"/>
  <c r="C2006" i="48"/>
  <c r="F79" i="131" s="1"/>
  <c r="B2006" i="48"/>
  <c r="C79" i="131" s="1"/>
  <c r="C2005" i="48"/>
  <c r="F78" i="131" s="1"/>
  <c r="B2005" i="48"/>
  <c r="C78" i="131" s="1"/>
  <c r="C2004" i="48"/>
  <c r="B2004" i="48"/>
  <c r="C2082" i="48"/>
  <c r="F75" i="131" s="1"/>
  <c r="B2082" i="48"/>
  <c r="C75" i="131" s="1"/>
  <c r="C2081" i="48"/>
  <c r="F74" i="131" s="1"/>
  <c r="B2081" i="48"/>
  <c r="C74" i="131" s="1"/>
  <c r="F65" i="131"/>
  <c r="C65" i="140"/>
  <c r="C2009" i="48"/>
  <c r="F62" i="131" s="1"/>
  <c r="B2009" i="48"/>
  <c r="C62" i="140" s="1"/>
  <c r="C1994" i="48"/>
  <c r="F61" i="131" s="1"/>
  <c r="B1994" i="48"/>
  <c r="C61" i="140" s="1"/>
  <c r="C1993" i="48"/>
  <c r="F60" i="131" s="1"/>
  <c r="B1993" i="48"/>
  <c r="C60" i="140" s="1"/>
  <c r="C1992" i="48"/>
  <c r="F59" i="131" s="1"/>
  <c r="B1992" i="48"/>
  <c r="C59" i="140" s="1"/>
  <c r="C1991" i="48"/>
  <c r="F58" i="131" s="1"/>
  <c r="B1991" i="48"/>
  <c r="C58" i="140" s="1"/>
  <c r="C1990" i="48"/>
  <c r="F57" i="131" s="1"/>
  <c r="B1990" i="48"/>
  <c r="C57" i="140" s="1"/>
  <c r="C1989" i="48"/>
  <c r="F56" i="131" s="1"/>
  <c r="B1989" i="48"/>
  <c r="C56" i="140" s="1"/>
  <c r="C1988" i="48"/>
  <c r="F55" i="131" s="1"/>
  <c r="B1988" i="48"/>
  <c r="C55" i="140" s="1"/>
  <c r="C2021" i="48"/>
  <c r="F52" i="131" s="1"/>
  <c r="B2021" i="48"/>
  <c r="C52" i="131" s="1"/>
  <c r="C1987" i="48"/>
  <c r="F51" i="131" s="1"/>
  <c r="D1987" i="48"/>
  <c r="D51" i="131" s="1"/>
  <c r="B1987" i="48"/>
  <c r="C51" i="140" s="1"/>
  <c r="C1986" i="48"/>
  <c r="F50" i="131" s="1"/>
  <c r="D1986" i="48"/>
  <c r="D50" i="131" s="1"/>
  <c r="B1986" i="48"/>
  <c r="C50" i="140" s="1"/>
  <c r="C1985" i="48"/>
  <c r="F49" i="131" s="1"/>
  <c r="D1985" i="48"/>
  <c r="D49" i="131" s="1"/>
  <c r="B1985" i="48"/>
  <c r="C49" i="140" s="1"/>
  <c r="C1984" i="48"/>
  <c r="F48" i="131" s="1"/>
  <c r="D1984" i="48"/>
  <c r="D48" i="131" s="1"/>
  <c r="B1984" i="48"/>
  <c r="C48" i="140" s="1"/>
  <c r="C1983" i="48"/>
  <c r="F47" i="131" s="1"/>
  <c r="D1983" i="48"/>
  <c r="D47" i="131" s="1"/>
  <c r="B1983" i="48"/>
  <c r="C47" i="140" s="1"/>
  <c r="C1982" i="48"/>
  <c r="F46" i="131" s="1"/>
  <c r="D1982" i="48"/>
  <c r="D46" i="131" s="1"/>
  <c r="B1982" i="48"/>
  <c r="C46" i="140" s="1"/>
  <c r="C1981" i="48"/>
  <c r="F45" i="131" s="1"/>
  <c r="D1981" i="48"/>
  <c r="D45" i="131" s="1"/>
  <c r="B1981" i="48"/>
  <c r="C45" i="140" s="1"/>
  <c r="C2020" i="48"/>
  <c r="F41" i="131" s="1"/>
  <c r="B2020" i="48"/>
  <c r="C41" i="140" s="1"/>
  <c r="C2019" i="48"/>
  <c r="F40" i="131" s="1"/>
  <c r="B2019" i="48"/>
  <c r="C40" i="140" s="1"/>
  <c r="C1980" i="48"/>
  <c r="F39" i="131" s="1"/>
  <c r="B1980" i="48"/>
  <c r="C39" i="140" s="1"/>
  <c r="B1979" i="48"/>
  <c r="C38" i="140" s="1"/>
  <c r="C2008" i="48"/>
  <c r="F33" i="131" s="1"/>
  <c r="B2008" i="48"/>
  <c r="C33" i="140" s="1"/>
  <c r="C2007" i="48"/>
  <c r="F32" i="131" s="1"/>
  <c r="B2007" i="48"/>
  <c r="C32" i="140" s="1"/>
  <c r="C2080" i="48"/>
  <c r="F30" i="131" s="1"/>
  <c r="B2080" i="48"/>
  <c r="C30" i="131" s="1"/>
  <c r="C2079" i="48"/>
  <c r="F29" i="131" s="1"/>
  <c r="B2079" i="48"/>
  <c r="C29" i="131" s="1"/>
  <c r="C2018" i="48"/>
  <c r="F17" i="131" s="1"/>
  <c r="B2018" i="48"/>
  <c r="C17" i="131" s="1"/>
  <c r="C2017" i="48"/>
  <c r="F16" i="131" s="1"/>
  <c r="B2017" i="48"/>
  <c r="C16" i="131" s="1"/>
  <c r="C2016" i="48"/>
  <c r="F15" i="131" s="1"/>
  <c r="B2016" i="48"/>
  <c r="C15" i="131" s="1"/>
  <c r="C2015" i="48"/>
  <c r="F14" i="131" s="1"/>
  <c r="B2015" i="48"/>
  <c r="C14" i="131" s="1"/>
  <c r="C2014" i="48"/>
  <c r="F13" i="131" s="1"/>
  <c r="B2014" i="48"/>
  <c r="C13" i="131" s="1"/>
  <c r="C2013" i="48"/>
  <c r="F12" i="131" s="1"/>
  <c r="B2013" i="48"/>
  <c r="C12" i="131" s="1"/>
  <c r="C2012" i="48"/>
  <c r="F11" i="131" s="1"/>
  <c r="B2012" i="48"/>
  <c r="C11" i="131" s="1"/>
  <c r="C2011" i="48"/>
  <c r="F10" i="131" s="1"/>
  <c r="B2011" i="48"/>
  <c r="C10" i="131" s="1"/>
  <c r="C2010" i="48"/>
  <c r="F9" i="131" s="1"/>
  <c r="B2010" i="48"/>
  <c r="C9" i="131" s="1"/>
  <c r="B1975" i="48"/>
  <c r="C2894" i="48"/>
  <c r="F92" i="140" s="1"/>
  <c r="B2894" i="48"/>
  <c r="C2893" i="48"/>
  <c r="F91" i="140" s="1"/>
  <c r="B2893" i="48"/>
  <c r="D93" i="132"/>
  <c r="D92" i="132"/>
  <c r="C92" i="131"/>
  <c r="D92" i="131"/>
  <c r="D91" i="131"/>
  <c r="C1922" i="48"/>
  <c r="F92" i="130" s="1"/>
  <c r="B1922" i="48"/>
  <c r="C92" i="130" s="1"/>
  <c r="C1921" i="48"/>
  <c r="F91" i="130" s="1"/>
  <c r="B1921" i="48"/>
  <c r="C91" i="130" s="1"/>
  <c r="D92" i="130"/>
  <c r="D91" i="130"/>
  <c r="C1760" i="48"/>
  <c r="F92" i="129" s="1"/>
  <c r="B1760" i="48"/>
  <c r="C92" i="129" s="1"/>
  <c r="C1759" i="48"/>
  <c r="F91" i="129" s="1"/>
  <c r="B1759" i="48"/>
  <c r="C91" i="129" s="1"/>
  <c r="D92" i="129"/>
  <c r="D91" i="129"/>
  <c r="C1598" i="48"/>
  <c r="F92" i="128" s="1"/>
  <c r="B1598" i="48"/>
  <c r="C92" i="128" s="1"/>
  <c r="C1597" i="48"/>
  <c r="F91" i="128" s="1"/>
  <c r="B1597" i="48"/>
  <c r="C91" i="128" s="1"/>
  <c r="D92" i="128"/>
  <c r="D91" i="128"/>
  <c r="C1435" i="48"/>
  <c r="F99" i="127" s="1"/>
  <c r="B1435" i="48"/>
  <c r="C99" i="127" s="1"/>
  <c r="C1434" i="48"/>
  <c r="F98" i="127" s="1"/>
  <c r="B1434" i="48"/>
  <c r="C98" i="127" s="1"/>
  <c r="D99" i="127"/>
  <c r="D98" i="127"/>
  <c r="B1272" i="48"/>
  <c r="C91" i="126" s="1"/>
  <c r="C1272" i="48"/>
  <c r="F91" i="126" s="1"/>
  <c r="C1271" i="48"/>
  <c r="F75" i="126" s="1"/>
  <c r="B1271" i="48"/>
  <c r="C75" i="126" s="1"/>
  <c r="D92" i="126"/>
  <c r="D91" i="126"/>
  <c r="C1110" i="48"/>
  <c r="F91" i="125" s="1"/>
  <c r="B1110" i="48"/>
  <c r="C91" i="125" s="1"/>
  <c r="C1109" i="48"/>
  <c r="F75" i="125" s="1"/>
  <c r="B1109" i="48"/>
  <c r="C75" i="125" s="1"/>
  <c r="D92" i="125"/>
  <c r="D91" i="125"/>
  <c r="C948" i="48"/>
  <c r="F91" i="124" s="1"/>
  <c r="B948" i="48"/>
  <c r="C91" i="124" s="1"/>
  <c r="C947" i="48"/>
  <c r="F75" i="124" s="1"/>
  <c r="B947" i="48"/>
  <c r="C75" i="124" s="1"/>
  <c r="D92" i="124"/>
  <c r="D91" i="124"/>
  <c r="B786" i="48"/>
  <c r="C91" i="123" s="1"/>
  <c r="C786" i="48"/>
  <c r="F91" i="123" s="1"/>
  <c r="C785" i="48"/>
  <c r="F74" i="123" s="1"/>
  <c r="B785" i="48"/>
  <c r="C74" i="123" s="1"/>
  <c r="D92" i="123"/>
  <c r="D91" i="123"/>
  <c r="C624" i="48"/>
  <c r="F93" i="122" s="1"/>
  <c r="C623" i="48"/>
  <c r="F92" i="122" s="1"/>
  <c r="B624" i="48"/>
  <c r="C92" i="122" s="1"/>
  <c r="B623" i="48"/>
  <c r="C76" i="122" s="1"/>
  <c r="D93" i="122"/>
  <c r="D92" i="122"/>
  <c r="B461" i="48"/>
  <c r="C92" i="121" s="1"/>
  <c r="C461" i="48"/>
  <c r="F93" i="121" s="1"/>
  <c r="C460" i="48"/>
  <c r="F92" i="121" s="1"/>
  <c r="B460" i="48"/>
  <c r="C76" i="121" s="1"/>
  <c r="D93" i="121"/>
  <c r="D92" i="121"/>
  <c r="C299" i="48"/>
  <c r="F93" i="119" s="1"/>
  <c r="C298" i="48"/>
  <c r="F92" i="119" s="1"/>
  <c r="B299" i="48"/>
  <c r="C93" i="119" s="1"/>
  <c r="B298" i="48"/>
  <c r="C92" i="119" s="1"/>
  <c r="D93" i="119"/>
  <c r="D92" i="119"/>
  <c r="D30" i="111"/>
  <c r="D76" i="119"/>
  <c r="D75" i="119"/>
  <c r="D31" i="119"/>
  <c r="D76" i="121"/>
  <c r="D75" i="121"/>
  <c r="D31" i="121"/>
  <c r="D76" i="122"/>
  <c r="D75" i="122"/>
  <c r="D31" i="122"/>
  <c r="D74" i="123"/>
  <c r="D73" i="123"/>
  <c r="D29" i="123"/>
  <c r="D75" i="124"/>
  <c r="D74" i="124"/>
  <c r="D30" i="124"/>
  <c r="D75" i="125"/>
  <c r="D74" i="125"/>
  <c r="D30" i="125"/>
  <c r="D75" i="126"/>
  <c r="D74" i="126"/>
  <c r="D30" i="126"/>
  <c r="D76" i="127"/>
  <c r="D75" i="127"/>
  <c r="D31" i="127"/>
  <c r="D75" i="128"/>
  <c r="D74" i="128"/>
  <c r="D30" i="128"/>
  <c r="D75" i="129"/>
  <c r="D74" i="129"/>
  <c r="D30" i="129"/>
  <c r="C2892" i="48"/>
  <c r="B2892" i="48"/>
  <c r="C2891" i="48"/>
  <c r="B2891" i="48"/>
  <c r="D76" i="132"/>
  <c r="D75" i="132"/>
  <c r="C2890" i="48"/>
  <c r="B2890" i="48"/>
  <c r="D30" i="130"/>
  <c r="D75" i="130"/>
  <c r="D74" i="130"/>
  <c r="D75" i="131"/>
  <c r="D74" i="131"/>
  <c r="D30" i="131"/>
  <c r="D30" i="132"/>
  <c r="C1920" i="48"/>
  <c r="F75" i="130" s="1"/>
  <c r="B1920" i="48"/>
  <c r="C75" i="130" s="1"/>
  <c r="C1919" i="48"/>
  <c r="F74" i="130" s="1"/>
  <c r="B1919" i="48"/>
  <c r="C74" i="130" s="1"/>
  <c r="C1918" i="48"/>
  <c r="F30" i="130" s="1"/>
  <c r="B1918" i="48"/>
  <c r="C30" i="130" s="1"/>
  <c r="B1758" i="48"/>
  <c r="C75" i="129" s="1"/>
  <c r="C1758" i="48"/>
  <c r="F75" i="129" s="1"/>
  <c r="C1757" i="48"/>
  <c r="F74" i="129" s="1"/>
  <c r="B1757" i="48"/>
  <c r="C74" i="129" s="1"/>
  <c r="C1756" i="48"/>
  <c r="F30" i="129" s="1"/>
  <c r="B1756" i="48"/>
  <c r="C30" i="129" s="1"/>
  <c r="C1596" i="48"/>
  <c r="F75" i="128" s="1"/>
  <c r="C1595" i="48"/>
  <c r="F74" i="128" s="1"/>
  <c r="B1596" i="48"/>
  <c r="C75" i="128" s="1"/>
  <c r="B1595" i="48"/>
  <c r="C74" i="128" s="1"/>
  <c r="C1594" i="48"/>
  <c r="F30" i="128" s="1"/>
  <c r="B1594" i="48"/>
  <c r="C30" i="128" s="1"/>
  <c r="C1433" i="48"/>
  <c r="F76" i="127" s="1"/>
  <c r="B1433" i="48"/>
  <c r="C76" i="127" s="1"/>
  <c r="C1432" i="48"/>
  <c r="F75" i="127" s="1"/>
  <c r="B1432" i="48"/>
  <c r="C75" i="127" s="1"/>
  <c r="C1431" i="48"/>
  <c r="F31" i="127" s="1"/>
  <c r="B1431" i="48"/>
  <c r="C31" i="127" s="1"/>
  <c r="C295" i="48"/>
  <c r="F31" i="119" s="1"/>
  <c r="C458" i="48"/>
  <c r="F31" i="121" s="1"/>
  <c r="B458" i="48"/>
  <c r="C31" i="121" s="1"/>
  <c r="C621" i="48"/>
  <c r="F31" i="122" s="1"/>
  <c r="B621" i="48"/>
  <c r="C31" i="122" s="1"/>
  <c r="C783" i="48"/>
  <c r="F29" i="123" s="1"/>
  <c r="B783" i="48"/>
  <c r="C29" i="123" s="1"/>
  <c r="C945" i="48"/>
  <c r="F30" i="124" s="1"/>
  <c r="B945" i="48"/>
  <c r="C30" i="124" s="1"/>
  <c r="C1107" i="48"/>
  <c r="F30" i="125" s="1"/>
  <c r="B1107" i="48"/>
  <c r="C30" i="125" s="1"/>
  <c r="C1269" i="48"/>
  <c r="F30" i="126" s="1"/>
  <c r="B1269" i="48"/>
  <c r="C30" i="126" s="1"/>
  <c r="C1108" i="48"/>
  <c r="F74" i="125" s="1"/>
  <c r="B1270" i="48"/>
  <c r="C74" i="126" s="1"/>
  <c r="B1108" i="48"/>
  <c r="C74" i="125" s="1"/>
  <c r="C946" i="48"/>
  <c r="F74" i="124" s="1"/>
  <c r="B946" i="48"/>
  <c r="C74" i="124" s="1"/>
  <c r="C784" i="48"/>
  <c r="F73" i="123" s="1"/>
  <c r="B784" i="48"/>
  <c r="C73" i="123" s="1"/>
  <c r="C622" i="48"/>
  <c r="F76" i="122" s="1"/>
  <c r="B622" i="48"/>
  <c r="C75" i="122" s="1"/>
  <c r="C459" i="48"/>
  <c r="F76" i="121" s="1"/>
  <c r="B459" i="48"/>
  <c r="C75" i="121" s="1"/>
  <c r="C297" i="48"/>
  <c r="F76" i="119" s="1"/>
  <c r="B297" i="48"/>
  <c r="C76" i="119" s="1"/>
  <c r="C296" i="48"/>
  <c r="F75" i="119" s="1"/>
  <c r="B296" i="48"/>
  <c r="C75" i="119" s="1"/>
  <c r="C2889" i="48"/>
  <c r="B2889" i="48"/>
  <c r="C29" i="140" s="1"/>
  <c r="D29" i="132"/>
  <c r="D29" i="131"/>
  <c r="C1917" i="48"/>
  <c r="F29" i="130" s="1"/>
  <c r="B1917" i="48"/>
  <c r="C29" i="130" s="1"/>
  <c r="D29" i="130"/>
  <c r="C1755" i="48"/>
  <c r="F29" i="129" s="1"/>
  <c r="B1755" i="48"/>
  <c r="C29" i="129" s="1"/>
  <c r="D29" i="129"/>
  <c r="C1593" i="48"/>
  <c r="F29" i="128" s="1"/>
  <c r="B1593" i="48"/>
  <c r="C29" i="128" s="1"/>
  <c r="D29" i="128"/>
  <c r="C1430" i="48"/>
  <c r="F30" i="127" s="1"/>
  <c r="B1430" i="48"/>
  <c r="C30" i="127" s="1"/>
  <c r="D30" i="127"/>
  <c r="C1268" i="48"/>
  <c r="F29" i="126" s="1"/>
  <c r="B1268" i="48"/>
  <c r="C29" i="126" s="1"/>
  <c r="D29" i="126"/>
  <c r="C1106" i="48"/>
  <c r="F29" i="125" s="1"/>
  <c r="B1106" i="48"/>
  <c r="C29" i="125" s="1"/>
  <c r="D29" i="125"/>
  <c r="C944" i="48"/>
  <c r="F29" i="124" s="1"/>
  <c r="B944" i="48"/>
  <c r="C29" i="124" s="1"/>
  <c r="D29" i="124"/>
  <c r="C782" i="48"/>
  <c r="F28" i="123" s="1"/>
  <c r="B782" i="48"/>
  <c r="C28" i="123" s="1"/>
  <c r="D28" i="123"/>
  <c r="C620" i="48"/>
  <c r="F30" i="122" s="1"/>
  <c r="B620" i="48"/>
  <c r="C30" i="122" s="1"/>
  <c r="D30" i="121"/>
  <c r="C457" i="48"/>
  <c r="F30" i="121" s="1"/>
  <c r="B457" i="48"/>
  <c r="C30" i="121" s="1"/>
  <c r="D30" i="122"/>
  <c r="C294" i="48"/>
  <c r="F30" i="119" s="1"/>
  <c r="B295" i="48"/>
  <c r="C31" i="119" s="1"/>
  <c r="B294" i="48"/>
  <c r="C30" i="119" s="1"/>
  <c r="D30" i="119"/>
  <c r="D92" i="111"/>
  <c r="D91" i="111"/>
  <c r="D29" i="111"/>
  <c r="D75" i="111"/>
  <c r="D74" i="111"/>
  <c r="B136" i="48"/>
  <c r="C92" i="111" s="1"/>
  <c r="C136" i="48"/>
  <c r="F92" i="111" s="1"/>
  <c r="C132" i="48"/>
  <c r="F30" i="111" s="1"/>
  <c r="C131" i="48"/>
  <c r="F29" i="111" s="1"/>
  <c r="C134" i="48"/>
  <c r="F75" i="111" s="1"/>
  <c r="C133" i="48"/>
  <c r="F74" i="111" s="1"/>
  <c r="C135" i="48"/>
  <c r="F91" i="111" s="1"/>
  <c r="B135" i="48"/>
  <c r="C91" i="111" s="1"/>
  <c r="B134" i="48"/>
  <c r="C75" i="111" s="1"/>
  <c r="B133" i="48"/>
  <c r="C74" i="111" s="1"/>
  <c r="B132" i="48"/>
  <c r="C30" i="111" s="1"/>
  <c r="B131" i="48"/>
  <c r="C29" i="111" s="1"/>
  <c r="D3056" i="48"/>
  <c r="C3056" i="48"/>
  <c r="B3056" i="48"/>
  <c r="D3055" i="48"/>
  <c r="C3055" i="48"/>
  <c r="B3055" i="48"/>
  <c r="D3054" i="48"/>
  <c r="C3054" i="48"/>
  <c r="B3054" i="48"/>
  <c r="D3053" i="48"/>
  <c r="C3053" i="48"/>
  <c r="B3053" i="48"/>
  <c r="D3052" i="48"/>
  <c r="C3052" i="48"/>
  <c r="B3052" i="48"/>
  <c r="D3051" i="48"/>
  <c r="C3051" i="48"/>
  <c r="B3051" i="48"/>
  <c r="D2894" i="48"/>
  <c r="D2893" i="48"/>
  <c r="D2892" i="48"/>
  <c r="D2891" i="48"/>
  <c r="D2890" i="48"/>
  <c r="D2889" i="48"/>
  <c r="D2084" i="48"/>
  <c r="D2083" i="48"/>
  <c r="D2082" i="48"/>
  <c r="D2081" i="48"/>
  <c r="D2080" i="48"/>
  <c r="D2079" i="48"/>
  <c r="D1922" i="48"/>
  <c r="D1921" i="48"/>
  <c r="D1920" i="48"/>
  <c r="D1919" i="48"/>
  <c r="D1918" i="48"/>
  <c r="D1917" i="48"/>
  <c r="D1760" i="48"/>
  <c r="D1759" i="48"/>
  <c r="D1758" i="48"/>
  <c r="D1757" i="48"/>
  <c r="D1756" i="48"/>
  <c r="D1755" i="48"/>
  <c r="D1598" i="48"/>
  <c r="D1597" i="48"/>
  <c r="D1596" i="48"/>
  <c r="D1595" i="48"/>
  <c r="D1594" i="48"/>
  <c r="D1593" i="48"/>
  <c r="D1435" i="48"/>
  <c r="D1434" i="48"/>
  <c r="D1433" i="48"/>
  <c r="D1432" i="48"/>
  <c r="D1431" i="48"/>
  <c r="D1430" i="48"/>
  <c r="D1273" i="48"/>
  <c r="C1273" i="48"/>
  <c r="F92" i="126" s="1"/>
  <c r="B1273" i="48"/>
  <c r="C92" i="126" s="1"/>
  <c r="D1272" i="48"/>
  <c r="D1271" i="48"/>
  <c r="D1270" i="48"/>
  <c r="C1270" i="48"/>
  <c r="F74" i="126" s="1"/>
  <c r="D1269" i="48"/>
  <c r="D1268" i="48"/>
  <c r="D1111" i="48"/>
  <c r="C1111" i="48"/>
  <c r="F92" i="125" s="1"/>
  <c r="B1111" i="48"/>
  <c r="C92" i="125" s="1"/>
  <c r="D1110" i="48"/>
  <c r="D1109" i="48"/>
  <c r="D1108" i="48"/>
  <c r="D1107" i="48"/>
  <c r="D1106" i="48"/>
  <c r="D949" i="48"/>
  <c r="C949" i="48"/>
  <c r="F92" i="124" s="1"/>
  <c r="B949" i="48"/>
  <c r="C92" i="124" s="1"/>
  <c r="D948" i="48"/>
  <c r="D947" i="48"/>
  <c r="D946" i="48"/>
  <c r="D945" i="48"/>
  <c r="D944" i="48"/>
  <c r="D787" i="48"/>
  <c r="C787" i="48"/>
  <c r="F92" i="123" s="1"/>
  <c r="B787" i="48"/>
  <c r="C92" i="123" s="1"/>
  <c r="D786" i="48"/>
  <c r="D785" i="48"/>
  <c r="D784" i="48"/>
  <c r="D783" i="48"/>
  <c r="D782" i="48"/>
  <c r="D625" i="48"/>
  <c r="C625" i="48"/>
  <c r="B625" i="48"/>
  <c r="C93" i="122" s="1"/>
  <c r="D624" i="48"/>
  <c r="D623" i="48"/>
  <c r="D622" i="48"/>
  <c r="D621" i="48"/>
  <c r="D620" i="48"/>
  <c r="D462" i="48"/>
  <c r="C462" i="48"/>
  <c r="B462" i="48"/>
  <c r="C93" i="121" s="1"/>
  <c r="D461" i="48"/>
  <c r="D460" i="48"/>
  <c r="D459" i="48"/>
  <c r="D458" i="48"/>
  <c r="D457" i="48"/>
  <c r="D136" i="48"/>
  <c r="D135" i="48"/>
  <c r="D133" i="48"/>
  <c r="D132" i="48"/>
  <c r="D134" i="48"/>
  <c r="D131" i="48"/>
  <c r="B2947" i="48"/>
  <c r="B4" i="132" s="1"/>
  <c r="B1002" i="48"/>
  <c r="B997" i="48" s="1"/>
  <c r="C58" i="48"/>
  <c r="F79" i="111" s="1"/>
  <c r="C57" i="48"/>
  <c r="F78" i="111" s="1"/>
  <c r="C56" i="48"/>
  <c r="F77" i="111" s="1"/>
  <c r="F65" i="111"/>
  <c r="C61" i="48"/>
  <c r="F62" i="111" s="1"/>
  <c r="C46" i="48"/>
  <c r="F61" i="111" s="1"/>
  <c r="C45" i="48"/>
  <c r="F60" i="111" s="1"/>
  <c r="C44" i="48"/>
  <c r="F59" i="111" s="1"/>
  <c r="C43" i="48"/>
  <c r="F58" i="111" s="1"/>
  <c r="C42" i="48"/>
  <c r="F57" i="111" s="1"/>
  <c r="C41" i="48"/>
  <c r="F56" i="111" s="1"/>
  <c r="C40" i="48"/>
  <c r="F55" i="111" s="1"/>
  <c r="C73" i="48"/>
  <c r="F52" i="111" s="1"/>
  <c r="C39" i="48"/>
  <c r="F51" i="111" s="1"/>
  <c r="C38" i="48"/>
  <c r="F50" i="111" s="1"/>
  <c r="C37" i="48"/>
  <c r="F49" i="111" s="1"/>
  <c r="C36" i="48"/>
  <c r="F48" i="111" s="1"/>
  <c r="C35" i="48"/>
  <c r="F47" i="111" s="1"/>
  <c r="C34" i="48"/>
  <c r="F46" i="111" s="1"/>
  <c r="C33" i="48"/>
  <c r="F45" i="111" s="1"/>
  <c r="C72" i="48"/>
  <c r="F41" i="111" s="1"/>
  <c r="C71" i="48"/>
  <c r="F40" i="111" s="1"/>
  <c r="C32" i="48"/>
  <c r="F39" i="111" s="1"/>
  <c r="C60" i="48"/>
  <c r="F33" i="111" s="1"/>
  <c r="C59" i="48"/>
  <c r="F32" i="111" s="1"/>
  <c r="C70" i="48"/>
  <c r="F17" i="111" s="1"/>
  <c r="C69" i="48"/>
  <c r="F16" i="111" s="1"/>
  <c r="C68" i="48"/>
  <c r="F15" i="111" s="1"/>
  <c r="C67" i="48"/>
  <c r="F14" i="111" s="1"/>
  <c r="C66" i="48"/>
  <c r="F13" i="111" s="1"/>
  <c r="C65" i="48"/>
  <c r="F12" i="111" s="1"/>
  <c r="C64" i="48"/>
  <c r="F11" i="111" s="1"/>
  <c r="C63" i="48"/>
  <c r="F10" i="111" s="1"/>
  <c r="C62" i="48"/>
  <c r="F9" i="111" s="1"/>
  <c r="C27" i="48"/>
  <c r="F4" i="111" s="1"/>
  <c r="C221" i="48"/>
  <c r="F80" i="119" s="1"/>
  <c r="C220" i="48"/>
  <c r="F79" i="119" s="1"/>
  <c r="C219" i="48"/>
  <c r="F78" i="119" s="1"/>
  <c r="F66" i="119"/>
  <c r="C224" i="48"/>
  <c r="F63" i="119" s="1"/>
  <c r="C209" i="48"/>
  <c r="F62" i="119" s="1"/>
  <c r="C208" i="48"/>
  <c r="F61" i="119" s="1"/>
  <c r="C207" i="48"/>
  <c r="F60" i="119" s="1"/>
  <c r="C206" i="48"/>
  <c r="F59" i="119" s="1"/>
  <c r="C205" i="48"/>
  <c r="F58" i="119" s="1"/>
  <c r="C204" i="48"/>
  <c r="F57" i="119" s="1"/>
  <c r="C203" i="48"/>
  <c r="F56" i="119" s="1"/>
  <c r="C236" i="48"/>
  <c r="F53" i="119" s="1"/>
  <c r="C202" i="48"/>
  <c r="F52" i="119" s="1"/>
  <c r="C201" i="48"/>
  <c r="F51" i="119" s="1"/>
  <c r="C200" i="48"/>
  <c r="F50" i="119" s="1"/>
  <c r="C199" i="48"/>
  <c r="F49" i="119" s="1"/>
  <c r="C198" i="48"/>
  <c r="F48" i="119" s="1"/>
  <c r="C197" i="48"/>
  <c r="F47" i="119" s="1"/>
  <c r="C196" i="48"/>
  <c r="F46" i="119" s="1"/>
  <c r="C235" i="48"/>
  <c r="F42" i="119" s="1"/>
  <c r="C234" i="48"/>
  <c r="F41" i="119" s="1"/>
  <c r="C195" i="48"/>
  <c r="F40" i="119" s="1"/>
  <c r="C223" i="48"/>
  <c r="F34" i="119" s="1"/>
  <c r="C222" i="48"/>
  <c r="F33" i="119" s="1"/>
  <c r="C233" i="48"/>
  <c r="F18" i="119" s="1"/>
  <c r="C232" i="48"/>
  <c r="F17" i="119" s="1"/>
  <c r="C231" i="48"/>
  <c r="F16" i="119" s="1"/>
  <c r="C230" i="48"/>
  <c r="F15" i="119" s="1"/>
  <c r="C229" i="48"/>
  <c r="F14" i="119" s="1"/>
  <c r="C228" i="48"/>
  <c r="F13" i="119" s="1"/>
  <c r="C227" i="48"/>
  <c r="F12" i="119" s="1"/>
  <c r="C226" i="48"/>
  <c r="F11" i="119" s="1"/>
  <c r="C225" i="48"/>
  <c r="F10" i="119" s="1"/>
  <c r="C190" i="48"/>
  <c r="F5" i="119" s="1"/>
  <c r="C189" i="48"/>
  <c r="F4" i="119" s="1"/>
  <c r="C547" i="48"/>
  <c r="F80" i="122" s="1"/>
  <c r="C546" i="48"/>
  <c r="F79" i="122" s="1"/>
  <c r="C545" i="48"/>
  <c r="F78" i="122" s="1"/>
  <c r="C528" i="48"/>
  <c r="F52" i="122" s="1"/>
  <c r="C527" i="48"/>
  <c r="F51" i="122" s="1"/>
  <c r="C526" i="48"/>
  <c r="F50" i="122" s="1"/>
  <c r="C525" i="48"/>
  <c r="F49" i="122" s="1"/>
  <c r="C524" i="48"/>
  <c r="F48" i="122" s="1"/>
  <c r="C523" i="48"/>
  <c r="F47" i="122" s="1"/>
  <c r="C522" i="48"/>
  <c r="F46" i="122" s="1"/>
  <c r="F66" i="122"/>
  <c r="C550" i="48"/>
  <c r="F63" i="122" s="1"/>
  <c r="C535" i="48"/>
  <c r="F62" i="122" s="1"/>
  <c r="C534" i="48"/>
  <c r="F61" i="122" s="1"/>
  <c r="C533" i="48"/>
  <c r="F60" i="122" s="1"/>
  <c r="C532" i="48"/>
  <c r="F59" i="122" s="1"/>
  <c r="C531" i="48"/>
  <c r="F58" i="122" s="1"/>
  <c r="C530" i="48"/>
  <c r="F57" i="122" s="1"/>
  <c r="C529" i="48"/>
  <c r="F56" i="122" s="1"/>
  <c r="F54" i="122"/>
  <c r="C562" i="48"/>
  <c r="F53" i="122" s="1"/>
  <c r="C561" i="48"/>
  <c r="F42" i="122" s="1"/>
  <c r="C560" i="48"/>
  <c r="F41" i="122" s="1"/>
  <c r="C521" i="48"/>
  <c r="F40" i="122" s="1"/>
  <c r="C520" i="48"/>
  <c r="F39" i="122" s="1"/>
  <c r="F36" i="122"/>
  <c r="F35" i="122"/>
  <c r="C549" i="48"/>
  <c r="F34" i="122" s="1"/>
  <c r="C548" i="48"/>
  <c r="F33" i="122" s="1"/>
  <c r="C559" i="48"/>
  <c r="F18" i="122" s="1"/>
  <c r="C558" i="48"/>
  <c r="F17" i="122" s="1"/>
  <c r="C557" i="48"/>
  <c r="F16" i="122" s="1"/>
  <c r="C556" i="48"/>
  <c r="F15" i="122" s="1"/>
  <c r="C555" i="48"/>
  <c r="F14" i="122" s="1"/>
  <c r="C554" i="48"/>
  <c r="F13" i="122" s="1"/>
  <c r="C553" i="48"/>
  <c r="F12" i="122" s="1"/>
  <c r="C552" i="48"/>
  <c r="F11" i="122" s="1"/>
  <c r="C551" i="48"/>
  <c r="F10" i="122" s="1"/>
  <c r="C516" i="48"/>
  <c r="F5" i="122" s="1"/>
  <c r="C515" i="48"/>
  <c r="F4" i="122" s="1"/>
  <c r="C384" i="48"/>
  <c r="F80" i="121" s="1"/>
  <c r="C383" i="48"/>
  <c r="F79" i="121" s="1"/>
  <c r="C382" i="48"/>
  <c r="F78" i="121" s="1"/>
  <c r="C365" i="48"/>
  <c r="F52" i="121" s="1"/>
  <c r="C364" i="48"/>
  <c r="F51" i="121" s="1"/>
  <c r="C363" i="48"/>
  <c r="F50" i="121" s="1"/>
  <c r="C362" i="48"/>
  <c r="F49" i="121" s="1"/>
  <c r="C361" i="48"/>
  <c r="F48" i="121" s="1"/>
  <c r="C360" i="48"/>
  <c r="F47" i="121" s="1"/>
  <c r="C359" i="48"/>
  <c r="F46" i="121" s="1"/>
  <c r="F66" i="121"/>
  <c r="C387" i="48"/>
  <c r="F63" i="121" s="1"/>
  <c r="C372" i="48"/>
  <c r="F62" i="121" s="1"/>
  <c r="C371" i="48"/>
  <c r="F61" i="121" s="1"/>
  <c r="C370" i="48"/>
  <c r="F60" i="121" s="1"/>
  <c r="C369" i="48"/>
  <c r="F59" i="121" s="1"/>
  <c r="C368" i="48"/>
  <c r="F58" i="121" s="1"/>
  <c r="C367" i="48"/>
  <c r="F57" i="121" s="1"/>
  <c r="C366" i="48"/>
  <c r="F56" i="121" s="1"/>
  <c r="C399" i="48"/>
  <c r="F53" i="121" s="1"/>
  <c r="C398" i="48"/>
  <c r="F42" i="121" s="1"/>
  <c r="C397" i="48"/>
  <c r="F41" i="121" s="1"/>
  <c r="C358" i="48"/>
  <c r="F40" i="121" s="1"/>
  <c r="C357" i="48"/>
  <c r="F39" i="121" s="1"/>
  <c r="C386" i="48"/>
  <c r="F34" i="121" s="1"/>
  <c r="C385" i="48"/>
  <c r="F33" i="121" s="1"/>
  <c r="C396" i="48"/>
  <c r="F18" i="121" s="1"/>
  <c r="C395" i="48"/>
  <c r="F17" i="121" s="1"/>
  <c r="C394" i="48"/>
  <c r="F16" i="121" s="1"/>
  <c r="C393" i="48"/>
  <c r="F15" i="121" s="1"/>
  <c r="C392" i="48"/>
  <c r="F14" i="121" s="1"/>
  <c r="C391" i="48"/>
  <c r="F13" i="121" s="1"/>
  <c r="C390" i="48"/>
  <c r="F12" i="121" s="1"/>
  <c r="C389" i="48"/>
  <c r="F11" i="121" s="1"/>
  <c r="C388" i="48"/>
  <c r="F10" i="121" s="1"/>
  <c r="C353" i="48"/>
  <c r="F5" i="121" s="1"/>
  <c r="C352" i="48"/>
  <c r="F4" i="121" s="1"/>
  <c r="C709" i="48"/>
  <c r="F78" i="123" s="1"/>
  <c r="C708" i="48"/>
  <c r="F77" i="123" s="1"/>
  <c r="C707" i="48"/>
  <c r="F76" i="123" s="1"/>
  <c r="F64" i="123"/>
  <c r="C712" i="48"/>
  <c r="F61" i="123" s="1"/>
  <c r="C697" i="48"/>
  <c r="F60" i="123" s="1"/>
  <c r="C696" i="48"/>
  <c r="F59" i="123" s="1"/>
  <c r="C695" i="48"/>
  <c r="F58" i="123" s="1"/>
  <c r="C694" i="48"/>
  <c r="F57" i="123" s="1"/>
  <c r="C693" i="48"/>
  <c r="F56" i="123" s="1"/>
  <c r="C692" i="48"/>
  <c r="F55" i="123" s="1"/>
  <c r="C691" i="48"/>
  <c r="F54" i="123" s="1"/>
  <c r="C724" i="48"/>
  <c r="F51" i="123" s="1"/>
  <c r="C690" i="48"/>
  <c r="F50" i="123" s="1"/>
  <c r="C689" i="48"/>
  <c r="F49" i="123" s="1"/>
  <c r="C688" i="48"/>
  <c r="F48" i="123" s="1"/>
  <c r="C687" i="48"/>
  <c r="F47" i="123" s="1"/>
  <c r="C686" i="48"/>
  <c r="F46" i="123" s="1"/>
  <c r="C685" i="48"/>
  <c r="F45" i="123" s="1"/>
  <c r="C684" i="48"/>
  <c r="F44" i="123" s="1"/>
  <c r="C723" i="48"/>
  <c r="F40" i="123" s="1"/>
  <c r="C722" i="48"/>
  <c r="F39" i="123" s="1"/>
  <c r="C683" i="48"/>
  <c r="F38" i="123" s="1"/>
  <c r="C711" i="48"/>
  <c r="F32" i="123" s="1"/>
  <c r="C710" i="48"/>
  <c r="F31" i="123" s="1"/>
  <c r="C721" i="48"/>
  <c r="F17" i="123" s="1"/>
  <c r="C720" i="48"/>
  <c r="F16" i="123" s="1"/>
  <c r="C719" i="48"/>
  <c r="F15" i="123" s="1"/>
  <c r="C718" i="48"/>
  <c r="F14" i="123" s="1"/>
  <c r="C717" i="48"/>
  <c r="F13" i="123" s="1"/>
  <c r="C716" i="48"/>
  <c r="F12" i="123" s="1"/>
  <c r="C715" i="48"/>
  <c r="F11" i="123" s="1"/>
  <c r="C714" i="48"/>
  <c r="F10" i="123" s="1"/>
  <c r="C713" i="48"/>
  <c r="F9" i="123" s="1"/>
  <c r="C678" i="48"/>
  <c r="F4" i="123" s="1"/>
  <c r="C871" i="48"/>
  <c r="F79" i="124" s="1"/>
  <c r="C870" i="48"/>
  <c r="F78" i="124" s="1"/>
  <c r="C869" i="48"/>
  <c r="F77" i="124" s="1"/>
  <c r="F65" i="124"/>
  <c r="C874" i="48"/>
  <c r="F62" i="124" s="1"/>
  <c r="C859" i="48"/>
  <c r="F61" i="124" s="1"/>
  <c r="C858" i="48"/>
  <c r="F60" i="124" s="1"/>
  <c r="C857" i="48"/>
  <c r="F59" i="124" s="1"/>
  <c r="C856" i="48"/>
  <c r="F58" i="124" s="1"/>
  <c r="C855" i="48"/>
  <c r="F57" i="124" s="1"/>
  <c r="C854" i="48"/>
  <c r="F56" i="124" s="1"/>
  <c r="C853" i="48"/>
  <c r="F55" i="124" s="1"/>
  <c r="C886" i="48"/>
  <c r="F52" i="124" s="1"/>
  <c r="C852" i="48"/>
  <c r="F51" i="124" s="1"/>
  <c r="C851" i="48"/>
  <c r="F50" i="124" s="1"/>
  <c r="C850" i="48"/>
  <c r="F49" i="124" s="1"/>
  <c r="C849" i="48"/>
  <c r="F48" i="124" s="1"/>
  <c r="C848" i="48"/>
  <c r="F47" i="124" s="1"/>
  <c r="C847" i="48"/>
  <c r="F46" i="124" s="1"/>
  <c r="C846" i="48"/>
  <c r="F45" i="124" s="1"/>
  <c r="C885" i="48"/>
  <c r="F41" i="124" s="1"/>
  <c r="C884" i="48"/>
  <c r="F40" i="124" s="1"/>
  <c r="C845" i="48"/>
  <c r="F39" i="124" s="1"/>
  <c r="C873" i="48"/>
  <c r="F33" i="124" s="1"/>
  <c r="C872" i="48"/>
  <c r="F32" i="124" s="1"/>
  <c r="C883" i="48"/>
  <c r="F17" i="124" s="1"/>
  <c r="C882" i="48"/>
  <c r="F16" i="124" s="1"/>
  <c r="C881" i="48"/>
  <c r="F15" i="124" s="1"/>
  <c r="C880" i="48"/>
  <c r="F14" i="124" s="1"/>
  <c r="C879" i="48"/>
  <c r="F13" i="124" s="1"/>
  <c r="C878" i="48"/>
  <c r="F12" i="124" s="1"/>
  <c r="C877" i="48"/>
  <c r="F11" i="124" s="1"/>
  <c r="C876" i="48"/>
  <c r="F10" i="124" s="1"/>
  <c r="C875" i="48"/>
  <c r="F9" i="124" s="1"/>
  <c r="C840" i="48"/>
  <c r="F4" i="124" s="1"/>
  <c r="C1033" i="48"/>
  <c r="F79" i="125" s="1"/>
  <c r="C1032" i="48"/>
  <c r="F78" i="125" s="1"/>
  <c r="C1031" i="48"/>
  <c r="F77" i="125" s="1"/>
  <c r="F65" i="125"/>
  <c r="C1036" i="48"/>
  <c r="F62" i="125" s="1"/>
  <c r="C1021" i="48"/>
  <c r="F61" i="125" s="1"/>
  <c r="C1020" i="48"/>
  <c r="F60" i="125" s="1"/>
  <c r="C1019" i="48"/>
  <c r="F59" i="125" s="1"/>
  <c r="C1018" i="48"/>
  <c r="F58" i="125" s="1"/>
  <c r="C1017" i="48"/>
  <c r="F57" i="125" s="1"/>
  <c r="C1016" i="48"/>
  <c r="F56" i="125" s="1"/>
  <c r="C1015" i="48"/>
  <c r="F55" i="125" s="1"/>
  <c r="C1048" i="48"/>
  <c r="F52" i="125" s="1"/>
  <c r="C1014" i="48"/>
  <c r="F51" i="125" s="1"/>
  <c r="C1013" i="48"/>
  <c r="F50" i="125" s="1"/>
  <c r="C1012" i="48"/>
  <c r="F49" i="125" s="1"/>
  <c r="C1011" i="48"/>
  <c r="F48" i="125" s="1"/>
  <c r="C1010" i="48"/>
  <c r="F47" i="125" s="1"/>
  <c r="C1009" i="48"/>
  <c r="F46" i="125" s="1"/>
  <c r="C1008" i="48"/>
  <c r="F45" i="125" s="1"/>
  <c r="C1047" i="48"/>
  <c r="F41" i="125" s="1"/>
  <c r="C1046" i="48"/>
  <c r="F40" i="125" s="1"/>
  <c r="C1007" i="48"/>
  <c r="F39" i="125" s="1"/>
  <c r="C1035" i="48"/>
  <c r="F33" i="125" s="1"/>
  <c r="C1034" i="48"/>
  <c r="F32" i="125" s="1"/>
  <c r="C1045" i="48"/>
  <c r="F17" i="125" s="1"/>
  <c r="C1044" i="48"/>
  <c r="F16" i="125" s="1"/>
  <c r="C1043" i="48"/>
  <c r="F15" i="125" s="1"/>
  <c r="C1042" i="48"/>
  <c r="F14" i="125" s="1"/>
  <c r="C1041" i="48"/>
  <c r="F13" i="125" s="1"/>
  <c r="C1040" i="48"/>
  <c r="F12" i="125" s="1"/>
  <c r="C1039" i="48"/>
  <c r="F11" i="125" s="1"/>
  <c r="C1038" i="48"/>
  <c r="F10" i="125" s="1"/>
  <c r="C1037" i="48"/>
  <c r="F9" i="125" s="1"/>
  <c r="C1195" i="48"/>
  <c r="F79" i="126" s="1"/>
  <c r="C1194" i="48"/>
  <c r="F78" i="126" s="1"/>
  <c r="C1193" i="48"/>
  <c r="F77" i="126" s="1"/>
  <c r="F65" i="126"/>
  <c r="C1198" i="48"/>
  <c r="F62" i="126" s="1"/>
  <c r="C1183" i="48"/>
  <c r="F61" i="126" s="1"/>
  <c r="C1182" i="48"/>
  <c r="F60" i="126" s="1"/>
  <c r="C1181" i="48"/>
  <c r="F59" i="126" s="1"/>
  <c r="C1180" i="48"/>
  <c r="F58" i="126" s="1"/>
  <c r="C1179" i="48"/>
  <c r="F57" i="126" s="1"/>
  <c r="C1178" i="48"/>
  <c r="F56" i="126" s="1"/>
  <c r="C1177" i="48"/>
  <c r="F55" i="126" s="1"/>
  <c r="C1210" i="48"/>
  <c r="F52" i="126" s="1"/>
  <c r="C1176" i="48"/>
  <c r="F51" i="126" s="1"/>
  <c r="C1175" i="48"/>
  <c r="F50" i="126" s="1"/>
  <c r="C1174" i="48"/>
  <c r="F49" i="126" s="1"/>
  <c r="C1173" i="48"/>
  <c r="F48" i="126" s="1"/>
  <c r="C1172" i="48"/>
  <c r="F47" i="126" s="1"/>
  <c r="C1171" i="48"/>
  <c r="F46" i="126" s="1"/>
  <c r="C1170" i="48"/>
  <c r="F45" i="126" s="1"/>
  <c r="C1209" i="48"/>
  <c r="F41" i="126" s="1"/>
  <c r="C1208" i="48"/>
  <c r="F40" i="126" s="1"/>
  <c r="C1169" i="48"/>
  <c r="F39" i="126" s="1"/>
  <c r="C1197" i="48"/>
  <c r="F33" i="126" s="1"/>
  <c r="C1196" i="48"/>
  <c r="F32" i="126" s="1"/>
  <c r="C1207" i="48"/>
  <c r="F17" i="126" s="1"/>
  <c r="C1206" i="48"/>
  <c r="F16" i="126" s="1"/>
  <c r="C1205" i="48"/>
  <c r="F15" i="126" s="1"/>
  <c r="C1204" i="48"/>
  <c r="F14" i="126" s="1"/>
  <c r="C1203" i="48"/>
  <c r="F13" i="126" s="1"/>
  <c r="C1202" i="48"/>
  <c r="F12" i="126" s="1"/>
  <c r="C1201" i="48"/>
  <c r="F11" i="126" s="1"/>
  <c r="C1200" i="48"/>
  <c r="F10" i="126" s="1"/>
  <c r="C1199" i="48"/>
  <c r="F9" i="126" s="1"/>
  <c r="C1164" i="48"/>
  <c r="F4" i="126" s="1"/>
  <c r="C1357" i="48"/>
  <c r="F83" i="127" s="1"/>
  <c r="C1356" i="48"/>
  <c r="F82" i="127" s="1"/>
  <c r="C1355" i="48"/>
  <c r="F81" i="127" s="1"/>
  <c r="F66" i="127"/>
  <c r="C1360" i="48"/>
  <c r="F63" i="127" s="1"/>
  <c r="C1345" i="48"/>
  <c r="F62" i="127" s="1"/>
  <c r="C1344" i="48"/>
  <c r="F61" i="127" s="1"/>
  <c r="C1343" i="48"/>
  <c r="F60" i="127" s="1"/>
  <c r="C1342" i="48"/>
  <c r="F59" i="127" s="1"/>
  <c r="C1341" i="48"/>
  <c r="F58" i="127" s="1"/>
  <c r="C1340" i="48"/>
  <c r="F57" i="127" s="1"/>
  <c r="C1339" i="48"/>
  <c r="F56" i="127" s="1"/>
  <c r="C1372" i="48"/>
  <c r="F53" i="127" s="1"/>
  <c r="C1338" i="48"/>
  <c r="F52" i="127" s="1"/>
  <c r="C1337" i="48"/>
  <c r="F51" i="127" s="1"/>
  <c r="C1336" i="48"/>
  <c r="F50" i="127" s="1"/>
  <c r="C1335" i="48"/>
  <c r="F49" i="127" s="1"/>
  <c r="C1334" i="48"/>
  <c r="F48" i="127" s="1"/>
  <c r="C1333" i="48"/>
  <c r="F47" i="127" s="1"/>
  <c r="C1332" i="48"/>
  <c r="F46" i="127" s="1"/>
  <c r="C1371" i="48"/>
  <c r="F42" i="127" s="1"/>
  <c r="C1370" i="48"/>
  <c r="F41" i="127" s="1"/>
  <c r="C1331" i="48"/>
  <c r="F40" i="127" s="1"/>
  <c r="F39" i="127"/>
  <c r="C1359" i="48"/>
  <c r="F34" i="127" s="1"/>
  <c r="C1358" i="48"/>
  <c r="F33" i="127" s="1"/>
  <c r="C1369" i="48"/>
  <c r="F18" i="127" s="1"/>
  <c r="C1368" i="48"/>
  <c r="F17" i="127" s="1"/>
  <c r="C1367" i="48"/>
  <c r="F16" i="127" s="1"/>
  <c r="C1366" i="48"/>
  <c r="F15" i="127" s="1"/>
  <c r="C1365" i="48"/>
  <c r="F14" i="127" s="1"/>
  <c r="C1364" i="48"/>
  <c r="F13" i="127" s="1"/>
  <c r="C1363" i="48"/>
  <c r="F12" i="127" s="1"/>
  <c r="C1362" i="48"/>
  <c r="F11" i="127" s="1"/>
  <c r="C1361" i="48"/>
  <c r="F10" i="127" s="1"/>
  <c r="C1326" i="48"/>
  <c r="F5" i="127" s="1"/>
  <c r="C1325" i="48"/>
  <c r="F4" i="127" s="1"/>
  <c r="C1520" i="48"/>
  <c r="F79" i="128" s="1"/>
  <c r="C1519" i="48"/>
  <c r="F78" i="128" s="1"/>
  <c r="C1518" i="48"/>
  <c r="F77" i="128" s="1"/>
  <c r="F65" i="128"/>
  <c r="C1523" i="48"/>
  <c r="F62" i="128" s="1"/>
  <c r="C1508" i="48"/>
  <c r="F61" i="128" s="1"/>
  <c r="C1507" i="48"/>
  <c r="F60" i="128" s="1"/>
  <c r="C1506" i="48"/>
  <c r="F59" i="128" s="1"/>
  <c r="C1505" i="48"/>
  <c r="F58" i="128" s="1"/>
  <c r="C1504" i="48"/>
  <c r="F57" i="128" s="1"/>
  <c r="C1503" i="48"/>
  <c r="F56" i="128" s="1"/>
  <c r="C1502" i="48"/>
  <c r="F55" i="128" s="1"/>
  <c r="C1535" i="48"/>
  <c r="F52" i="128" s="1"/>
  <c r="C1501" i="48"/>
  <c r="F51" i="128" s="1"/>
  <c r="C1500" i="48"/>
  <c r="F50" i="128" s="1"/>
  <c r="C1499" i="48"/>
  <c r="F49" i="128" s="1"/>
  <c r="C1498" i="48"/>
  <c r="F48" i="128" s="1"/>
  <c r="C1497" i="48"/>
  <c r="F47" i="128" s="1"/>
  <c r="C1496" i="48"/>
  <c r="F46" i="128" s="1"/>
  <c r="C1495" i="48"/>
  <c r="F45" i="128" s="1"/>
  <c r="C1534" i="48"/>
  <c r="F41" i="128" s="1"/>
  <c r="C1533" i="48"/>
  <c r="F40" i="128" s="1"/>
  <c r="C1494" i="48"/>
  <c r="F39" i="128" s="1"/>
  <c r="F38" i="128"/>
  <c r="C1522" i="48"/>
  <c r="F33" i="128" s="1"/>
  <c r="C1521" i="48"/>
  <c r="F32" i="128" s="1"/>
  <c r="C1532" i="48"/>
  <c r="F17" i="128" s="1"/>
  <c r="C1531" i="48"/>
  <c r="F16" i="128" s="1"/>
  <c r="C1530" i="48"/>
  <c r="F15" i="128" s="1"/>
  <c r="C1529" i="48"/>
  <c r="F14" i="128" s="1"/>
  <c r="C1528" i="48"/>
  <c r="F13" i="128" s="1"/>
  <c r="C1527" i="48"/>
  <c r="F12" i="128" s="1"/>
  <c r="C1526" i="48"/>
  <c r="F11" i="128" s="1"/>
  <c r="C1525" i="48"/>
  <c r="F10" i="128" s="1"/>
  <c r="C1524" i="48"/>
  <c r="F9" i="128" s="1"/>
  <c r="C1489" i="48"/>
  <c r="F4" i="128" s="1"/>
  <c r="C1682" i="48"/>
  <c r="F79" i="129" s="1"/>
  <c r="C1681" i="48"/>
  <c r="F78" i="129" s="1"/>
  <c r="C1680" i="48"/>
  <c r="F77" i="129" s="1"/>
  <c r="F65" i="129"/>
  <c r="C1685" i="48"/>
  <c r="F62" i="129" s="1"/>
  <c r="C1670" i="48"/>
  <c r="F61" i="129" s="1"/>
  <c r="C1669" i="48"/>
  <c r="F60" i="129" s="1"/>
  <c r="C1668" i="48"/>
  <c r="F59" i="129" s="1"/>
  <c r="C1667" i="48"/>
  <c r="F58" i="129" s="1"/>
  <c r="C1666" i="48"/>
  <c r="F57" i="129" s="1"/>
  <c r="C1665" i="48"/>
  <c r="F56" i="129" s="1"/>
  <c r="C1664" i="48"/>
  <c r="F55" i="129" s="1"/>
  <c r="C1697" i="48"/>
  <c r="F52" i="129" s="1"/>
  <c r="C1663" i="48"/>
  <c r="F51" i="129" s="1"/>
  <c r="C1662" i="48"/>
  <c r="F50" i="129" s="1"/>
  <c r="C1661" i="48"/>
  <c r="F49" i="129" s="1"/>
  <c r="C1660" i="48"/>
  <c r="F48" i="129" s="1"/>
  <c r="C1659" i="48"/>
  <c r="F47" i="129" s="1"/>
  <c r="C1658" i="48"/>
  <c r="F46" i="129" s="1"/>
  <c r="C1657" i="48"/>
  <c r="F45" i="129" s="1"/>
  <c r="C1696" i="48"/>
  <c r="F41" i="129" s="1"/>
  <c r="C1695" i="48"/>
  <c r="F40" i="129" s="1"/>
  <c r="C1656" i="48"/>
  <c r="F39" i="129" s="1"/>
  <c r="F63" i="129"/>
  <c r="F34" i="129"/>
  <c r="C1684" i="48"/>
  <c r="F33" i="129" s="1"/>
  <c r="C1683" i="48"/>
  <c r="F32" i="129" s="1"/>
  <c r="C1694" i="48"/>
  <c r="F17" i="129" s="1"/>
  <c r="C1693" i="48"/>
  <c r="F16" i="129" s="1"/>
  <c r="C1692" i="48"/>
  <c r="F15" i="129" s="1"/>
  <c r="C1691" i="48"/>
  <c r="F14" i="129" s="1"/>
  <c r="C1690" i="48"/>
  <c r="F13" i="129" s="1"/>
  <c r="C1689" i="48"/>
  <c r="F12" i="129" s="1"/>
  <c r="C1688" i="48"/>
  <c r="F11" i="129" s="1"/>
  <c r="C1687" i="48"/>
  <c r="F10" i="129" s="1"/>
  <c r="C1686" i="48"/>
  <c r="F9" i="129" s="1"/>
  <c r="C1651" i="48"/>
  <c r="F4" i="129" s="1"/>
  <c r="C1844" i="48"/>
  <c r="F79" i="130" s="1"/>
  <c r="C1843" i="48"/>
  <c r="F78" i="130" s="1"/>
  <c r="C1842" i="48"/>
  <c r="F65" i="130"/>
  <c r="C1847" i="48"/>
  <c r="F62" i="130" s="1"/>
  <c r="C1832" i="48"/>
  <c r="F61" i="130" s="1"/>
  <c r="C1831" i="48"/>
  <c r="F60" i="130" s="1"/>
  <c r="C1830" i="48"/>
  <c r="F59" i="130" s="1"/>
  <c r="C1829" i="48"/>
  <c r="F58" i="130" s="1"/>
  <c r="C1828" i="48"/>
  <c r="F57" i="130" s="1"/>
  <c r="C1827" i="48"/>
  <c r="F56" i="130" s="1"/>
  <c r="C1826" i="48"/>
  <c r="F55" i="130" s="1"/>
  <c r="C1859" i="48"/>
  <c r="F52" i="130" s="1"/>
  <c r="C1825" i="48"/>
  <c r="F51" i="130" s="1"/>
  <c r="C1824" i="48"/>
  <c r="F50" i="130" s="1"/>
  <c r="C1823" i="48"/>
  <c r="F49" i="130" s="1"/>
  <c r="C1822" i="48"/>
  <c r="F48" i="130" s="1"/>
  <c r="C1821" i="48"/>
  <c r="F47" i="130" s="1"/>
  <c r="C1820" i="48"/>
  <c r="F46" i="130" s="1"/>
  <c r="C1819" i="48"/>
  <c r="F45" i="130" s="1"/>
  <c r="C1858" i="48"/>
  <c r="F41" i="130" s="1"/>
  <c r="C1857" i="48"/>
  <c r="F40" i="130" s="1"/>
  <c r="C1818" i="48"/>
  <c r="F39" i="130" s="1"/>
  <c r="C1846" i="48"/>
  <c r="F33" i="130" s="1"/>
  <c r="C1845" i="48"/>
  <c r="F32" i="130" s="1"/>
  <c r="C1856" i="48"/>
  <c r="F17" i="130" s="1"/>
  <c r="C1855" i="48"/>
  <c r="F16" i="130" s="1"/>
  <c r="C1854" i="48"/>
  <c r="F15" i="130" s="1"/>
  <c r="C1853" i="48"/>
  <c r="F14" i="130" s="1"/>
  <c r="C1852" i="48"/>
  <c r="F13" i="130" s="1"/>
  <c r="C1851" i="48"/>
  <c r="F12" i="130" s="1"/>
  <c r="C1850" i="48"/>
  <c r="F11" i="130" s="1"/>
  <c r="C1849" i="48"/>
  <c r="F10" i="130" s="1"/>
  <c r="C1848" i="48"/>
  <c r="F9" i="130" s="1"/>
  <c r="C1813" i="48"/>
  <c r="F4" i="130" s="1"/>
  <c r="C2947" i="48"/>
  <c r="F4" i="132" s="1"/>
  <c r="F4" i="131"/>
  <c r="C2978" i="48"/>
  <c r="F80" i="132" s="1"/>
  <c r="C2977" i="48"/>
  <c r="F79" i="132" s="1"/>
  <c r="F78" i="132"/>
  <c r="C2981" i="48"/>
  <c r="F63" i="132" s="1"/>
  <c r="C2966" i="48"/>
  <c r="F62" i="132" s="1"/>
  <c r="C2965" i="48"/>
  <c r="F61" i="132" s="1"/>
  <c r="C2964" i="48"/>
  <c r="F60" i="132" s="1"/>
  <c r="C2963" i="48"/>
  <c r="F59" i="132" s="1"/>
  <c r="C2962" i="48"/>
  <c r="F58" i="132" s="1"/>
  <c r="C2961" i="48"/>
  <c r="F57" i="132" s="1"/>
  <c r="C2960" i="48"/>
  <c r="F56" i="132" s="1"/>
  <c r="C2993" i="48"/>
  <c r="F53" i="132" s="1"/>
  <c r="C2959" i="48"/>
  <c r="F52" i="132" s="1"/>
  <c r="C2958" i="48"/>
  <c r="F51" i="132" s="1"/>
  <c r="C2957" i="48"/>
  <c r="F50" i="132" s="1"/>
  <c r="C2956" i="48"/>
  <c r="F49" i="132" s="1"/>
  <c r="C2955" i="48"/>
  <c r="F48" i="132" s="1"/>
  <c r="C2954" i="48"/>
  <c r="F47" i="132" s="1"/>
  <c r="C2953" i="48"/>
  <c r="F46" i="132" s="1"/>
  <c r="C2992" i="48"/>
  <c r="F42" i="132" s="1"/>
  <c r="C2991" i="48"/>
  <c r="F41" i="132" s="1"/>
  <c r="C2952" i="48"/>
  <c r="F40" i="132" s="1"/>
  <c r="C2980" i="48"/>
  <c r="F34" i="132" s="1"/>
  <c r="C2979" i="48"/>
  <c r="F33" i="132" s="1"/>
  <c r="C2990" i="48"/>
  <c r="F17" i="132" s="1"/>
  <c r="C2989" i="48"/>
  <c r="F16" i="132" s="1"/>
  <c r="C2988" i="48"/>
  <c r="F15" i="132" s="1"/>
  <c r="C2987" i="48"/>
  <c r="F14" i="132" s="1"/>
  <c r="C2986" i="48"/>
  <c r="F13" i="132" s="1"/>
  <c r="C2985" i="48"/>
  <c r="F12" i="132" s="1"/>
  <c r="C2984" i="48"/>
  <c r="F11" i="132" s="1"/>
  <c r="C2983" i="48"/>
  <c r="F10" i="132" s="1"/>
  <c r="C2982" i="48"/>
  <c r="F9" i="132" s="1"/>
  <c r="D1495" i="48"/>
  <c r="D45" i="128" s="1"/>
  <c r="D1496" i="48"/>
  <c r="D46" i="128" s="1"/>
  <c r="D1497" i="48"/>
  <c r="D47" i="128" s="1"/>
  <c r="D1498" i="48"/>
  <c r="D48" i="128" s="1"/>
  <c r="D1499" i="48"/>
  <c r="D49" i="128" s="1"/>
  <c r="D1500" i="48"/>
  <c r="D50" i="128" s="1"/>
  <c r="D1501" i="48"/>
  <c r="D51" i="128" s="1"/>
  <c r="D1332" i="48"/>
  <c r="D46" i="127" s="1"/>
  <c r="D1333" i="48"/>
  <c r="D47" i="127" s="1"/>
  <c r="D1334" i="48"/>
  <c r="D48" i="127" s="1"/>
  <c r="D1335" i="48"/>
  <c r="D49" i="127" s="1"/>
  <c r="D1336" i="48"/>
  <c r="D50" i="127" s="1"/>
  <c r="D1337" i="48"/>
  <c r="D51" i="127" s="1"/>
  <c r="D846" i="48"/>
  <c r="D45" i="124" s="1"/>
  <c r="D847" i="48"/>
  <c r="D46" i="124" s="1"/>
  <c r="D848" i="48"/>
  <c r="D47" i="124" s="1"/>
  <c r="D849" i="48"/>
  <c r="D48" i="124" s="1"/>
  <c r="D850" i="48"/>
  <c r="D49" i="124" s="1"/>
  <c r="D851" i="48"/>
  <c r="D50" i="124" s="1"/>
  <c r="D852" i="48"/>
  <c r="D51" i="124" s="1"/>
  <c r="AC49" i="114"/>
  <c r="AD49" i="114"/>
  <c r="AE49" i="114"/>
  <c r="W49" i="114"/>
  <c r="AA49" i="114"/>
  <c r="X49" i="114"/>
  <c r="AC50" i="114"/>
  <c r="AD50" i="114"/>
  <c r="AE50" i="114"/>
  <c r="AC52" i="114"/>
  <c r="AD52" i="114"/>
  <c r="AE52" i="114"/>
  <c r="AH52" i="114" s="1"/>
  <c r="AC53" i="114"/>
  <c r="AD53" i="114"/>
  <c r="AE53" i="114"/>
  <c r="AC54" i="114"/>
  <c r="AH54" i="114" s="1"/>
  <c r="O15" i="114" s="1"/>
  <c r="AD54" i="114"/>
  <c r="AE54" i="114"/>
  <c r="AC57" i="114"/>
  <c r="AD57" i="114"/>
  <c r="AE57" i="114"/>
  <c r="AC58" i="114"/>
  <c r="AD58" i="114"/>
  <c r="AE58" i="114"/>
  <c r="AC60" i="114"/>
  <c r="AD60" i="114"/>
  <c r="AE60" i="114"/>
  <c r="AC55" i="114"/>
  <c r="AD55" i="114"/>
  <c r="AE55" i="114"/>
  <c r="AC70" i="114"/>
  <c r="AD70" i="114"/>
  <c r="AE70" i="114"/>
  <c r="W47" i="114"/>
  <c r="AA47" i="114"/>
  <c r="X47" i="114"/>
  <c r="W50" i="114"/>
  <c r="AA50" i="114"/>
  <c r="X50" i="114"/>
  <c r="AC51" i="114"/>
  <c r="AD51" i="114"/>
  <c r="AE51" i="114"/>
  <c r="W51" i="114"/>
  <c r="AA51" i="114"/>
  <c r="X51" i="114"/>
  <c r="AC56" i="114"/>
  <c r="AD56" i="114"/>
  <c r="AE56" i="114"/>
  <c r="AC61" i="114"/>
  <c r="AD61" i="114"/>
  <c r="AE61" i="114"/>
  <c r="AC62" i="114"/>
  <c r="AD62" i="114"/>
  <c r="AE62" i="114"/>
  <c r="AC59" i="114"/>
  <c r="AD59" i="114"/>
  <c r="AE59" i="114"/>
  <c r="AC73" i="114"/>
  <c r="AD73" i="114"/>
  <c r="AE73" i="114"/>
  <c r="AC75" i="114"/>
  <c r="AD75" i="114"/>
  <c r="AE75" i="114"/>
  <c r="AC64" i="114"/>
  <c r="AD64" i="114"/>
  <c r="AE64" i="114"/>
  <c r="AC66" i="114"/>
  <c r="AD66" i="114"/>
  <c r="AE66" i="114"/>
  <c r="W48" i="114"/>
  <c r="AA48" i="114"/>
  <c r="X48" i="114"/>
  <c r="W52" i="114"/>
  <c r="AA52" i="114"/>
  <c r="X52" i="114"/>
  <c r="W53" i="114"/>
  <c r="AA53" i="114"/>
  <c r="X53" i="114"/>
  <c r="W54" i="114"/>
  <c r="AA54" i="114"/>
  <c r="X54" i="114"/>
  <c r="W55" i="114"/>
  <c r="AA55" i="114"/>
  <c r="X55" i="114"/>
  <c r="W56" i="114"/>
  <c r="AA56" i="114"/>
  <c r="X56" i="114"/>
  <c r="W57" i="114"/>
  <c r="AA57" i="114"/>
  <c r="X57" i="114"/>
  <c r="W58" i="114"/>
  <c r="AA58" i="114"/>
  <c r="X58" i="114"/>
  <c r="W64" i="114"/>
  <c r="AA64" i="114"/>
  <c r="X64" i="114"/>
  <c r="W61" i="114"/>
  <c r="AA61" i="114"/>
  <c r="X61" i="114"/>
  <c r="W62" i="114"/>
  <c r="AA62" i="114"/>
  <c r="X62" i="114"/>
  <c r="AC67" i="114"/>
  <c r="AD67" i="114"/>
  <c r="AH67" i="114" s="1"/>
  <c r="O28" i="114" s="1"/>
  <c r="AE67" i="114"/>
  <c r="W67" i="114"/>
  <c r="AA67" i="114"/>
  <c r="X67" i="114"/>
  <c r="W68" i="114"/>
  <c r="AA68" i="114"/>
  <c r="X68" i="114"/>
  <c r="W69" i="114"/>
  <c r="AA69" i="114"/>
  <c r="X69" i="114"/>
  <c r="W59" i="114"/>
  <c r="AA59" i="114"/>
  <c r="X59" i="114"/>
  <c r="W70" i="114"/>
  <c r="AA70" i="114"/>
  <c r="X70" i="114"/>
  <c r="W71" i="114"/>
  <c r="AA71" i="114"/>
  <c r="X71" i="114"/>
  <c r="AC72" i="114"/>
  <c r="AD72" i="114"/>
  <c r="AE72" i="114"/>
  <c r="W72" i="114"/>
  <c r="AA72" i="114"/>
  <c r="X72" i="114"/>
  <c r="W73" i="114"/>
  <c r="AA73" i="114"/>
  <c r="X73" i="114"/>
  <c r="AC74" i="114"/>
  <c r="AD74" i="114"/>
  <c r="AE74" i="114"/>
  <c r="W74" i="114"/>
  <c r="AA74" i="114"/>
  <c r="X74" i="114"/>
  <c r="W75" i="114"/>
  <c r="AA75" i="114"/>
  <c r="X75" i="114"/>
  <c r="AC76" i="114"/>
  <c r="AD76" i="114"/>
  <c r="AE76" i="114"/>
  <c r="W76" i="114"/>
  <c r="AA76" i="114"/>
  <c r="X76" i="114"/>
  <c r="W65" i="114"/>
  <c r="AA65" i="114"/>
  <c r="X65" i="114"/>
  <c r="W66" i="114"/>
  <c r="AA66" i="114"/>
  <c r="X66" i="114"/>
  <c r="W63" i="114"/>
  <c r="AA63" i="114"/>
  <c r="X63" i="114"/>
  <c r="D824" i="48"/>
  <c r="D825" i="48"/>
  <c r="D826" i="48"/>
  <c r="D827" i="48"/>
  <c r="D829" i="48"/>
  <c r="Y49" i="114"/>
  <c r="Z49" i="114"/>
  <c r="Y47" i="114"/>
  <c r="Z47" i="114"/>
  <c r="D713" i="48"/>
  <c r="AB47" i="114"/>
  <c r="Y50" i="114"/>
  <c r="Z50" i="114"/>
  <c r="D714" i="48"/>
  <c r="Y51" i="114"/>
  <c r="Z51" i="114"/>
  <c r="Y48" i="114"/>
  <c r="Z48" i="114"/>
  <c r="D715" i="48"/>
  <c r="AB48" i="114"/>
  <c r="Y52" i="114"/>
  <c r="Z52" i="114"/>
  <c r="D716" i="48"/>
  <c r="Y53" i="114"/>
  <c r="Z53" i="114"/>
  <c r="D717" i="48"/>
  <c r="Y54" i="114"/>
  <c r="Z54" i="114"/>
  <c r="Y55" i="114"/>
  <c r="Z55" i="114"/>
  <c r="D718" i="48"/>
  <c r="Y56" i="114"/>
  <c r="Z56" i="114"/>
  <c r="D719" i="48"/>
  <c r="Y57" i="114"/>
  <c r="Z57" i="114"/>
  <c r="D720" i="48"/>
  <c r="Y58" i="114"/>
  <c r="Z58" i="114"/>
  <c r="D721" i="48"/>
  <c r="Y61" i="114"/>
  <c r="Z61" i="114"/>
  <c r="D712" i="48"/>
  <c r="W60" i="114"/>
  <c r="Y60" i="114"/>
  <c r="X60" i="114"/>
  <c r="Z60" i="114"/>
  <c r="D711" i="48"/>
  <c r="Y62" i="114"/>
  <c r="Z62" i="114"/>
  <c r="D710" i="48"/>
  <c r="Y67" i="114"/>
  <c r="Z67" i="114"/>
  <c r="D707" i="48"/>
  <c r="AB67" i="114"/>
  <c r="Y68" i="114"/>
  <c r="Z68" i="114"/>
  <c r="Y69" i="114"/>
  <c r="Z69" i="114"/>
  <c r="D708" i="48"/>
  <c r="Y59" i="114"/>
  <c r="Z59" i="114"/>
  <c r="D709" i="48"/>
  <c r="Y70" i="114"/>
  <c r="Z70" i="114"/>
  <c r="Y71" i="114"/>
  <c r="Z71" i="114"/>
  <c r="Y72" i="114"/>
  <c r="Z72" i="114"/>
  <c r="AB72" i="114"/>
  <c r="Y73" i="114"/>
  <c r="Z73" i="114"/>
  <c r="Y74" i="114"/>
  <c r="Z74" i="114"/>
  <c r="Y75" i="114"/>
  <c r="Z75" i="114"/>
  <c r="Y76" i="114"/>
  <c r="Z76" i="114"/>
  <c r="AB76" i="114"/>
  <c r="Y64" i="114"/>
  <c r="Z64" i="114"/>
  <c r="D722" i="48"/>
  <c r="Y65" i="114"/>
  <c r="Z65" i="114"/>
  <c r="D723" i="48"/>
  <c r="Y66" i="114"/>
  <c r="Z66" i="114"/>
  <c r="D724" i="48"/>
  <c r="Y63" i="114"/>
  <c r="Z63" i="114"/>
  <c r="D682" i="48"/>
  <c r="D37" i="123" s="1"/>
  <c r="D683" i="48"/>
  <c r="D38" i="123" s="1"/>
  <c r="D684" i="48"/>
  <c r="D44" i="123" s="1"/>
  <c r="D685" i="48"/>
  <c r="D45" i="123" s="1"/>
  <c r="D686" i="48"/>
  <c r="D46" i="123" s="1"/>
  <c r="D687" i="48"/>
  <c r="D47" i="123" s="1"/>
  <c r="D688" i="48"/>
  <c r="D48" i="123" s="1"/>
  <c r="D689" i="48"/>
  <c r="D49" i="123" s="1"/>
  <c r="D690" i="48"/>
  <c r="D50" i="123" s="1"/>
  <c r="D691" i="48"/>
  <c r="D54" i="123" s="1"/>
  <c r="D692" i="48"/>
  <c r="D55" i="123" s="1"/>
  <c r="D693" i="48"/>
  <c r="D56" i="123" s="1"/>
  <c r="D694" i="48"/>
  <c r="D57" i="123" s="1"/>
  <c r="D695" i="48"/>
  <c r="D58" i="123" s="1"/>
  <c r="D696" i="48"/>
  <c r="D59" i="123" s="1"/>
  <c r="D697" i="48"/>
  <c r="D60" i="123" s="1"/>
  <c r="D64" i="123"/>
  <c r="D89" i="123"/>
  <c r="D788" i="48"/>
  <c r="E94" i="123" s="1"/>
  <c r="D789" i="48"/>
  <c r="E95" i="123" s="1"/>
  <c r="D678" i="48"/>
  <c r="G4" i="123" s="1"/>
  <c r="D986" i="48"/>
  <c r="D987" i="48"/>
  <c r="D988" i="48"/>
  <c r="D989" i="48"/>
  <c r="D991" i="48"/>
  <c r="D875" i="48"/>
  <c r="D876" i="48"/>
  <c r="D877" i="48"/>
  <c r="D878" i="48"/>
  <c r="D879" i="48"/>
  <c r="D880" i="48"/>
  <c r="D881" i="48"/>
  <c r="D882" i="48"/>
  <c r="D883" i="48"/>
  <c r="D874" i="48"/>
  <c r="D873" i="48"/>
  <c r="D872" i="48"/>
  <c r="D869" i="48"/>
  <c r="D870" i="48"/>
  <c r="D871" i="48"/>
  <c r="D884" i="48"/>
  <c r="D885" i="48"/>
  <c r="D886" i="48"/>
  <c r="D844" i="48"/>
  <c r="D38" i="124" s="1"/>
  <c r="D845" i="48"/>
  <c r="D39" i="124" s="1"/>
  <c r="D853" i="48"/>
  <c r="D55" i="124" s="1"/>
  <c r="D854" i="48"/>
  <c r="D56" i="124" s="1"/>
  <c r="D855" i="48"/>
  <c r="D57" i="124" s="1"/>
  <c r="D856" i="48"/>
  <c r="D58" i="124" s="1"/>
  <c r="D857" i="48"/>
  <c r="D59" i="124" s="1"/>
  <c r="D858" i="48"/>
  <c r="D60" i="124" s="1"/>
  <c r="D859" i="48"/>
  <c r="D61" i="124" s="1"/>
  <c r="D65" i="124"/>
  <c r="D89" i="124"/>
  <c r="D950" i="48"/>
  <c r="E94" i="124" s="1"/>
  <c r="D951" i="48"/>
  <c r="E95" i="124" s="1"/>
  <c r="D840" i="48"/>
  <c r="D1148" i="48"/>
  <c r="D1149" i="48"/>
  <c r="D1150" i="48"/>
  <c r="D1151" i="48"/>
  <c r="D1153" i="48"/>
  <c r="D1037" i="48"/>
  <c r="D1038" i="48"/>
  <c r="D1039" i="48"/>
  <c r="D1040" i="48"/>
  <c r="D1041" i="48"/>
  <c r="D1042" i="48"/>
  <c r="D1043" i="48"/>
  <c r="D1044" i="48"/>
  <c r="D1045" i="48"/>
  <c r="D1036" i="48"/>
  <c r="D1035" i="48"/>
  <c r="D1034" i="48"/>
  <c r="D1031" i="48"/>
  <c r="D1032" i="48"/>
  <c r="D1033" i="48"/>
  <c r="D1046" i="48"/>
  <c r="D1047" i="48"/>
  <c r="D1048" i="48"/>
  <c r="D1006" i="48"/>
  <c r="D38" i="125" s="1"/>
  <c r="D1007" i="48"/>
  <c r="D39" i="125" s="1"/>
  <c r="D1008" i="48"/>
  <c r="D45" i="125" s="1"/>
  <c r="D1009" i="48"/>
  <c r="D46" i="125" s="1"/>
  <c r="D1010" i="48"/>
  <c r="D47" i="125" s="1"/>
  <c r="D1011" i="48"/>
  <c r="D48" i="125" s="1"/>
  <c r="D1012" i="48"/>
  <c r="D49" i="125" s="1"/>
  <c r="D1013" i="48"/>
  <c r="D50" i="125" s="1"/>
  <c r="D1014" i="48"/>
  <c r="D51" i="125" s="1"/>
  <c r="D1015" i="48"/>
  <c r="D55" i="125" s="1"/>
  <c r="D1016" i="48"/>
  <c r="D56" i="125" s="1"/>
  <c r="D1017" i="48"/>
  <c r="D57" i="125" s="1"/>
  <c r="D1018" i="48"/>
  <c r="D58" i="125" s="1"/>
  <c r="D1019" i="48"/>
  <c r="D59" i="125" s="1"/>
  <c r="D1020" i="48"/>
  <c r="D60" i="125" s="1"/>
  <c r="D1021" i="48"/>
  <c r="D61" i="125" s="1"/>
  <c r="D65" i="125"/>
  <c r="D89" i="125"/>
  <c r="D1112" i="48"/>
  <c r="E94" i="125" s="1"/>
  <c r="D1113" i="48"/>
  <c r="E95" i="125" s="1"/>
  <c r="D1002" i="48"/>
  <c r="G4" i="125" s="1"/>
  <c r="D1199" i="48"/>
  <c r="D1200" i="48"/>
  <c r="D1201" i="48"/>
  <c r="D1202" i="48"/>
  <c r="D1203" i="48"/>
  <c r="D1204" i="48"/>
  <c r="D1205" i="48"/>
  <c r="D1206" i="48"/>
  <c r="D1207" i="48"/>
  <c r="D1198" i="48"/>
  <c r="D1197" i="48"/>
  <c r="D1196" i="48"/>
  <c r="D1193" i="48"/>
  <c r="D1194" i="48"/>
  <c r="D1195" i="48"/>
  <c r="D1208" i="48"/>
  <c r="D1209" i="48"/>
  <c r="D1210" i="48"/>
  <c r="D1168" i="48"/>
  <c r="D38" i="126" s="1"/>
  <c r="D1169" i="48"/>
  <c r="D39" i="126" s="1"/>
  <c r="D1170" i="48"/>
  <c r="D45" i="126" s="1"/>
  <c r="D1171" i="48"/>
  <c r="D46" i="126" s="1"/>
  <c r="D1172" i="48"/>
  <c r="D47" i="126" s="1"/>
  <c r="D1173" i="48"/>
  <c r="D48" i="126" s="1"/>
  <c r="D1174" i="48"/>
  <c r="D49" i="126" s="1"/>
  <c r="D1175" i="48"/>
  <c r="D50" i="126" s="1"/>
  <c r="D1176" i="48"/>
  <c r="D51" i="126" s="1"/>
  <c r="D1177" i="48"/>
  <c r="D55" i="126" s="1"/>
  <c r="D1178" i="48"/>
  <c r="D56" i="126" s="1"/>
  <c r="D1179" i="48"/>
  <c r="D57" i="126" s="1"/>
  <c r="D1180" i="48"/>
  <c r="D58" i="126" s="1"/>
  <c r="D1181" i="48"/>
  <c r="D59" i="126" s="1"/>
  <c r="D1182" i="48"/>
  <c r="D60" i="126" s="1"/>
  <c r="D1183" i="48"/>
  <c r="D61" i="126" s="1"/>
  <c r="D65" i="126"/>
  <c r="D89" i="126"/>
  <c r="D1274" i="48"/>
  <c r="E94" i="126" s="1"/>
  <c r="D1275" i="48"/>
  <c r="E95" i="126" s="1"/>
  <c r="D1310" i="48"/>
  <c r="D1311" i="48"/>
  <c r="D1312" i="48"/>
  <c r="D1313" i="48"/>
  <c r="D1314" i="48"/>
  <c r="D1164" i="48"/>
  <c r="G4" i="126" s="1"/>
  <c r="D1473" i="48"/>
  <c r="D1474" i="48"/>
  <c r="D1475" i="48"/>
  <c r="D1476" i="48"/>
  <c r="D1361" i="48"/>
  <c r="D1362" i="48"/>
  <c r="D1363" i="48"/>
  <c r="D1364" i="48"/>
  <c r="D1365" i="48"/>
  <c r="D1366" i="48"/>
  <c r="D1367" i="48"/>
  <c r="D1368" i="48"/>
  <c r="D1369" i="48"/>
  <c r="D1360" i="48"/>
  <c r="D1359" i="48"/>
  <c r="D1358" i="48"/>
  <c r="D1355" i="48"/>
  <c r="D1356" i="48"/>
  <c r="D1357" i="48"/>
  <c r="D1370" i="48"/>
  <c r="D1371" i="48"/>
  <c r="D1372" i="48"/>
  <c r="D1330" i="48"/>
  <c r="D39" i="127" s="1"/>
  <c r="D1331" i="48"/>
  <c r="D40" i="127" s="1"/>
  <c r="D1338" i="48"/>
  <c r="D52" i="127" s="1"/>
  <c r="D1339" i="48"/>
  <c r="D56" i="127" s="1"/>
  <c r="D1340" i="48"/>
  <c r="D57" i="127" s="1"/>
  <c r="D1341" i="48"/>
  <c r="D58" i="127" s="1"/>
  <c r="D1342" i="48"/>
  <c r="D59" i="127" s="1"/>
  <c r="D1343" i="48"/>
  <c r="D60" i="127" s="1"/>
  <c r="D1344" i="48"/>
  <c r="D61" i="127" s="1"/>
  <c r="D1345" i="48"/>
  <c r="D62" i="127" s="1"/>
  <c r="D66" i="127"/>
  <c r="I65" i="127" s="1"/>
  <c r="D96" i="127"/>
  <c r="D1437" i="48"/>
  <c r="E101" i="127" s="1"/>
  <c r="D1438" i="48"/>
  <c r="E102" i="127" s="1"/>
  <c r="D1325" i="48"/>
  <c r="G4" i="127" s="1"/>
  <c r="D1326" i="48"/>
  <c r="G5" i="127" s="1"/>
  <c r="D1635" i="48"/>
  <c r="D1636" i="48"/>
  <c r="D1637" i="48"/>
  <c r="D1638" i="48"/>
  <c r="D1640" i="48"/>
  <c r="D1524" i="48"/>
  <c r="D1525" i="48"/>
  <c r="D1526" i="48"/>
  <c r="D1527" i="48"/>
  <c r="D1528" i="48"/>
  <c r="D1529" i="48"/>
  <c r="D1530" i="48"/>
  <c r="D1531" i="48"/>
  <c r="D1532" i="48"/>
  <c r="D1523" i="48"/>
  <c r="D1522" i="48"/>
  <c r="D1521" i="48"/>
  <c r="D1518" i="48"/>
  <c r="D1519" i="48"/>
  <c r="D1520" i="48"/>
  <c r="D1533" i="48"/>
  <c r="D1534" i="48"/>
  <c r="D1535" i="48"/>
  <c r="D1493" i="48"/>
  <c r="D38" i="128" s="1"/>
  <c r="D1494" i="48"/>
  <c r="D39" i="128" s="1"/>
  <c r="D1502" i="48"/>
  <c r="D55" i="128" s="1"/>
  <c r="D1503" i="48"/>
  <c r="D56" i="128" s="1"/>
  <c r="D1504" i="48"/>
  <c r="D57" i="128" s="1"/>
  <c r="D1505" i="48"/>
  <c r="D58" i="128" s="1"/>
  <c r="D1506" i="48"/>
  <c r="D59" i="128" s="1"/>
  <c r="D1507" i="48"/>
  <c r="D60" i="128" s="1"/>
  <c r="D1508" i="48"/>
  <c r="D61" i="128" s="1"/>
  <c r="D65" i="128"/>
  <c r="I64" i="128" s="1"/>
  <c r="D89" i="128"/>
  <c r="D1599" i="48"/>
  <c r="E94" i="128" s="1"/>
  <c r="D1600" i="48"/>
  <c r="E95" i="128" s="1"/>
  <c r="D1489" i="48"/>
  <c r="G4" i="128" s="1"/>
  <c r="D1797" i="48"/>
  <c r="D1798" i="48"/>
  <c r="D1799" i="48"/>
  <c r="D1800" i="48"/>
  <c r="D1802" i="48"/>
  <c r="D1686" i="48"/>
  <c r="D1687" i="48"/>
  <c r="D1688" i="48"/>
  <c r="D1689" i="48"/>
  <c r="D1690" i="48"/>
  <c r="D1691" i="48"/>
  <c r="D1692" i="48"/>
  <c r="D1693" i="48"/>
  <c r="D1694" i="48"/>
  <c r="D1685" i="48"/>
  <c r="D1684" i="48"/>
  <c r="D1683" i="48"/>
  <c r="D1680" i="48"/>
  <c r="D1681" i="48"/>
  <c r="D1682" i="48"/>
  <c r="D1695" i="48"/>
  <c r="D1696" i="48"/>
  <c r="D1697" i="48"/>
  <c r="D1655" i="48"/>
  <c r="D38" i="129" s="1"/>
  <c r="D1656" i="48"/>
  <c r="D39" i="129" s="1"/>
  <c r="D1657" i="48"/>
  <c r="D45" i="129" s="1"/>
  <c r="D1658" i="48"/>
  <c r="D46" i="129" s="1"/>
  <c r="D1659" i="48"/>
  <c r="D47" i="129" s="1"/>
  <c r="D1660" i="48"/>
  <c r="D48" i="129" s="1"/>
  <c r="D1661" i="48"/>
  <c r="D49" i="129" s="1"/>
  <c r="D1662" i="48"/>
  <c r="D50" i="129" s="1"/>
  <c r="E1663" i="48"/>
  <c r="D1663" i="48"/>
  <c r="D51" i="129" s="1"/>
  <c r="D1664" i="48"/>
  <c r="D55" i="129" s="1"/>
  <c r="D1665" i="48"/>
  <c r="D56" i="129" s="1"/>
  <c r="D1666" i="48"/>
  <c r="D57" i="129" s="1"/>
  <c r="D1667" i="48"/>
  <c r="D58" i="129" s="1"/>
  <c r="D1668" i="48"/>
  <c r="D59" i="129" s="1"/>
  <c r="D1669" i="48"/>
  <c r="D60" i="129" s="1"/>
  <c r="D1670" i="48"/>
  <c r="D61" i="129" s="1"/>
  <c r="D65" i="129"/>
  <c r="I64" i="129" s="1"/>
  <c r="D89" i="129"/>
  <c r="D1761" i="48"/>
  <c r="E94" i="129" s="1"/>
  <c r="D1762" i="48"/>
  <c r="E95" i="129" s="1"/>
  <c r="D1651" i="48"/>
  <c r="E1902" i="48"/>
  <c r="E1952" i="48" s="1"/>
  <c r="D1959" i="48"/>
  <c r="D1960" i="48"/>
  <c r="D1961" i="48"/>
  <c r="D1962" i="48"/>
  <c r="D1964" i="48"/>
  <c r="D1848" i="48"/>
  <c r="D1849" i="48"/>
  <c r="D1850" i="48"/>
  <c r="D1851" i="48"/>
  <c r="D1852" i="48"/>
  <c r="D1853" i="48"/>
  <c r="D1854" i="48"/>
  <c r="D1855" i="48"/>
  <c r="D1856" i="48"/>
  <c r="D1847" i="48"/>
  <c r="D1846" i="48"/>
  <c r="D1845" i="48"/>
  <c r="D1842" i="48"/>
  <c r="D1843" i="48"/>
  <c r="D1844" i="48"/>
  <c r="D1857" i="48"/>
  <c r="D1858" i="48"/>
  <c r="D1859" i="48"/>
  <c r="D1817" i="48"/>
  <c r="D38" i="130" s="1"/>
  <c r="D1818" i="48"/>
  <c r="D39" i="130" s="1"/>
  <c r="D1819" i="48"/>
  <c r="D45" i="130" s="1"/>
  <c r="D1820" i="48"/>
  <c r="D46" i="130" s="1"/>
  <c r="D1821" i="48"/>
  <c r="D47" i="130" s="1"/>
  <c r="D1822" i="48"/>
  <c r="D48" i="130" s="1"/>
  <c r="D1823" i="48"/>
  <c r="D49" i="130" s="1"/>
  <c r="D1824" i="48"/>
  <c r="D50" i="130" s="1"/>
  <c r="D1825" i="48"/>
  <c r="D51" i="130" s="1"/>
  <c r="D1826" i="48"/>
  <c r="D55" i="130" s="1"/>
  <c r="D1827" i="48"/>
  <c r="D56" i="130" s="1"/>
  <c r="D1828" i="48"/>
  <c r="D57" i="130" s="1"/>
  <c r="D1829" i="48"/>
  <c r="D58" i="130" s="1"/>
  <c r="D1830" i="48"/>
  <c r="D59" i="130" s="1"/>
  <c r="D1831" i="48"/>
  <c r="D60" i="130" s="1"/>
  <c r="D1832" i="48"/>
  <c r="D61" i="130" s="1"/>
  <c r="D65" i="130"/>
  <c r="I64" i="130" s="1"/>
  <c r="D89" i="130"/>
  <c r="E1908" i="48"/>
  <c r="D1923" i="48"/>
  <c r="E94" i="130" s="1"/>
  <c r="D1924" i="48"/>
  <c r="E95" i="130" s="1"/>
  <c r="D1813" i="48"/>
  <c r="G4" i="130" s="1"/>
  <c r="D2012" i="48"/>
  <c r="D2014" i="48"/>
  <c r="D2015" i="48"/>
  <c r="D2016" i="48"/>
  <c r="D2017" i="48"/>
  <c r="D2018" i="48"/>
  <c r="D2009" i="48"/>
  <c r="D2008" i="48"/>
  <c r="D2006" i="48"/>
  <c r="D2019" i="48"/>
  <c r="D2020" i="48"/>
  <c r="D1993" i="48"/>
  <c r="D60" i="131" s="1"/>
  <c r="D2931" i="48"/>
  <c r="D2932" i="48"/>
  <c r="D2933" i="48"/>
  <c r="D2934" i="48"/>
  <c r="D2936" i="48"/>
  <c r="D2820" i="48"/>
  <c r="D2821" i="48"/>
  <c r="D2822" i="48"/>
  <c r="D2823" i="48"/>
  <c r="D2824" i="48"/>
  <c r="D2825" i="48"/>
  <c r="D2826" i="48"/>
  <c r="D2827" i="48"/>
  <c r="D2828" i="48"/>
  <c r="D2819" i="48"/>
  <c r="D2818" i="48"/>
  <c r="D2817" i="48"/>
  <c r="D2814" i="48"/>
  <c r="D2815" i="48"/>
  <c r="D2816" i="48"/>
  <c r="D2829" i="48"/>
  <c r="D2830" i="48"/>
  <c r="D2831" i="48"/>
  <c r="D2789" i="48"/>
  <c r="D38" i="140" s="1"/>
  <c r="D2790" i="48"/>
  <c r="D39" i="140" s="1"/>
  <c r="D2791" i="48"/>
  <c r="D45" i="140" s="1"/>
  <c r="D2792" i="48"/>
  <c r="D46" i="140" s="1"/>
  <c r="D2793" i="48"/>
  <c r="D47" i="140" s="1"/>
  <c r="D2794" i="48"/>
  <c r="D48" i="140" s="1"/>
  <c r="D2795" i="48"/>
  <c r="D49" i="140" s="1"/>
  <c r="D2796" i="48"/>
  <c r="D50" i="140" s="1"/>
  <c r="D2797" i="48"/>
  <c r="D51" i="140" s="1"/>
  <c r="D2798" i="48"/>
  <c r="D55" i="140" s="1"/>
  <c r="D2799" i="48"/>
  <c r="D56" i="140" s="1"/>
  <c r="D2800" i="48"/>
  <c r="D57" i="140" s="1"/>
  <c r="D2801" i="48"/>
  <c r="D58" i="140" s="1"/>
  <c r="D2802" i="48"/>
  <c r="D59" i="140" s="1"/>
  <c r="D2803" i="48"/>
  <c r="D60" i="140" s="1"/>
  <c r="D2804" i="48"/>
  <c r="D61" i="140" s="1"/>
  <c r="D65" i="140"/>
  <c r="D89" i="140"/>
  <c r="D2895" i="48"/>
  <c r="E94" i="140" s="1"/>
  <c r="D2896" i="48"/>
  <c r="E95" i="140" s="1"/>
  <c r="D2785" i="48"/>
  <c r="G4" i="140" s="1"/>
  <c r="D3093" i="48"/>
  <c r="D3094" i="48"/>
  <c r="D3095" i="48"/>
  <c r="D3096" i="48"/>
  <c r="D3098" i="48"/>
  <c r="D2982" i="48"/>
  <c r="D2983" i="48"/>
  <c r="D2984" i="48"/>
  <c r="D2985" i="48"/>
  <c r="D2986" i="48"/>
  <c r="D2987" i="48"/>
  <c r="D2988" i="48"/>
  <c r="D2989" i="48"/>
  <c r="D2990" i="48"/>
  <c r="D2981" i="48"/>
  <c r="D2980" i="48"/>
  <c r="D2979" i="48"/>
  <c r="D2976" i="48"/>
  <c r="D2977" i="48"/>
  <c r="D2978" i="48"/>
  <c r="D2991" i="48"/>
  <c r="D2992" i="48"/>
  <c r="D2993" i="48"/>
  <c r="D2951" i="48"/>
  <c r="D39" i="132" s="1"/>
  <c r="D2952" i="48"/>
  <c r="D40" i="132" s="1"/>
  <c r="D2953" i="48"/>
  <c r="D46" i="132" s="1"/>
  <c r="D2954" i="48"/>
  <c r="D47" i="132" s="1"/>
  <c r="D2955" i="48"/>
  <c r="D48" i="132" s="1"/>
  <c r="D2956" i="48"/>
  <c r="D49" i="132" s="1"/>
  <c r="D2957" i="48"/>
  <c r="D50" i="132" s="1"/>
  <c r="D2958" i="48"/>
  <c r="D51" i="132" s="1"/>
  <c r="D2959" i="48"/>
  <c r="D52" i="132" s="1"/>
  <c r="D2960" i="48"/>
  <c r="D56" i="132" s="1"/>
  <c r="D2961" i="48"/>
  <c r="D57" i="132" s="1"/>
  <c r="D2962" i="48"/>
  <c r="D58" i="132" s="1"/>
  <c r="D2963" i="48"/>
  <c r="D59" i="132" s="1"/>
  <c r="D2964" i="48"/>
  <c r="D60" i="132" s="1"/>
  <c r="D2965" i="48"/>
  <c r="D61" i="132" s="1"/>
  <c r="D2966" i="48"/>
  <c r="D62" i="132" s="1"/>
  <c r="D66" i="132"/>
  <c r="D90" i="132"/>
  <c r="D3057" i="48"/>
  <c r="E95" i="132" s="1"/>
  <c r="D3058" i="48"/>
  <c r="E96" i="132" s="1"/>
  <c r="D2947" i="48"/>
  <c r="G4" i="132" s="1"/>
  <c r="D190" i="48"/>
  <c r="F190" i="48" s="1"/>
  <c r="D39" i="122"/>
  <c r="D521" i="48"/>
  <c r="D40" i="122" s="1"/>
  <c r="D522" i="48"/>
  <c r="D46" i="122" s="1"/>
  <c r="D523" i="48"/>
  <c r="D47" i="122" s="1"/>
  <c r="D524" i="48"/>
  <c r="D48" i="122" s="1"/>
  <c r="D525" i="48"/>
  <c r="D49" i="122" s="1"/>
  <c r="D50" i="122"/>
  <c r="D51" i="122"/>
  <c r="D52" i="122"/>
  <c r="D529" i="48"/>
  <c r="D56" i="122" s="1"/>
  <c r="D530" i="48"/>
  <c r="D57" i="122" s="1"/>
  <c r="D531" i="48"/>
  <c r="D58" i="122" s="1"/>
  <c r="D59" i="122"/>
  <c r="D60" i="122"/>
  <c r="D61" i="122"/>
  <c r="D62" i="122"/>
  <c r="D66" i="122"/>
  <c r="D90" i="122"/>
  <c r="D626" i="48"/>
  <c r="E95" i="122" s="1"/>
  <c r="D627" i="48"/>
  <c r="E96" i="122" s="1"/>
  <c r="D39" i="121"/>
  <c r="D358" i="48"/>
  <c r="D40" i="121" s="1"/>
  <c r="D359" i="48"/>
  <c r="D46" i="121" s="1"/>
  <c r="D360" i="48"/>
  <c r="D47" i="121" s="1"/>
  <c r="D361" i="48"/>
  <c r="D48" i="121" s="1"/>
  <c r="D362" i="48"/>
  <c r="D49" i="121" s="1"/>
  <c r="D50" i="121"/>
  <c r="D51" i="121"/>
  <c r="D52" i="121"/>
  <c r="D366" i="48"/>
  <c r="D56" i="121" s="1"/>
  <c r="D367" i="48"/>
  <c r="D57" i="121" s="1"/>
  <c r="D368" i="48"/>
  <c r="D58" i="121" s="1"/>
  <c r="D59" i="121"/>
  <c r="D60" i="121"/>
  <c r="D61" i="121"/>
  <c r="D62" i="121"/>
  <c r="D66" i="121"/>
  <c r="D90" i="121"/>
  <c r="D463" i="48"/>
  <c r="E95" i="121" s="1"/>
  <c r="D464" i="48"/>
  <c r="E96" i="121" s="1"/>
  <c r="D353" i="48"/>
  <c r="F353" i="48" s="1"/>
  <c r="D173" i="48"/>
  <c r="D38" i="111"/>
  <c r="D32" i="48"/>
  <c r="D39" i="111" s="1"/>
  <c r="D33" i="48"/>
  <c r="D45" i="111" s="1"/>
  <c r="D34" i="48"/>
  <c r="D46" i="111" s="1"/>
  <c r="D35" i="48"/>
  <c r="D47" i="111" s="1"/>
  <c r="D36" i="48"/>
  <c r="D48" i="111" s="1"/>
  <c r="D49" i="111"/>
  <c r="D50" i="111"/>
  <c r="D51" i="111"/>
  <c r="D40" i="48"/>
  <c r="D55" i="111" s="1"/>
  <c r="D41" i="48"/>
  <c r="D56" i="111" s="1"/>
  <c r="D42" i="48"/>
  <c r="D57" i="111" s="1"/>
  <c r="D58" i="111"/>
  <c r="D59" i="111"/>
  <c r="D60" i="111"/>
  <c r="D61" i="111"/>
  <c r="D65" i="111"/>
  <c r="D89" i="111"/>
  <c r="D137" i="48"/>
  <c r="E94" i="111" s="1"/>
  <c r="D138" i="48"/>
  <c r="E95" i="111" s="1"/>
  <c r="E2" i="138"/>
  <c r="G2" i="139"/>
  <c r="B347" i="48"/>
  <c r="B184" i="48"/>
  <c r="B516" i="48"/>
  <c r="B5" i="122" s="1"/>
  <c r="B515" i="48"/>
  <c r="D516" i="48"/>
  <c r="G5" i="122" s="1"/>
  <c r="B4" i="121"/>
  <c r="B353" i="48"/>
  <c r="B5" i="121" s="1"/>
  <c r="B190" i="48"/>
  <c r="B5" i="119" s="1"/>
  <c r="B4" i="119"/>
  <c r="B358" i="48"/>
  <c r="C40" i="121" s="1"/>
  <c r="F65" i="140"/>
  <c r="C2790" i="48"/>
  <c r="F39" i="140" s="1"/>
  <c r="C2791" i="48"/>
  <c r="F45" i="140" s="1"/>
  <c r="C2792" i="48"/>
  <c r="F46" i="140" s="1"/>
  <c r="C2793" i="48"/>
  <c r="F47" i="140" s="1"/>
  <c r="C2794" i="48"/>
  <c r="F48" i="140" s="1"/>
  <c r="C2795" i="48"/>
  <c r="F49" i="140" s="1"/>
  <c r="C2796" i="48"/>
  <c r="F50" i="140" s="1"/>
  <c r="C2797" i="48"/>
  <c r="F51" i="140" s="1"/>
  <c r="C2798" i="48"/>
  <c r="F55" i="140" s="1"/>
  <c r="C2799" i="48"/>
  <c r="F56" i="140" s="1"/>
  <c r="C2800" i="48"/>
  <c r="F57" i="140" s="1"/>
  <c r="C2801" i="48"/>
  <c r="F58" i="140" s="1"/>
  <c r="C2802" i="48"/>
  <c r="F59" i="140" s="1"/>
  <c r="C2803" i="48"/>
  <c r="F60" i="140" s="1"/>
  <c r="C2804" i="48"/>
  <c r="F61" i="140" s="1"/>
  <c r="F77" i="140"/>
  <c r="C2815" i="48"/>
  <c r="F78" i="140" s="1"/>
  <c r="C2816" i="48"/>
  <c r="F79" i="140" s="1"/>
  <c r="C2817" i="48"/>
  <c r="F32" i="140" s="1"/>
  <c r="C2818" i="48"/>
  <c r="F33" i="140" s="1"/>
  <c r="C2819" i="48"/>
  <c r="F62" i="140" s="1"/>
  <c r="C2820" i="48"/>
  <c r="F9" i="140" s="1"/>
  <c r="C2821" i="48"/>
  <c r="F10" i="140" s="1"/>
  <c r="C2822" i="48"/>
  <c r="F11" i="140" s="1"/>
  <c r="C2823" i="48"/>
  <c r="F12" i="140" s="1"/>
  <c r="C2824" i="48"/>
  <c r="F13" i="140" s="1"/>
  <c r="C2825" i="48"/>
  <c r="F14" i="140" s="1"/>
  <c r="C2826" i="48"/>
  <c r="F15" i="140" s="1"/>
  <c r="C2827" i="48"/>
  <c r="F16" i="140" s="1"/>
  <c r="C2828" i="48"/>
  <c r="F17" i="140" s="1"/>
  <c r="C2829" i="48"/>
  <c r="F40" i="140" s="1"/>
  <c r="C2830" i="48"/>
  <c r="F41" i="140" s="1"/>
  <c r="C2831" i="48"/>
  <c r="F52" i="140" s="1"/>
  <c r="C2785" i="48"/>
  <c r="F4" i="140" s="1"/>
  <c r="C1002" i="48"/>
  <c r="F4" i="125" s="1"/>
  <c r="F82" i="132"/>
  <c r="F81" i="131"/>
  <c r="F81" i="130"/>
  <c r="F81" i="129"/>
  <c r="F81" i="128"/>
  <c r="F79" i="127"/>
  <c r="F81" i="126"/>
  <c r="F81" i="125"/>
  <c r="F81" i="124"/>
  <c r="F80" i="123"/>
  <c r="F82" i="121"/>
  <c r="F82" i="122"/>
  <c r="F82" i="119"/>
  <c r="F81" i="111"/>
  <c r="B28" i="136"/>
  <c r="C81" i="111" s="1"/>
  <c r="AE68" i="114"/>
  <c r="AD68" i="114"/>
  <c r="AH68" i="114" s="1"/>
  <c r="AL68" i="114" s="1"/>
  <c r="AB68" i="114"/>
  <c r="I29" i="114" s="1"/>
  <c r="V68" i="114"/>
  <c r="B9" i="114"/>
  <c r="H9" i="114" s="1"/>
  <c r="N24" i="114" s="1"/>
  <c r="B29" i="114"/>
  <c r="H29" i="114" s="1"/>
  <c r="C29" i="114"/>
  <c r="D29" i="114"/>
  <c r="F29" i="114"/>
  <c r="O29" i="114"/>
  <c r="I8" i="114"/>
  <c r="B520" i="48"/>
  <c r="C39" i="122" s="1"/>
  <c r="B22" i="138"/>
  <c r="C40" i="122" s="1"/>
  <c r="B21" i="136"/>
  <c r="B27" i="136"/>
  <c r="C81" i="132" s="1"/>
  <c r="B29" i="136"/>
  <c r="B17" i="136"/>
  <c r="B30" i="136"/>
  <c r="B31" i="136"/>
  <c r="B32" i="136"/>
  <c r="C85" i="129" s="1"/>
  <c r="B33" i="136"/>
  <c r="B2062" i="48" s="1"/>
  <c r="B34" i="136"/>
  <c r="B166" i="48" s="1"/>
  <c r="B35" i="136"/>
  <c r="B36" i="136"/>
  <c r="B23" i="136"/>
  <c r="B24" i="136"/>
  <c r="B25" i="136"/>
  <c r="B22" i="136"/>
  <c r="B781" i="48" s="1"/>
  <c r="B8" i="136"/>
  <c r="B1862" i="48" s="1"/>
  <c r="B9" i="136"/>
  <c r="C20" i="132" s="1"/>
  <c r="B10" i="136"/>
  <c r="B11" i="136"/>
  <c r="B12" i="136"/>
  <c r="C23" i="130" s="1"/>
  <c r="B13" i="136"/>
  <c r="B14" i="136"/>
  <c r="C25" i="132" s="1"/>
  <c r="B15" i="136"/>
  <c r="C27" i="121" s="1"/>
  <c r="B16" i="136"/>
  <c r="B92" i="48" s="1"/>
  <c r="B19" i="136"/>
  <c r="B257" i="48" s="1"/>
  <c r="B20" i="136"/>
  <c r="C64" i="121" s="1"/>
  <c r="B7" i="136"/>
  <c r="F63" i="131"/>
  <c r="F63" i="130"/>
  <c r="F63" i="126"/>
  <c r="F62" i="123"/>
  <c r="F63" i="124"/>
  <c r="F36" i="121"/>
  <c r="F64" i="119"/>
  <c r="F64" i="132"/>
  <c r="B1331" i="48"/>
  <c r="C40" i="127" s="1"/>
  <c r="T2" i="136"/>
  <c r="O2" i="136"/>
  <c r="N2" i="136"/>
  <c r="M2" i="136"/>
  <c r="L2" i="136"/>
  <c r="L2" i="139"/>
  <c r="U2" i="136"/>
  <c r="J2" i="136"/>
  <c r="I2" i="136"/>
  <c r="H2" i="136"/>
  <c r="G2" i="136"/>
  <c r="B23" i="138"/>
  <c r="B24" i="138"/>
  <c r="B25" i="138"/>
  <c r="B26" i="138"/>
  <c r="B27" i="138"/>
  <c r="B28" i="138"/>
  <c r="B29" i="138"/>
  <c r="L2" i="138"/>
  <c r="H22" i="133"/>
  <c r="D90" i="119"/>
  <c r="L16" i="88"/>
  <c r="C120" i="48"/>
  <c r="C283" i="48"/>
  <c r="C446" i="48"/>
  <c r="C609" i="48"/>
  <c r="C771" i="48"/>
  <c r="C933" i="48"/>
  <c r="C1095" i="48"/>
  <c r="C1257" i="48"/>
  <c r="C1419" i="48"/>
  <c r="C1582" i="48"/>
  <c r="C1744" i="48"/>
  <c r="C1906" i="48"/>
  <c r="C2068" i="48"/>
  <c r="C2878" i="48"/>
  <c r="C3057" i="48"/>
  <c r="C2895" i="48"/>
  <c r="C2085" i="48"/>
  <c r="C1923" i="48"/>
  <c r="C1761" i="48"/>
  <c r="C1599" i="48"/>
  <c r="C1437" i="48"/>
  <c r="C1274" i="48"/>
  <c r="C626" i="48"/>
  <c r="C788" i="48"/>
  <c r="C950" i="48"/>
  <c r="C1112" i="48"/>
  <c r="C137" i="48"/>
  <c r="C300" i="48"/>
  <c r="C463" i="48"/>
  <c r="V48" i="114"/>
  <c r="V49" i="114"/>
  <c r="V50" i="114"/>
  <c r="V51" i="114"/>
  <c r="V52" i="114"/>
  <c r="V53" i="114"/>
  <c r="V54" i="114"/>
  <c r="V55" i="114"/>
  <c r="V56" i="114"/>
  <c r="V57" i="114"/>
  <c r="V58" i="114"/>
  <c r="V60" i="114"/>
  <c r="V61" i="114"/>
  <c r="V62" i="114"/>
  <c r="V67" i="114"/>
  <c r="V69" i="114"/>
  <c r="V59" i="114"/>
  <c r="V70" i="114"/>
  <c r="V71" i="114"/>
  <c r="V72" i="114"/>
  <c r="V73" i="114"/>
  <c r="V74" i="114"/>
  <c r="V75" i="114"/>
  <c r="V76" i="114"/>
  <c r="V64" i="114"/>
  <c r="V65" i="114"/>
  <c r="V66" i="114"/>
  <c r="V63" i="114"/>
  <c r="V47" i="114"/>
  <c r="H112" i="132"/>
  <c r="H105" i="132"/>
  <c r="B3096" i="48"/>
  <c r="B105" i="132" s="1"/>
  <c r="H103" i="132"/>
  <c r="B3098" i="48"/>
  <c r="B103" i="132" s="1"/>
  <c r="H102" i="132"/>
  <c r="B3095" i="48"/>
  <c r="B102" i="132" s="1"/>
  <c r="H101" i="132"/>
  <c r="B3094" i="48"/>
  <c r="B101" i="132" s="1"/>
  <c r="H100" i="132"/>
  <c r="B3093" i="48"/>
  <c r="B100" i="132" s="1"/>
  <c r="C96" i="132"/>
  <c r="C95" i="132"/>
  <c r="F91" i="132"/>
  <c r="C91" i="132"/>
  <c r="F90" i="132"/>
  <c r="C90" i="132"/>
  <c r="F89" i="132"/>
  <c r="C89" i="132"/>
  <c r="F88" i="132"/>
  <c r="C88" i="132"/>
  <c r="F87" i="132"/>
  <c r="F86" i="132"/>
  <c r="F85" i="132"/>
  <c r="C85" i="132"/>
  <c r="F84" i="132"/>
  <c r="C84" i="132"/>
  <c r="F28" i="132"/>
  <c r="F83" i="132"/>
  <c r="F81" i="132"/>
  <c r="B2978" i="48"/>
  <c r="C80" i="132" s="1"/>
  <c r="B2977" i="48"/>
  <c r="C79" i="132" s="1"/>
  <c r="B2976" i="48"/>
  <c r="C78" i="132" s="1"/>
  <c r="F36" i="132"/>
  <c r="B2981" i="48"/>
  <c r="C63" i="132" s="1"/>
  <c r="B2966" i="48"/>
  <c r="C62" i="132" s="1"/>
  <c r="B2965" i="48"/>
  <c r="C61" i="132" s="1"/>
  <c r="B2964" i="48"/>
  <c r="C60" i="132" s="1"/>
  <c r="B2963" i="48"/>
  <c r="C59" i="132" s="1"/>
  <c r="B2962" i="48"/>
  <c r="C58" i="132" s="1"/>
  <c r="B2961" i="48"/>
  <c r="C57" i="132" s="1"/>
  <c r="B2960" i="48"/>
  <c r="C56" i="132" s="1"/>
  <c r="F54" i="132"/>
  <c r="C54" i="132"/>
  <c r="B2993" i="48"/>
  <c r="C53" i="132" s="1"/>
  <c r="B2959" i="48"/>
  <c r="C52" i="132" s="1"/>
  <c r="B2958" i="48"/>
  <c r="C51" i="132" s="1"/>
  <c r="B2957" i="48"/>
  <c r="C50" i="132" s="1"/>
  <c r="B2956" i="48"/>
  <c r="C49" i="132" s="1"/>
  <c r="B2955" i="48"/>
  <c r="C48" i="132" s="1"/>
  <c r="B2954" i="48"/>
  <c r="C47" i="132" s="1"/>
  <c r="B2953" i="48"/>
  <c r="C46" i="132" s="1"/>
  <c r="F37" i="132"/>
  <c r="F44" i="132"/>
  <c r="C44" i="132"/>
  <c r="F43" i="132"/>
  <c r="C43" i="132"/>
  <c r="B2992" i="48"/>
  <c r="C42" i="132" s="1"/>
  <c r="B2991" i="48"/>
  <c r="C41" i="132" s="1"/>
  <c r="B2952" i="48"/>
  <c r="C40" i="132" s="1"/>
  <c r="B2951" i="48"/>
  <c r="C39" i="132" s="1"/>
  <c r="C64" i="132"/>
  <c r="F35" i="132"/>
  <c r="B2980" i="48"/>
  <c r="C34" i="132" s="1"/>
  <c r="B2979" i="48"/>
  <c r="C33" i="132" s="1"/>
  <c r="C26" i="132"/>
  <c r="C24" i="132"/>
  <c r="C21" i="132"/>
  <c r="B2990" i="48"/>
  <c r="C17" i="132" s="1"/>
  <c r="B2989" i="48"/>
  <c r="C16" i="132" s="1"/>
  <c r="B2988" i="48"/>
  <c r="C15" i="132" s="1"/>
  <c r="B2987" i="48"/>
  <c r="C14" i="132" s="1"/>
  <c r="B2986" i="48"/>
  <c r="C13" i="132" s="1"/>
  <c r="B2985" i="48"/>
  <c r="C12" i="132" s="1"/>
  <c r="B2984" i="48"/>
  <c r="C11" i="132" s="1"/>
  <c r="B2983" i="48"/>
  <c r="C10" i="132" s="1"/>
  <c r="B2982" i="48"/>
  <c r="C9" i="132" s="1"/>
  <c r="G4" i="131"/>
  <c r="H104" i="131"/>
  <c r="H102" i="131"/>
  <c r="H101" i="131"/>
  <c r="H100" i="131"/>
  <c r="C95" i="131"/>
  <c r="C94" i="131"/>
  <c r="F90" i="131"/>
  <c r="F89" i="131"/>
  <c r="C89" i="131"/>
  <c r="F88" i="131"/>
  <c r="C88" i="131"/>
  <c r="F87" i="131"/>
  <c r="F86" i="131"/>
  <c r="F85" i="131"/>
  <c r="F84" i="131"/>
  <c r="C84" i="131"/>
  <c r="F83" i="131"/>
  <c r="C83" i="131"/>
  <c r="F82" i="131"/>
  <c r="F80" i="131"/>
  <c r="C80" i="131"/>
  <c r="F35" i="131"/>
  <c r="F53" i="131"/>
  <c r="C53" i="131"/>
  <c r="F36" i="131"/>
  <c r="F43" i="131"/>
  <c r="C43" i="131"/>
  <c r="F42" i="131"/>
  <c r="C42" i="131"/>
  <c r="C63" i="131"/>
  <c r="F34" i="131"/>
  <c r="F27" i="131"/>
  <c r="F26" i="131"/>
  <c r="F25" i="131"/>
  <c r="C25" i="131"/>
  <c r="F24" i="131"/>
  <c r="C24" i="131"/>
  <c r="F23" i="131"/>
  <c r="F22" i="131"/>
  <c r="F21" i="131"/>
  <c r="C21" i="131"/>
  <c r="F20" i="131"/>
  <c r="F19" i="131"/>
  <c r="F18" i="131"/>
  <c r="H109" i="130"/>
  <c r="H104" i="130"/>
  <c r="B1962" i="48"/>
  <c r="B104" i="130" s="1"/>
  <c r="H102" i="130"/>
  <c r="B1964" i="48"/>
  <c r="B102" i="130" s="1"/>
  <c r="H101" i="130"/>
  <c r="B1961" i="48"/>
  <c r="B101" i="130" s="1"/>
  <c r="H100" i="130"/>
  <c r="B1960" i="48"/>
  <c r="B100" i="130" s="1"/>
  <c r="B1959" i="48"/>
  <c r="B99" i="130" s="1"/>
  <c r="C95" i="130"/>
  <c r="C94" i="130"/>
  <c r="F90" i="130"/>
  <c r="F89" i="130"/>
  <c r="C89" i="130"/>
  <c r="F88" i="130"/>
  <c r="C88" i="130"/>
  <c r="F87" i="130"/>
  <c r="F86" i="130"/>
  <c r="F85" i="130"/>
  <c r="F84" i="130"/>
  <c r="C84" i="130"/>
  <c r="F83" i="130"/>
  <c r="C83" i="130"/>
  <c r="F82" i="130"/>
  <c r="F80" i="130"/>
  <c r="C80" i="130"/>
  <c r="B1844" i="48"/>
  <c r="C79" i="130" s="1"/>
  <c r="B1843" i="48"/>
  <c r="C78" i="130" s="1"/>
  <c r="B1842" i="48"/>
  <c r="C65" i="130"/>
  <c r="F35" i="130"/>
  <c r="B1847" i="48"/>
  <c r="C62" i="130" s="1"/>
  <c r="B1832" i="48"/>
  <c r="C61" i="130" s="1"/>
  <c r="B1831" i="48"/>
  <c r="C60" i="130" s="1"/>
  <c r="B1830" i="48"/>
  <c r="C59" i="130" s="1"/>
  <c r="B1829" i="48"/>
  <c r="C58" i="130" s="1"/>
  <c r="B1828" i="48"/>
  <c r="C57" i="130" s="1"/>
  <c r="B1827" i="48"/>
  <c r="C56" i="130" s="1"/>
  <c r="B1826" i="48"/>
  <c r="C55" i="130" s="1"/>
  <c r="C53" i="130"/>
  <c r="B1859" i="48"/>
  <c r="C52" i="130" s="1"/>
  <c r="B1825" i="48"/>
  <c r="C51" i="130" s="1"/>
  <c r="B1824" i="48"/>
  <c r="C50" i="130" s="1"/>
  <c r="B1823" i="48"/>
  <c r="C49" i="130" s="1"/>
  <c r="B1822" i="48"/>
  <c r="C48" i="130" s="1"/>
  <c r="B1821" i="48"/>
  <c r="C47" i="130" s="1"/>
  <c r="B1820" i="48"/>
  <c r="C46" i="130" s="1"/>
  <c r="B1819" i="48"/>
  <c r="C45" i="130" s="1"/>
  <c r="F36" i="130"/>
  <c r="F43" i="130"/>
  <c r="C43" i="130"/>
  <c r="F42" i="130"/>
  <c r="C42" i="130"/>
  <c r="B1858" i="48"/>
  <c r="C41" i="130" s="1"/>
  <c r="B1857" i="48"/>
  <c r="C40" i="130" s="1"/>
  <c r="B1818" i="48"/>
  <c r="C39" i="130" s="1"/>
  <c r="B1817" i="48"/>
  <c r="C38" i="130" s="1"/>
  <c r="C63" i="130"/>
  <c r="F34" i="130"/>
  <c r="B1846" i="48"/>
  <c r="C33" i="130" s="1"/>
  <c r="B1845" i="48"/>
  <c r="C32" i="130" s="1"/>
  <c r="F27" i="130"/>
  <c r="F26" i="130"/>
  <c r="F25" i="130"/>
  <c r="C25" i="130"/>
  <c r="F24" i="130"/>
  <c r="C24" i="130"/>
  <c r="F23" i="130"/>
  <c r="F22" i="130"/>
  <c r="F21" i="130"/>
  <c r="C21" i="130"/>
  <c r="F20" i="130"/>
  <c r="F19" i="130"/>
  <c r="F18" i="130"/>
  <c r="B1856" i="48"/>
  <c r="C17" i="130" s="1"/>
  <c r="B1855" i="48"/>
  <c r="C16" i="130" s="1"/>
  <c r="B1854" i="48"/>
  <c r="C15" i="130" s="1"/>
  <c r="B1853" i="48"/>
  <c r="C14" i="130" s="1"/>
  <c r="B1852" i="48"/>
  <c r="C13" i="130" s="1"/>
  <c r="B1851" i="48"/>
  <c r="C12" i="130" s="1"/>
  <c r="B1850" i="48"/>
  <c r="C11" i="130" s="1"/>
  <c r="B1849" i="48"/>
  <c r="C10" i="130" s="1"/>
  <c r="B1848" i="48"/>
  <c r="C9" i="130" s="1"/>
  <c r="B1813" i="48"/>
  <c r="B4" i="130" s="1"/>
  <c r="H111" i="129"/>
  <c r="H106" i="129"/>
  <c r="B1800" i="48"/>
  <c r="B106" i="129" s="1"/>
  <c r="H104" i="129"/>
  <c r="B1802" i="48"/>
  <c r="B104" i="129" s="1"/>
  <c r="H103" i="129"/>
  <c r="B1799" i="48"/>
  <c r="B103" i="129" s="1"/>
  <c r="H102" i="129"/>
  <c r="B1798" i="48"/>
  <c r="B102" i="129" s="1"/>
  <c r="H101" i="129"/>
  <c r="B1797" i="48"/>
  <c r="B101" i="129" s="1"/>
  <c r="C95" i="129"/>
  <c r="C94" i="129"/>
  <c r="F90" i="129"/>
  <c r="F89" i="129"/>
  <c r="C89" i="129"/>
  <c r="F88" i="129"/>
  <c r="C88" i="129"/>
  <c r="F87" i="129"/>
  <c r="F86" i="129"/>
  <c r="F85" i="129"/>
  <c r="F84" i="129"/>
  <c r="C84" i="129"/>
  <c r="F83" i="129"/>
  <c r="C83" i="129"/>
  <c r="F28" i="129"/>
  <c r="C28" i="129"/>
  <c r="F82" i="129"/>
  <c r="F80" i="129"/>
  <c r="C80" i="129"/>
  <c r="B1682" i="48"/>
  <c r="C79" i="129" s="1"/>
  <c r="B1681" i="48"/>
  <c r="C78" i="129" s="1"/>
  <c r="B1680" i="48"/>
  <c r="C77" i="129" s="1"/>
  <c r="C65" i="129"/>
  <c r="F35" i="129"/>
  <c r="B1685" i="48"/>
  <c r="C62" i="129" s="1"/>
  <c r="B1670" i="48"/>
  <c r="C61" i="129" s="1"/>
  <c r="B1669" i="48"/>
  <c r="C60" i="129" s="1"/>
  <c r="B1668" i="48"/>
  <c r="C59" i="129" s="1"/>
  <c r="B1667" i="48"/>
  <c r="C58" i="129" s="1"/>
  <c r="B1666" i="48"/>
  <c r="C57" i="129" s="1"/>
  <c r="B1665" i="48"/>
  <c r="C56" i="129" s="1"/>
  <c r="B1664" i="48"/>
  <c r="C55" i="129" s="1"/>
  <c r="F53" i="129"/>
  <c r="C53" i="129"/>
  <c r="B1697" i="48"/>
  <c r="C52" i="129" s="1"/>
  <c r="B1663" i="48"/>
  <c r="C51" i="129" s="1"/>
  <c r="B1662" i="48"/>
  <c r="C50" i="129" s="1"/>
  <c r="B1661" i="48"/>
  <c r="C49" i="129" s="1"/>
  <c r="B1660" i="48"/>
  <c r="C48" i="129" s="1"/>
  <c r="B1659" i="48"/>
  <c r="C47" i="129" s="1"/>
  <c r="B1658" i="48"/>
  <c r="C46" i="129" s="1"/>
  <c r="B1657" i="48"/>
  <c r="C45" i="129" s="1"/>
  <c r="F36" i="129"/>
  <c r="F43" i="129"/>
  <c r="C43" i="129"/>
  <c r="F42" i="129"/>
  <c r="C42" i="129"/>
  <c r="B1696" i="48"/>
  <c r="C41" i="129" s="1"/>
  <c r="B1695" i="48"/>
  <c r="C40" i="129" s="1"/>
  <c r="B1656" i="48"/>
  <c r="C39" i="129" s="1"/>
  <c r="B1655" i="48"/>
  <c r="C38" i="129" s="1"/>
  <c r="C63" i="129"/>
  <c r="B1684" i="48"/>
  <c r="C33" i="129" s="1"/>
  <c r="B1683" i="48"/>
  <c r="C32" i="129" s="1"/>
  <c r="F27" i="129"/>
  <c r="F26" i="129"/>
  <c r="F25" i="129"/>
  <c r="C25" i="129"/>
  <c r="F24" i="129"/>
  <c r="C24" i="129"/>
  <c r="F23" i="129"/>
  <c r="C23" i="129"/>
  <c r="F22" i="129"/>
  <c r="F21" i="129"/>
  <c r="C21" i="129"/>
  <c r="F20" i="129"/>
  <c r="C20" i="129"/>
  <c r="F19" i="129"/>
  <c r="F18" i="129"/>
  <c r="B1694" i="48"/>
  <c r="C17" i="129" s="1"/>
  <c r="B1693" i="48"/>
  <c r="C16" i="129" s="1"/>
  <c r="B1692" i="48"/>
  <c r="C15" i="129" s="1"/>
  <c r="B1691" i="48"/>
  <c r="C14" i="129" s="1"/>
  <c r="B1690" i="48"/>
  <c r="C13" i="129" s="1"/>
  <c r="B1689" i="48"/>
  <c r="C12" i="129" s="1"/>
  <c r="B1688" i="48"/>
  <c r="C11" i="129" s="1"/>
  <c r="B1687" i="48"/>
  <c r="C10" i="129" s="1"/>
  <c r="B1686" i="48"/>
  <c r="C9" i="129" s="1"/>
  <c r="B1651" i="48"/>
  <c r="B4" i="129" s="1"/>
  <c r="H109" i="128"/>
  <c r="H104" i="128"/>
  <c r="B1638" i="48"/>
  <c r="B104" i="128" s="1"/>
  <c r="H102" i="128"/>
  <c r="B1640" i="48"/>
  <c r="B102" i="128" s="1"/>
  <c r="H101" i="128"/>
  <c r="B1637" i="48"/>
  <c r="B101" i="128" s="1"/>
  <c r="H100" i="128"/>
  <c r="B1636" i="48"/>
  <c r="B100" i="128" s="1"/>
  <c r="H99" i="128"/>
  <c r="B1635" i="48"/>
  <c r="B99" i="128" s="1"/>
  <c r="C95" i="128"/>
  <c r="C94" i="128"/>
  <c r="F90" i="128"/>
  <c r="F89" i="128"/>
  <c r="C89" i="128"/>
  <c r="F88" i="128"/>
  <c r="C88" i="128"/>
  <c r="F87" i="128"/>
  <c r="C87" i="128"/>
  <c r="F86" i="128"/>
  <c r="F85" i="128"/>
  <c r="F84" i="128"/>
  <c r="C84" i="128"/>
  <c r="F83" i="128"/>
  <c r="C83" i="128"/>
  <c r="F28" i="128"/>
  <c r="C28" i="128"/>
  <c r="F82" i="128"/>
  <c r="F80" i="128"/>
  <c r="C80" i="128"/>
  <c r="B1520" i="48"/>
  <c r="C79" i="128" s="1"/>
  <c r="B1519" i="48"/>
  <c r="C78" i="128" s="1"/>
  <c r="B1518" i="48"/>
  <c r="C77" i="128" s="1"/>
  <c r="C65" i="128"/>
  <c r="F35" i="128"/>
  <c r="B1523" i="48"/>
  <c r="C62" i="128" s="1"/>
  <c r="B1508" i="48"/>
  <c r="C61" i="128" s="1"/>
  <c r="B1507" i="48"/>
  <c r="C60" i="128" s="1"/>
  <c r="B1506" i="48"/>
  <c r="C59" i="128" s="1"/>
  <c r="B1505" i="48"/>
  <c r="C58" i="128" s="1"/>
  <c r="B1504" i="48"/>
  <c r="C57" i="128" s="1"/>
  <c r="B1503" i="48"/>
  <c r="C56" i="128" s="1"/>
  <c r="B1502" i="48"/>
  <c r="C55" i="128" s="1"/>
  <c r="C53" i="128"/>
  <c r="B1535" i="48"/>
  <c r="C52" i="128" s="1"/>
  <c r="B1501" i="48"/>
  <c r="C51" i="128" s="1"/>
  <c r="B1500" i="48"/>
  <c r="C50" i="128" s="1"/>
  <c r="B1499" i="48"/>
  <c r="C49" i="128" s="1"/>
  <c r="B1498" i="48"/>
  <c r="C48" i="128" s="1"/>
  <c r="B1497" i="48"/>
  <c r="C47" i="128" s="1"/>
  <c r="B1496" i="48"/>
  <c r="C46" i="128" s="1"/>
  <c r="B1495" i="48"/>
  <c r="C45" i="128" s="1"/>
  <c r="F36" i="128"/>
  <c r="F43" i="128"/>
  <c r="C43" i="128"/>
  <c r="F42" i="128"/>
  <c r="C42" i="128"/>
  <c r="B1534" i="48"/>
  <c r="C41" i="128" s="1"/>
  <c r="B1533" i="48"/>
  <c r="C40" i="128" s="1"/>
  <c r="B1494" i="48"/>
  <c r="C39" i="128" s="1"/>
  <c r="B1493" i="48"/>
  <c r="C38" i="128" s="1"/>
  <c r="C63" i="128"/>
  <c r="F34" i="128"/>
  <c r="B1522" i="48"/>
  <c r="C33" i="128" s="1"/>
  <c r="B1521" i="48"/>
  <c r="C32" i="128" s="1"/>
  <c r="F27" i="128"/>
  <c r="F26" i="128"/>
  <c r="F25" i="128"/>
  <c r="C25" i="128"/>
  <c r="F24" i="128"/>
  <c r="C24" i="128"/>
  <c r="F23" i="128"/>
  <c r="F22" i="128"/>
  <c r="C21" i="128"/>
  <c r="F20" i="128"/>
  <c r="F18" i="128"/>
  <c r="B1532" i="48"/>
  <c r="C17" i="128" s="1"/>
  <c r="B1531" i="48"/>
  <c r="C16" i="128" s="1"/>
  <c r="B1530" i="48"/>
  <c r="C15" i="128" s="1"/>
  <c r="B1529" i="48"/>
  <c r="C14" i="128" s="1"/>
  <c r="B1528" i="48"/>
  <c r="C13" i="128" s="1"/>
  <c r="B1527" i="48"/>
  <c r="C12" i="128" s="1"/>
  <c r="B1526" i="48"/>
  <c r="C11" i="128" s="1"/>
  <c r="B1525" i="48"/>
  <c r="C10" i="128" s="1"/>
  <c r="B1524" i="48"/>
  <c r="C9" i="128" s="1"/>
  <c r="B1489" i="48"/>
  <c r="B4" i="128" s="1"/>
  <c r="I5" i="119"/>
  <c r="I4" i="119"/>
  <c r="I5" i="121"/>
  <c r="D1478" i="48"/>
  <c r="H116" i="127"/>
  <c r="H111" i="127"/>
  <c r="B1476" i="48"/>
  <c r="B111" i="127" s="1"/>
  <c r="H109" i="127"/>
  <c r="B1478" i="48"/>
  <c r="B109" i="127" s="1"/>
  <c r="H108" i="127"/>
  <c r="B1475" i="48"/>
  <c r="B108" i="127" s="1"/>
  <c r="H107" i="127"/>
  <c r="B1474" i="48"/>
  <c r="B107" i="127" s="1"/>
  <c r="H106" i="127"/>
  <c r="B1473" i="48"/>
  <c r="B106" i="127" s="1"/>
  <c r="C102" i="127"/>
  <c r="C101" i="127"/>
  <c r="F97" i="127"/>
  <c r="F96" i="127"/>
  <c r="C96" i="127"/>
  <c r="F95" i="127"/>
  <c r="C95" i="127"/>
  <c r="F94" i="127"/>
  <c r="F93" i="127"/>
  <c r="F92" i="127"/>
  <c r="F91" i="127"/>
  <c r="C91" i="127"/>
  <c r="F90" i="127"/>
  <c r="C90" i="127"/>
  <c r="F80" i="127"/>
  <c r="F78" i="127"/>
  <c r="C78" i="127"/>
  <c r="B1357" i="48"/>
  <c r="B1356" i="48"/>
  <c r="B1355" i="48"/>
  <c r="C66" i="127"/>
  <c r="F36" i="127"/>
  <c r="B1360" i="48"/>
  <c r="C63" i="127" s="1"/>
  <c r="B1345" i="48"/>
  <c r="C62" i="127" s="1"/>
  <c r="B1344" i="48"/>
  <c r="C61" i="127" s="1"/>
  <c r="B1343" i="48"/>
  <c r="C60" i="127" s="1"/>
  <c r="B1342" i="48"/>
  <c r="C59" i="127" s="1"/>
  <c r="B1341" i="48"/>
  <c r="C58" i="127" s="1"/>
  <c r="B1340" i="48"/>
  <c r="C57" i="127" s="1"/>
  <c r="B1339" i="48"/>
  <c r="C56" i="127" s="1"/>
  <c r="C54" i="127"/>
  <c r="B1372" i="48"/>
  <c r="C53" i="127" s="1"/>
  <c r="B1338" i="48"/>
  <c r="C52" i="127" s="1"/>
  <c r="B1337" i="48"/>
  <c r="C51" i="127" s="1"/>
  <c r="B1336" i="48"/>
  <c r="C50" i="127" s="1"/>
  <c r="B1335" i="48"/>
  <c r="C49" i="127" s="1"/>
  <c r="B1334" i="48"/>
  <c r="C48" i="127" s="1"/>
  <c r="B1333" i="48"/>
  <c r="C47" i="127" s="1"/>
  <c r="B1332" i="48"/>
  <c r="C46" i="127" s="1"/>
  <c r="F37" i="127"/>
  <c r="F44" i="127"/>
  <c r="C44" i="127"/>
  <c r="F43" i="127"/>
  <c r="C43" i="127"/>
  <c r="B1371" i="48"/>
  <c r="C42" i="127" s="1"/>
  <c r="B1370" i="48"/>
  <c r="C41" i="127" s="1"/>
  <c r="B1330" i="48"/>
  <c r="C39" i="127" s="1"/>
  <c r="C64" i="127"/>
  <c r="F35" i="127"/>
  <c r="B1359" i="48"/>
  <c r="C34" i="127" s="1"/>
  <c r="B1358" i="48"/>
  <c r="C33" i="127" s="1"/>
  <c r="F28" i="127"/>
  <c r="F27" i="127"/>
  <c r="C26" i="127"/>
  <c r="F25" i="127"/>
  <c r="C25" i="127"/>
  <c r="F24" i="127"/>
  <c r="F23" i="127"/>
  <c r="C23" i="127"/>
  <c r="F22" i="127"/>
  <c r="C22" i="127"/>
  <c r="F21" i="127"/>
  <c r="F19" i="127"/>
  <c r="B1369" i="48"/>
  <c r="C18" i="127" s="1"/>
  <c r="B1368" i="48"/>
  <c r="C17" i="127" s="1"/>
  <c r="B1367" i="48"/>
  <c r="C16" i="127" s="1"/>
  <c r="B1366" i="48"/>
  <c r="C15" i="127" s="1"/>
  <c r="B1365" i="48"/>
  <c r="C14" i="127" s="1"/>
  <c r="B1364" i="48"/>
  <c r="C13" i="127" s="1"/>
  <c r="B1363" i="48"/>
  <c r="C12" i="127" s="1"/>
  <c r="B1362" i="48"/>
  <c r="C11" i="127" s="1"/>
  <c r="B1361" i="48"/>
  <c r="C10" i="127" s="1"/>
  <c r="B1326" i="48"/>
  <c r="B5" i="127" s="1"/>
  <c r="B1325" i="48"/>
  <c r="B4" i="127" s="1"/>
  <c r="B225" i="48"/>
  <c r="C10" i="119" s="1"/>
  <c r="B226" i="48"/>
  <c r="C11" i="119" s="1"/>
  <c r="B227" i="48"/>
  <c r="C12" i="119" s="1"/>
  <c r="B228" i="48"/>
  <c r="C13" i="119" s="1"/>
  <c r="B229" i="48"/>
  <c r="C14" i="119" s="1"/>
  <c r="B230" i="48"/>
  <c r="C15" i="119" s="1"/>
  <c r="B231" i="48"/>
  <c r="C16" i="119" s="1"/>
  <c r="B232" i="48"/>
  <c r="C17" i="119" s="1"/>
  <c r="B233" i="48"/>
  <c r="C18" i="119" s="1"/>
  <c r="F19" i="119"/>
  <c r="F20" i="119"/>
  <c r="F21" i="119"/>
  <c r="C22" i="119"/>
  <c r="F22" i="119"/>
  <c r="F23" i="119"/>
  <c r="F24" i="119"/>
  <c r="C25" i="119"/>
  <c r="F25" i="119"/>
  <c r="C26" i="119"/>
  <c r="F26" i="119"/>
  <c r="F27" i="119"/>
  <c r="F28" i="119"/>
  <c r="B222" i="48"/>
  <c r="C33" i="119" s="1"/>
  <c r="B223" i="48"/>
  <c r="C34" i="119" s="1"/>
  <c r="F35" i="119"/>
  <c r="C64" i="119"/>
  <c r="B194" i="48"/>
  <c r="C39" i="119" s="1"/>
  <c r="B234" i="48"/>
  <c r="C41" i="119" s="1"/>
  <c r="B235" i="48"/>
  <c r="C42" i="119" s="1"/>
  <c r="C43" i="119"/>
  <c r="F43" i="119"/>
  <c r="C44" i="119"/>
  <c r="F44" i="119"/>
  <c r="F37" i="119"/>
  <c r="B196" i="48"/>
  <c r="C46" i="119" s="1"/>
  <c r="B197" i="48"/>
  <c r="C47" i="119" s="1"/>
  <c r="B198" i="48"/>
  <c r="C48" i="119" s="1"/>
  <c r="B199" i="48"/>
  <c r="C49" i="119" s="1"/>
  <c r="B200" i="48"/>
  <c r="C50" i="119" s="1"/>
  <c r="B201" i="48"/>
  <c r="C51" i="119" s="1"/>
  <c r="B202" i="48"/>
  <c r="C52" i="119" s="1"/>
  <c r="B236" i="48"/>
  <c r="C53" i="119" s="1"/>
  <c r="C54" i="119"/>
  <c r="F54" i="119"/>
  <c r="B203" i="48"/>
  <c r="C56" i="119" s="1"/>
  <c r="B204" i="48"/>
  <c r="C57" i="119" s="1"/>
  <c r="B205" i="48"/>
  <c r="C58" i="119" s="1"/>
  <c r="B206" i="48"/>
  <c r="C59" i="119" s="1"/>
  <c r="B207" i="48"/>
  <c r="C60" i="119" s="1"/>
  <c r="B208" i="48"/>
  <c r="C61" i="119" s="1"/>
  <c r="B209" i="48"/>
  <c r="C62" i="119" s="1"/>
  <c r="B224" i="48"/>
  <c r="C63" i="119" s="1"/>
  <c r="F36" i="119"/>
  <c r="C66" i="119"/>
  <c r="B219" i="48"/>
  <c r="C78" i="119" s="1"/>
  <c r="B220" i="48"/>
  <c r="C79" i="119" s="1"/>
  <c r="B221" i="48"/>
  <c r="C80" i="119" s="1"/>
  <c r="C81" i="119"/>
  <c r="F81" i="119"/>
  <c r="F83" i="119"/>
  <c r="C29" i="119"/>
  <c r="F29" i="119"/>
  <c r="C84" i="119"/>
  <c r="F84" i="119"/>
  <c r="C85" i="119"/>
  <c r="F85" i="119"/>
  <c r="F86" i="119"/>
  <c r="C87" i="119"/>
  <c r="F87" i="119"/>
  <c r="F88" i="119"/>
  <c r="C89" i="119"/>
  <c r="F89" i="119"/>
  <c r="C90" i="119"/>
  <c r="F90" i="119"/>
  <c r="C91" i="119"/>
  <c r="F91" i="119"/>
  <c r="C95" i="119"/>
  <c r="C96" i="119"/>
  <c r="B336" i="48"/>
  <c r="B100" i="119" s="1"/>
  <c r="H100" i="119"/>
  <c r="B337" i="48"/>
  <c r="B101" i="119" s="1"/>
  <c r="H101" i="119"/>
  <c r="B338" i="48"/>
  <c r="B102" i="119" s="1"/>
  <c r="H102" i="119"/>
  <c r="B341" i="48"/>
  <c r="B103" i="119" s="1"/>
  <c r="H103" i="119"/>
  <c r="B339" i="48"/>
  <c r="B105" i="119" s="1"/>
  <c r="H105" i="119"/>
  <c r="H110" i="119"/>
  <c r="H108" i="126"/>
  <c r="H103" i="126"/>
  <c r="B1313" i="48"/>
  <c r="B103" i="126" s="1"/>
  <c r="H102" i="126"/>
  <c r="B1314" i="48"/>
  <c r="B102" i="126" s="1"/>
  <c r="H101" i="126"/>
  <c r="B1312" i="48"/>
  <c r="B101" i="126" s="1"/>
  <c r="H100" i="126"/>
  <c r="B1311" i="48"/>
  <c r="B100" i="126" s="1"/>
  <c r="H99" i="126"/>
  <c r="B1310" i="48"/>
  <c r="B99" i="126" s="1"/>
  <c r="C95" i="126"/>
  <c r="C94" i="126"/>
  <c r="F90" i="126"/>
  <c r="F89" i="126"/>
  <c r="C89" i="126"/>
  <c r="F88" i="126"/>
  <c r="C88" i="126"/>
  <c r="F87" i="126"/>
  <c r="F86" i="126"/>
  <c r="F85" i="126"/>
  <c r="F84" i="126"/>
  <c r="C84" i="126"/>
  <c r="F83" i="126"/>
  <c r="C83" i="126"/>
  <c r="F28" i="126"/>
  <c r="C28" i="126"/>
  <c r="F82" i="126"/>
  <c r="F80" i="126"/>
  <c r="C80" i="126"/>
  <c r="B1195" i="48"/>
  <c r="C79" i="126" s="1"/>
  <c r="B1194" i="48"/>
  <c r="C78" i="126" s="1"/>
  <c r="B1193" i="48"/>
  <c r="C77" i="126" s="1"/>
  <c r="C65" i="126"/>
  <c r="F35" i="126"/>
  <c r="B1198" i="48"/>
  <c r="C62" i="126" s="1"/>
  <c r="B1183" i="48"/>
  <c r="C61" i="126" s="1"/>
  <c r="B1182" i="48"/>
  <c r="C60" i="126" s="1"/>
  <c r="B1181" i="48"/>
  <c r="C59" i="126" s="1"/>
  <c r="B1180" i="48"/>
  <c r="C58" i="126" s="1"/>
  <c r="B1179" i="48"/>
  <c r="C57" i="126" s="1"/>
  <c r="B1178" i="48"/>
  <c r="C56" i="126" s="1"/>
  <c r="B1177" i="48"/>
  <c r="C55" i="126" s="1"/>
  <c r="F53" i="126"/>
  <c r="C53" i="126"/>
  <c r="B1210" i="48"/>
  <c r="C52" i="126" s="1"/>
  <c r="B1176" i="48"/>
  <c r="C51" i="126" s="1"/>
  <c r="B1175" i="48"/>
  <c r="C50" i="126" s="1"/>
  <c r="B1174" i="48"/>
  <c r="C49" i="126" s="1"/>
  <c r="B1173" i="48"/>
  <c r="C48" i="126" s="1"/>
  <c r="B1172" i="48"/>
  <c r="C47" i="126" s="1"/>
  <c r="B1171" i="48"/>
  <c r="C46" i="126" s="1"/>
  <c r="B1170" i="48"/>
  <c r="C45" i="126" s="1"/>
  <c r="F36" i="126"/>
  <c r="C36" i="126"/>
  <c r="F43" i="126"/>
  <c r="C43" i="126"/>
  <c r="F42" i="126"/>
  <c r="C42" i="126"/>
  <c r="B1209" i="48"/>
  <c r="C41" i="126" s="1"/>
  <c r="B1208" i="48"/>
  <c r="C40" i="126" s="1"/>
  <c r="B1169" i="48"/>
  <c r="C39" i="126" s="1"/>
  <c r="B1168" i="48"/>
  <c r="C38" i="126" s="1"/>
  <c r="C63" i="126"/>
  <c r="F34" i="126"/>
  <c r="B1197" i="48"/>
  <c r="C33" i="126" s="1"/>
  <c r="B1196" i="48"/>
  <c r="C32" i="126" s="1"/>
  <c r="F27" i="126"/>
  <c r="F26" i="126"/>
  <c r="F25" i="126"/>
  <c r="C25" i="126"/>
  <c r="F24" i="126"/>
  <c r="C24" i="126"/>
  <c r="F23" i="126"/>
  <c r="F22" i="126"/>
  <c r="F21" i="126"/>
  <c r="C21" i="126"/>
  <c r="F20" i="126"/>
  <c r="F19" i="126"/>
  <c r="F18" i="126"/>
  <c r="C18" i="126"/>
  <c r="B1207" i="48"/>
  <c r="C17" i="126" s="1"/>
  <c r="B1206" i="48"/>
  <c r="C16" i="126" s="1"/>
  <c r="B1205" i="48"/>
  <c r="C15" i="126" s="1"/>
  <c r="B1204" i="48"/>
  <c r="C14" i="126" s="1"/>
  <c r="B1203" i="48"/>
  <c r="C13" i="126" s="1"/>
  <c r="B1202" i="48"/>
  <c r="C12" i="126" s="1"/>
  <c r="B1201" i="48"/>
  <c r="C11" i="126" s="1"/>
  <c r="B1200" i="48"/>
  <c r="C10" i="126" s="1"/>
  <c r="B1199" i="48"/>
  <c r="C9" i="126" s="1"/>
  <c r="B1164" i="48"/>
  <c r="B4" i="126" s="1"/>
  <c r="H109" i="125"/>
  <c r="H104" i="125"/>
  <c r="B1151" i="48"/>
  <c r="B104" i="125" s="1"/>
  <c r="H102" i="125"/>
  <c r="B1153" i="48"/>
  <c r="B102" i="125" s="1"/>
  <c r="H101" i="125"/>
  <c r="B1150" i="48"/>
  <c r="B101" i="125" s="1"/>
  <c r="H100" i="125"/>
  <c r="B1149" i="48"/>
  <c r="B100" i="125" s="1"/>
  <c r="H99" i="125"/>
  <c r="B1148" i="48"/>
  <c r="B99" i="125" s="1"/>
  <c r="C95" i="125"/>
  <c r="C94" i="125"/>
  <c r="F90" i="125"/>
  <c r="F89" i="125"/>
  <c r="C89" i="125"/>
  <c r="F88" i="125"/>
  <c r="C88" i="125"/>
  <c r="F87" i="125"/>
  <c r="F86" i="125"/>
  <c r="F85" i="125"/>
  <c r="F84" i="125"/>
  <c r="C84" i="125"/>
  <c r="F83" i="125"/>
  <c r="C83" i="125"/>
  <c r="F28" i="125"/>
  <c r="C28" i="125"/>
  <c r="F82" i="125"/>
  <c r="F80" i="125"/>
  <c r="C80" i="125"/>
  <c r="B1033" i="48"/>
  <c r="C79" i="125" s="1"/>
  <c r="B1032" i="48"/>
  <c r="C78" i="125" s="1"/>
  <c r="B1031" i="48"/>
  <c r="C77" i="125" s="1"/>
  <c r="C65" i="125"/>
  <c r="F35" i="125"/>
  <c r="B1036" i="48"/>
  <c r="C62" i="125" s="1"/>
  <c r="B1021" i="48"/>
  <c r="C61" i="125" s="1"/>
  <c r="B1020" i="48"/>
  <c r="C60" i="125" s="1"/>
  <c r="B1019" i="48"/>
  <c r="C59" i="125" s="1"/>
  <c r="B1018" i="48"/>
  <c r="C58" i="125" s="1"/>
  <c r="B1017" i="48"/>
  <c r="C57" i="125" s="1"/>
  <c r="B1016" i="48"/>
  <c r="C56" i="125" s="1"/>
  <c r="B1015" i="48"/>
  <c r="C55" i="125" s="1"/>
  <c r="F53" i="125"/>
  <c r="C53" i="125"/>
  <c r="B1048" i="48"/>
  <c r="C52" i="125" s="1"/>
  <c r="B1014" i="48"/>
  <c r="C51" i="125" s="1"/>
  <c r="B1013" i="48"/>
  <c r="C50" i="125" s="1"/>
  <c r="B1012" i="48"/>
  <c r="C49" i="125" s="1"/>
  <c r="B1011" i="48"/>
  <c r="C48" i="125" s="1"/>
  <c r="B1010" i="48"/>
  <c r="C47" i="125" s="1"/>
  <c r="B1009" i="48"/>
  <c r="C46" i="125" s="1"/>
  <c r="B1008" i="48"/>
  <c r="C45" i="125" s="1"/>
  <c r="F36" i="125"/>
  <c r="F43" i="125"/>
  <c r="C43" i="125"/>
  <c r="F42" i="125"/>
  <c r="C42" i="125"/>
  <c r="B1047" i="48"/>
  <c r="C41" i="125" s="1"/>
  <c r="B1046" i="48"/>
  <c r="C40" i="125" s="1"/>
  <c r="B1007" i="48"/>
  <c r="C39" i="125" s="1"/>
  <c r="B1006" i="48"/>
  <c r="C38" i="125" s="1"/>
  <c r="F34" i="125"/>
  <c r="B1035" i="48"/>
  <c r="C33" i="125" s="1"/>
  <c r="B1034" i="48"/>
  <c r="C32" i="125" s="1"/>
  <c r="F27" i="125"/>
  <c r="F26" i="125"/>
  <c r="F25" i="125"/>
  <c r="C25" i="125"/>
  <c r="F24" i="125"/>
  <c r="C24" i="125"/>
  <c r="F23" i="125"/>
  <c r="F22" i="125"/>
  <c r="F21" i="125"/>
  <c r="C21" i="125"/>
  <c r="F20" i="125"/>
  <c r="F19" i="125"/>
  <c r="F18" i="125"/>
  <c r="B1045" i="48"/>
  <c r="C17" i="125" s="1"/>
  <c r="B1044" i="48"/>
  <c r="C16" i="125" s="1"/>
  <c r="B1043" i="48"/>
  <c r="C15" i="125" s="1"/>
  <c r="B1042" i="48"/>
  <c r="C14" i="125" s="1"/>
  <c r="B1041" i="48"/>
  <c r="C13" i="125" s="1"/>
  <c r="B1040" i="48"/>
  <c r="C12" i="125" s="1"/>
  <c r="B1039" i="48"/>
  <c r="C11" i="125" s="1"/>
  <c r="B1038" i="48"/>
  <c r="C10" i="125" s="1"/>
  <c r="B1037" i="48"/>
  <c r="C9" i="125" s="1"/>
  <c r="H109" i="124"/>
  <c r="H104" i="124"/>
  <c r="B989" i="48"/>
  <c r="B104" i="124" s="1"/>
  <c r="H102" i="124"/>
  <c r="B991" i="48"/>
  <c r="B102" i="124" s="1"/>
  <c r="H101" i="124"/>
  <c r="B988" i="48"/>
  <c r="B101" i="124" s="1"/>
  <c r="H100" i="124"/>
  <c r="B987" i="48"/>
  <c r="B100" i="124" s="1"/>
  <c r="H99" i="124"/>
  <c r="B986" i="48"/>
  <c r="B99" i="124" s="1"/>
  <c r="C95" i="124"/>
  <c r="C94" i="124"/>
  <c r="F90" i="124"/>
  <c r="F89" i="124"/>
  <c r="C89" i="124"/>
  <c r="F88" i="124"/>
  <c r="C88" i="124"/>
  <c r="F87" i="124"/>
  <c r="C87" i="124"/>
  <c r="F86" i="124"/>
  <c r="F85" i="124"/>
  <c r="F84" i="124"/>
  <c r="C84" i="124"/>
  <c r="F83" i="124"/>
  <c r="C83" i="124"/>
  <c r="F28" i="124"/>
  <c r="C28" i="124"/>
  <c r="F82" i="124"/>
  <c r="F80" i="124"/>
  <c r="C80" i="124"/>
  <c r="B871" i="48"/>
  <c r="C79" i="124" s="1"/>
  <c r="B870" i="48"/>
  <c r="C78" i="124" s="1"/>
  <c r="B869" i="48"/>
  <c r="C77" i="124" s="1"/>
  <c r="C65" i="124"/>
  <c r="F35" i="124"/>
  <c r="B874" i="48"/>
  <c r="C62" i="124" s="1"/>
  <c r="B859" i="48"/>
  <c r="C61" i="124" s="1"/>
  <c r="B858" i="48"/>
  <c r="C60" i="124" s="1"/>
  <c r="B857" i="48"/>
  <c r="C59" i="124" s="1"/>
  <c r="B856" i="48"/>
  <c r="C58" i="124" s="1"/>
  <c r="B855" i="48"/>
  <c r="C57" i="124" s="1"/>
  <c r="B854" i="48"/>
  <c r="C56" i="124" s="1"/>
  <c r="B853" i="48"/>
  <c r="C55" i="124" s="1"/>
  <c r="F53" i="124"/>
  <c r="C53" i="124"/>
  <c r="B886" i="48"/>
  <c r="C52" i="124" s="1"/>
  <c r="B852" i="48"/>
  <c r="C51" i="124" s="1"/>
  <c r="B851" i="48"/>
  <c r="C50" i="124" s="1"/>
  <c r="B850" i="48"/>
  <c r="C49" i="124" s="1"/>
  <c r="B849" i="48"/>
  <c r="C48" i="124" s="1"/>
  <c r="B848" i="48"/>
  <c r="C47" i="124" s="1"/>
  <c r="B847" i="48"/>
  <c r="C46" i="124" s="1"/>
  <c r="B846" i="48"/>
  <c r="C45" i="124" s="1"/>
  <c r="F36" i="124"/>
  <c r="F43" i="124"/>
  <c r="C43" i="124"/>
  <c r="F42" i="124"/>
  <c r="C42" i="124"/>
  <c r="B885" i="48"/>
  <c r="C41" i="124" s="1"/>
  <c r="B884" i="48"/>
  <c r="C40" i="124" s="1"/>
  <c r="B845" i="48"/>
  <c r="C39" i="124" s="1"/>
  <c r="B844" i="48"/>
  <c r="C38" i="124" s="1"/>
  <c r="C63" i="124"/>
  <c r="F34" i="124"/>
  <c r="B873" i="48"/>
  <c r="C33" i="124" s="1"/>
  <c r="B872" i="48"/>
  <c r="C32" i="124" s="1"/>
  <c r="F27" i="124"/>
  <c r="F26" i="124"/>
  <c r="F25" i="124"/>
  <c r="C25" i="124"/>
  <c r="F24" i="124"/>
  <c r="C24" i="124"/>
  <c r="F23" i="124"/>
  <c r="F22" i="124"/>
  <c r="C22" i="124"/>
  <c r="F21" i="124"/>
  <c r="C21" i="124"/>
  <c r="F20" i="124"/>
  <c r="F19" i="124"/>
  <c r="F18" i="124"/>
  <c r="C18" i="124"/>
  <c r="B883" i="48"/>
  <c r="C17" i="124" s="1"/>
  <c r="B882" i="48"/>
  <c r="C16" i="124" s="1"/>
  <c r="B881" i="48"/>
  <c r="C15" i="124" s="1"/>
  <c r="B880" i="48"/>
  <c r="C14" i="124" s="1"/>
  <c r="B879" i="48"/>
  <c r="C13" i="124" s="1"/>
  <c r="B878" i="48"/>
  <c r="C12" i="124" s="1"/>
  <c r="B877" i="48"/>
  <c r="C11" i="124" s="1"/>
  <c r="B876" i="48"/>
  <c r="C10" i="124" s="1"/>
  <c r="B875" i="48"/>
  <c r="C9" i="124" s="1"/>
  <c r="B840" i="48"/>
  <c r="B4" i="124" s="1"/>
  <c r="H109" i="123"/>
  <c r="H104" i="123"/>
  <c r="B827" i="48"/>
  <c r="B104" i="123" s="1"/>
  <c r="H102" i="123"/>
  <c r="B829" i="48"/>
  <c r="B102" i="123" s="1"/>
  <c r="H101" i="123"/>
  <c r="B826" i="48"/>
  <c r="B101" i="123" s="1"/>
  <c r="H100" i="123"/>
  <c r="B825" i="48"/>
  <c r="B100" i="123" s="1"/>
  <c r="H99" i="123"/>
  <c r="B824" i="48"/>
  <c r="B99" i="123" s="1"/>
  <c r="C95" i="123"/>
  <c r="C94" i="123"/>
  <c r="F90" i="123"/>
  <c r="F89" i="123"/>
  <c r="C89" i="123"/>
  <c r="F88" i="123"/>
  <c r="C88" i="123"/>
  <c r="F87" i="123"/>
  <c r="F86" i="123"/>
  <c r="C86" i="123"/>
  <c r="F85" i="123"/>
  <c r="F84" i="123"/>
  <c r="C84" i="123"/>
  <c r="F83" i="123"/>
  <c r="C83" i="123"/>
  <c r="F82" i="123"/>
  <c r="C82" i="123"/>
  <c r="F81" i="123"/>
  <c r="F79" i="123"/>
  <c r="C79" i="123"/>
  <c r="B709" i="48"/>
  <c r="C78" i="123" s="1"/>
  <c r="B708" i="48"/>
  <c r="C77" i="123" s="1"/>
  <c r="B707" i="48"/>
  <c r="C76" i="123" s="1"/>
  <c r="C64" i="123"/>
  <c r="F34" i="123"/>
  <c r="B712" i="48"/>
  <c r="C61" i="123" s="1"/>
  <c r="B697" i="48"/>
  <c r="C60" i="123" s="1"/>
  <c r="B696" i="48"/>
  <c r="C59" i="123" s="1"/>
  <c r="B695" i="48"/>
  <c r="C58" i="123" s="1"/>
  <c r="B694" i="48"/>
  <c r="C57" i="123" s="1"/>
  <c r="B693" i="48"/>
  <c r="C56" i="123" s="1"/>
  <c r="B692" i="48"/>
  <c r="C55" i="123" s="1"/>
  <c r="B691" i="48"/>
  <c r="C54" i="123" s="1"/>
  <c r="F52" i="123"/>
  <c r="C52" i="123"/>
  <c r="B724" i="48"/>
  <c r="C51" i="123" s="1"/>
  <c r="B690" i="48"/>
  <c r="C50" i="123" s="1"/>
  <c r="B689" i="48"/>
  <c r="C49" i="123" s="1"/>
  <c r="B688" i="48"/>
  <c r="C48" i="123" s="1"/>
  <c r="B687" i="48"/>
  <c r="C47" i="123" s="1"/>
  <c r="B686" i="48"/>
  <c r="C46" i="123" s="1"/>
  <c r="B685" i="48"/>
  <c r="C45" i="123" s="1"/>
  <c r="B684" i="48"/>
  <c r="C44" i="123" s="1"/>
  <c r="F35" i="123"/>
  <c r="F42" i="123"/>
  <c r="C42" i="123"/>
  <c r="F41" i="123"/>
  <c r="C41" i="123"/>
  <c r="B723" i="48"/>
  <c r="C40" i="123" s="1"/>
  <c r="B722" i="48"/>
  <c r="C39" i="123" s="1"/>
  <c r="B683" i="48"/>
  <c r="C38" i="123" s="1"/>
  <c r="B682" i="48"/>
  <c r="C37" i="123" s="1"/>
  <c r="C62" i="123"/>
  <c r="F33" i="123"/>
  <c r="B711" i="48"/>
  <c r="C32" i="123" s="1"/>
  <c r="B710" i="48"/>
  <c r="C31" i="123" s="1"/>
  <c r="F27" i="123"/>
  <c r="F26" i="123"/>
  <c r="F25" i="123"/>
  <c r="C25" i="123"/>
  <c r="F24" i="123"/>
  <c r="C24" i="123"/>
  <c r="F23" i="123"/>
  <c r="F22" i="123"/>
  <c r="F21" i="123"/>
  <c r="C21" i="123"/>
  <c r="F20" i="123"/>
  <c r="F19" i="123"/>
  <c r="F18" i="123"/>
  <c r="B721" i="48"/>
  <c r="C17" i="123" s="1"/>
  <c r="B720" i="48"/>
  <c r="C16" i="123" s="1"/>
  <c r="B719" i="48"/>
  <c r="C15" i="123" s="1"/>
  <c r="B718" i="48"/>
  <c r="C14" i="123" s="1"/>
  <c r="B717" i="48"/>
  <c r="C13" i="123" s="1"/>
  <c r="B716" i="48"/>
  <c r="C12" i="123" s="1"/>
  <c r="B715" i="48"/>
  <c r="C11" i="123" s="1"/>
  <c r="B714" i="48"/>
  <c r="C10" i="123" s="1"/>
  <c r="B713" i="48"/>
  <c r="C9" i="123" s="1"/>
  <c r="B678" i="48"/>
  <c r="B4" i="123" s="1"/>
  <c r="B61" i="110"/>
  <c r="C61" i="110"/>
  <c r="B62" i="110"/>
  <c r="C62" i="110"/>
  <c r="B71" i="110"/>
  <c r="D73" i="110"/>
  <c r="B72" i="110"/>
  <c r="C73" i="110"/>
  <c r="H111" i="122"/>
  <c r="H109" i="122" s="1"/>
  <c r="H105" i="122"/>
  <c r="B665" i="48"/>
  <c r="B105" i="122" s="1"/>
  <c r="H103" i="122"/>
  <c r="B667" i="48"/>
  <c r="B103" i="122" s="1"/>
  <c r="H102" i="122"/>
  <c r="B664" i="48"/>
  <c r="B102" i="122" s="1"/>
  <c r="H101" i="122"/>
  <c r="B663" i="48"/>
  <c r="B101" i="122" s="1"/>
  <c r="H100" i="122"/>
  <c r="B662" i="48"/>
  <c r="B100" i="122" s="1"/>
  <c r="C96" i="122"/>
  <c r="C95" i="122"/>
  <c r="F91" i="122"/>
  <c r="F90" i="122"/>
  <c r="C90" i="122"/>
  <c r="F89" i="122"/>
  <c r="C89" i="122"/>
  <c r="F88" i="122"/>
  <c r="F87" i="122"/>
  <c r="F86" i="122"/>
  <c r="F85" i="122"/>
  <c r="C85" i="122"/>
  <c r="F84" i="122"/>
  <c r="C84" i="122"/>
  <c r="F29" i="122"/>
  <c r="C29" i="122"/>
  <c r="F83" i="122"/>
  <c r="F81" i="122"/>
  <c r="C81" i="122"/>
  <c r="B547" i="48"/>
  <c r="C80" i="122" s="1"/>
  <c r="B546" i="48"/>
  <c r="C79" i="122" s="1"/>
  <c r="B545" i="48"/>
  <c r="C78" i="122" s="1"/>
  <c r="C66" i="122"/>
  <c r="F64" i="122"/>
  <c r="B550" i="48"/>
  <c r="C63" i="122" s="1"/>
  <c r="B535" i="48"/>
  <c r="C62" i="122" s="1"/>
  <c r="B534" i="48"/>
  <c r="C61" i="122" s="1"/>
  <c r="B533" i="48"/>
  <c r="C60" i="122" s="1"/>
  <c r="B532" i="48"/>
  <c r="C59" i="122" s="1"/>
  <c r="B531" i="48"/>
  <c r="C58" i="122" s="1"/>
  <c r="B530" i="48"/>
  <c r="C57" i="122" s="1"/>
  <c r="B529" i="48"/>
  <c r="C56" i="122" s="1"/>
  <c r="C54" i="122"/>
  <c r="B562" i="48"/>
  <c r="C53" i="122" s="1"/>
  <c r="B528" i="48"/>
  <c r="C52" i="122" s="1"/>
  <c r="B527" i="48"/>
  <c r="C51" i="122" s="1"/>
  <c r="B526" i="48"/>
  <c r="C50" i="122" s="1"/>
  <c r="B525" i="48"/>
  <c r="C49" i="122" s="1"/>
  <c r="B524" i="48"/>
  <c r="C48" i="122" s="1"/>
  <c r="B523" i="48"/>
  <c r="C47" i="122" s="1"/>
  <c r="B522" i="48"/>
  <c r="C46" i="122" s="1"/>
  <c r="F37" i="122"/>
  <c r="F44" i="122"/>
  <c r="C44" i="122"/>
  <c r="F43" i="122"/>
  <c r="C43" i="122"/>
  <c r="B561" i="48"/>
  <c r="C42" i="122" s="1"/>
  <c r="B560" i="48"/>
  <c r="C41" i="122" s="1"/>
  <c r="B549" i="48"/>
  <c r="C34" i="122" s="1"/>
  <c r="B548" i="48"/>
  <c r="C33" i="122" s="1"/>
  <c r="F28" i="122"/>
  <c r="F27" i="122"/>
  <c r="C27" i="122"/>
  <c r="F26" i="122"/>
  <c r="C26" i="122"/>
  <c r="F25" i="122"/>
  <c r="C25" i="122"/>
  <c r="F24" i="122"/>
  <c r="F23" i="122"/>
  <c r="F22" i="122"/>
  <c r="C22" i="122"/>
  <c r="F21" i="122"/>
  <c r="F20" i="122"/>
  <c r="F19" i="122"/>
  <c r="B559" i="48"/>
  <c r="C18" i="122" s="1"/>
  <c r="B558" i="48"/>
  <c r="C17" i="122" s="1"/>
  <c r="B557" i="48"/>
  <c r="C16" i="122" s="1"/>
  <c r="B556" i="48"/>
  <c r="C15" i="122" s="1"/>
  <c r="B555" i="48"/>
  <c r="C14" i="122" s="1"/>
  <c r="B554" i="48"/>
  <c r="C13" i="122" s="1"/>
  <c r="B553" i="48"/>
  <c r="C12" i="122" s="1"/>
  <c r="B552" i="48"/>
  <c r="C11" i="122" s="1"/>
  <c r="B551" i="48"/>
  <c r="C10" i="122" s="1"/>
  <c r="H112" i="121"/>
  <c r="H107" i="121"/>
  <c r="B502" i="48"/>
  <c r="B107" i="121" s="1"/>
  <c r="H105" i="121"/>
  <c r="B504" i="48"/>
  <c r="B105" i="121" s="1"/>
  <c r="H104" i="121"/>
  <c r="B501" i="48"/>
  <c r="B104" i="121" s="1"/>
  <c r="H103" i="121"/>
  <c r="B500" i="48"/>
  <c r="B103" i="121" s="1"/>
  <c r="H102" i="121"/>
  <c r="B499" i="48"/>
  <c r="B102" i="121" s="1"/>
  <c r="C96" i="121"/>
  <c r="C95" i="121"/>
  <c r="F91" i="121"/>
  <c r="F90" i="121"/>
  <c r="C90" i="121"/>
  <c r="F89" i="121"/>
  <c r="C89" i="121"/>
  <c r="F88" i="121"/>
  <c r="F87" i="121"/>
  <c r="F86" i="121"/>
  <c r="F85" i="121"/>
  <c r="C85" i="121"/>
  <c r="F84" i="121"/>
  <c r="C84" i="121"/>
  <c r="F29" i="121"/>
  <c r="C29" i="121"/>
  <c r="F83" i="121"/>
  <c r="F81" i="121"/>
  <c r="C81" i="121"/>
  <c r="B384" i="48"/>
  <c r="C80" i="121" s="1"/>
  <c r="B383" i="48"/>
  <c r="C79" i="121" s="1"/>
  <c r="B382" i="48"/>
  <c r="C78" i="121" s="1"/>
  <c r="C66" i="121"/>
  <c r="F64" i="121"/>
  <c r="B387" i="48"/>
  <c r="C63" i="121" s="1"/>
  <c r="B372" i="48"/>
  <c r="C62" i="121" s="1"/>
  <c r="B371" i="48"/>
  <c r="C61" i="121" s="1"/>
  <c r="B370" i="48"/>
  <c r="C60" i="121" s="1"/>
  <c r="B369" i="48"/>
  <c r="C59" i="121" s="1"/>
  <c r="B368" i="48"/>
  <c r="C58" i="121" s="1"/>
  <c r="B367" i="48"/>
  <c r="C57" i="121" s="1"/>
  <c r="B366" i="48"/>
  <c r="C56" i="121" s="1"/>
  <c r="F54" i="121"/>
  <c r="C54" i="121"/>
  <c r="B399" i="48"/>
  <c r="C53" i="121" s="1"/>
  <c r="B365" i="48"/>
  <c r="C52" i="121" s="1"/>
  <c r="B364" i="48"/>
  <c r="C51" i="121" s="1"/>
  <c r="B363" i="48"/>
  <c r="C50" i="121" s="1"/>
  <c r="B362" i="48"/>
  <c r="C49" i="121" s="1"/>
  <c r="B361" i="48"/>
  <c r="C48" i="121" s="1"/>
  <c r="B360" i="48"/>
  <c r="C47" i="121" s="1"/>
  <c r="B359" i="48"/>
  <c r="C46" i="121" s="1"/>
  <c r="F44" i="121"/>
  <c r="C44" i="121"/>
  <c r="F43" i="121"/>
  <c r="C43" i="121"/>
  <c r="B398" i="48"/>
  <c r="C42" i="121" s="1"/>
  <c r="B397" i="48"/>
  <c r="C41" i="121" s="1"/>
  <c r="C39" i="121"/>
  <c r="F35" i="121"/>
  <c r="B386" i="48"/>
  <c r="C34" i="121" s="1"/>
  <c r="B385" i="48"/>
  <c r="C33" i="121" s="1"/>
  <c r="F28" i="121"/>
  <c r="C28" i="121"/>
  <c r="F27" i="121"/>
  <c r="F26" i="121"/>
  <c r="C26" i="121"/>
  <c r="F25" i="121"/>
  <c r="C25" i="121"/>
  <c r="F24" i="121"/>
  <c r="F23" i="121"/>
  <c r="F22" i="121"/>
  <c r="C22" i="121"/>
  <c r="F21" i="121"/>
  <c r="F20" i="121"/>
  <c r="F19" i="121"/>
  <c r="B396" i="48"/>
  <c r="C18" i="121" s="1"/>
  <c r="B395" i="48"/>
  <c r="C17" i="121" s="1"/>
  <c r="B394" i="48"/>
  <c r="C16" i="121" s="1"/>
  <c r="B393" i="48"/>
  <c r="C15" i="121" s="1"/>
  <c r="B392" i="48"/>
  <c r="C14" i="121" s="1"/>
  <c r="B391" i="48"/>
  <c r="C13" i="121" s="1"/>
  <c r="B390" i="48"/>
  <c r="C12" i="121" s="1"/>
  <c r="B389" i="48"/>
  <c r="C11" i="121" s="1"/>
  <c r="B388" i="48"/>
  <c r="C10" i="121" s="1"/>
  <c r="F89" i="111"/>
  <c r="C89" i="111"/>
  <c r="C3040" i="48"/>
  <c r="B3040" i="48"/>
  <c r="B2878" i="48"/>
  <c r="B2068" i="48"/>
  <c r="B1906" i="48"/>
  <c r="B1744" i="48"/>
  <c r="B1582" i="48"/>
  <c r="B1419" i="48"/>
  <c r="B1257" i="48"/>
  <c r="B1095" i="48"/>
  <c r="B933" i="48"/>
  <c r="B771" i="48"/>
  <c r="B609" i="48"/>
  <c r="B446" i="48"/>
  <c r="B283" i="48"/>
  <c r="B120" i="48"/>
  <c r="B69" i="48"/>
  <c r="C16" i="111" s="1"/>
  <c r="B195" i="48"/>
  <c r="H109" i="111"/>
  <c r="H102" i="111"/>
  <c r="H104" i="111"/>
  <c r="H100" i="111"/>
  <c r="H101" i="111"/>
  <c r="H99" i="111"/>
  <c r="B178" i="48"/>
  <c r="B102" i="111" s="1"/>
  <c r="B176" i="48"/>
  <c r="B104" i="111" s="1"/>
  <c r="B175" i="48"/>
  <c r="B101" i="111" s="1"/>
  <c r="B174" i="48"/>
  <c r="B100" i="111" s="1"/>
  <c r="B173" i="48"/>
  <c r="B99" i="111" s="1"/>
  <c r="F90" i="111"/>
  <c r="F88" i="111"/>
  <c r="F87" i="111"/>
  <c r="F86" i="111"/>
  <c r="F85" i="111"/>
  <c r="F84" i="111"/>
  <c r="F83" i="111"/>
  <c r="F28" i="111"/>
  <c r="F82" i="111"/>
  <c r="F80" i="111"/>
  <c r="C65" i="111"/>
  <c r="B46" i="48"/>
  <c r="C61" i="111" s="1"/>
  <c r="B45" i="48"/>
  <c r="C60" i="111" s="1"/>
  <c r="B43" i="48"/>
  <c r="C58" i="111" s="1"/>
  <c r="B44" i="48"/>
  <c r="C59" i="111" s="1"/>
  <c r="B41" i="48"/>
  <c r="C56" i="111" s="1"/>
  <c r="B42" i="48"/>
  <c r="C57" i="111" s="1"/>
  <c r="B39" i="48"/>
  <c r="C51" i="111" s="1"/>
  <c r="B40" i="48"/>
  <c r="C55" i="111" s="1"/>
  <c r="B37" i="48"/>
  <c r="C49" i="111" s="1"/>
  <c r="B38" i="48"/>
  <c r="C50" i="111" s="1"/>
  <c r="B33" i="48"/>
  <c r="C45" i="111" s="1"/>
  <c r="B34" i="48"/>
  <c r="C46" i="111" s="1"/>
  <c r="B35" i="48"/>
  <c r="C47" i="111" s="1"/>
  <c r="B36" i="48"/>
  <c r="C48" i="111" s="1"/>
  <c r="B32" i="48"/>
  <c r="C39" i="111" s="1"/>
  <c r="B31" i="48"/>
  <c r="C38" i="111" s="1"/>
  <c r="F34" i="111"/>
  <c r="F36" i="111"/>
  <c r="F53" i="111"/>
  <c r="F43" i="111"/>
  <c r="F42" i="111"/>
  <c r="F35" i="111"/>
  <c r="F27" i="111"/>
  <c r="F26" i="111"/>
  <c r="F25" i="111"/>
  <c r="F24" i="111"/>
  <c r="F23" i="111"/>
  <c r="F22" i="111"/>
  <c r="F21" i="111"/>
  <c r="F20" i="111"/>
  <c r="F19" i="111"/>
  <c r="F18" i="111"/>
  <c r="C88" i="111"/>
  <c r="C84" i="111"/>
  <c r="C83" i="111"/>
  <c r="C28" i="111"/>
  <c r="C80" i="111"/>
  <c r="C53" i="111"/>
  <c r="C43" i="111"/>
  <c r="C42" i="111"/>
  <c r="C25" i="111"/>
  <c r="C24" i="111"/>
  <c r="C22" i="111"/>
  <c r="C21" i="111"/>
  <c r="C18" i="111"/>
  <c r="B61" i="48"/>
  <c r="C62" i="111" s="1"/>
  <c r="B123" i="48"/>
  <c r="B124" i="48"/>
  <c r="B125" i="48"/>
  <c r="B126" i="48"/>
  <c r="B127" i="48"/>
  <c r="B128" i="48"/>
  <c r="B110" i="48"/>
  <c r="B111" i="48"/>
  <c r="B118" i="48"/>
  <c r="B119" i="48"/>
  <c r="B97" i="48"/>
  <c r="B100" i="48"/>
  <c r="B101" i="48"/>
  <c r="B106" i="48"/>
  <c r="B107" i="48"/>
  <c r="B108" i="48"/>
  <c r="B109" i="48"/>
  <c r="B96" i="48"/>
  <c r="B86" i="48"/>
  <c r="B88" i="48"/>
  <c r="B80" i="48"/>
  <c r="B81" i="48"/>
  <c r="B73" i="48"/>
  <c r="C52" i="111" s="1"/>
  <c r="B66" i="48"/>
  <c r="C13" i="111" s="1"/>
  <c r="B67" i="48"/>
  <c r="C14" i="111" s="1"/>
  <c r="B68" i="48"/>
  <c r="C15" i="111" s="1"/>
  <c r="B70" i="48"/>
  <c r="C17" i="111" s="1"/>
  <c r="B71" i="48"/>
  <c r="C40" i="111" s="1"/>
  <c r="B72" i="48"/>
  <c r="C41" i="111" s="1"/>
  <c r="B57" i="48"/>
  <c r="C78" i="111" s="1"/>
  <c r="B58" i="48"/>
  <c r="C79" i="111" s="1"/>
  <c r="B59" i="48"/>
  <c r="C32" i="111" s="1"/>
  <c r="B60" i="48"/>
  <c r="C33" i="111" s="1"/>
  <c r="B62" i="48"/>
  <c r="C9" i="111" s="1"/>
  <c r="B63" i="48"/>
  <c r="C10" i="111" s="1"/>
  <c r="B64" i="48"/>
  <c r="C11" i="111" s="1"/>
  <c r="B65" i="48"/>
  <c r="C12" i="111" s="1"/>
  <c r="B56" i="48"/>
  <c r="C77" i="111" s="1"/>
  <c r="B2936" i="48"/>
  <c r="B102" i="140" s="1"/>
  <c r="B2934" i="48"/>
  <c r="B104" i="140" s="1"/>
  <c r="B2933" i="48"/>
  <c r="B101" i="140" s="1"/>
  <c r="B2932" i="48"/>
  <c r="B100" i="140" s="1"/>
  <c r="B2931" i="48"/>
  <c r="B99" i="140" s="1"/>
  <c r="B2929" i="48"/>
  <c r="B2928" i="48"/>
  <c r="B2927" i="48"/>
  <c r="B2926" i="48"/>
  <c r="B2925" i="48"/>
  <c r="B2922" i="48"/>
  <c r="B2921" i="48"/>
  <c r="B2920" i="48"/>
  <c r="B2919" i="48"/>
  <c r="B2916" i="48"/>
  <c r="B2914" i="48"/>
  <c r="B2913" i="48"/>
  <c r="B2911" i="48"/>
  <c r="B2910" i="48"/>
  <c r="B2909" i="48"/>
  <c r="B2906" i="48"/>
  <c r="H111" i="140"/>
  <c r="B2888" i="48"/>
  <c r="B2886" i="48"/>
  <c r="B2885" i="48"/>
  <c r="B2884" i="48"/>
  <c r="B2883" i="48"/>
  <c r="B2882" i="48"/>
  <c r="B2881" i="48"/>
  <c r="B2879" i="48"/>
  <c r="B2877" i="48"/>
  <c r="B2876" i="48"/>
  <c r="B2869" i="48"/>
  <c r="B2868" i="48"/>
  <c r="B2867" i="48"/>
  <c r="B2866" i="48"/>
  <c r="B2865" i="48"/>
  <c r="B2864" i="48"/>
  <c r="B2859" i="48"/>
  <c r="B2858" i="48"/>
  <c r="B2855" i="48"/>
  <c r="B2854" i="48"/>
  <c r="B2847" i="48"/>
  <c r="B2846" i="48"/>
  <c r="B2845" i="48"/>
  <c r="B2844" i="48"/>
  <c r="B2839" i="48"/>
  <c r="B2838" i="48"/>
  <c r="B2831" i="48"/>
  <c r="C52" i="140" s="1"/>
  <c r="B2830" i="48"/>
  <c r="B2829" i="48"/>
  <c r="B2828" i="48"/>
  <c r="C17" i="140" s="1"/>
  <c r="B2827" i="48"/>
  <c r="C16" i="140" s="1"/>
  <c r="B2826" i="48"/>
  <c r="C15" i="140" s="1"/>
  <c r="B2825" i="48"/>
  <c r="C14" i="140" s="1"/>
  <c r="B2824" i="48"/>
  <c r="C13" i="140" s="1"/>
  <c r="B2823" i="48"/>
  <c r="C12" i="140" s="1"/>
  <c r="B2822" i="48"/>
  <c r="C11" i="140" s="1"/>
  <c r="B2821" i="48"/>
  <c r="C10" i="140" s="1"/>
  <c r="B2820" i="48"/>
  <c r="C9" i="140" s="1"/>
  <c r="B2819" i="48"/>
  <c r="B2818" i="48"/>
  <c r="B2817" i="48"/>
  <c r="B2816" i="48"/>
  <c r="C79" i="140" s="1"/>
  <c r="B2815" i="48"/>
  <c r="C78" i="140" s="1"/>
  <c r="B2814" i="48"/>
  <c r="C77" i="140" s="1"/>
  <c r="B2804" i="48"/>
  <c r="B2803" i="48"/>
  <c r="B2802" i="48"/>
  <c r="B2801" i="48"/>
  <c r="B2800" i="48"/>
  <c r="B2799" i="48"/>
  <c r="B2798" i="48"/>
  <c r="B2797" i="48"/>
  <c r="B2796" i="48"/>
  <c r="B2795" i="48"/>
  <c r="B2794" i="48"/>
  <c r="B2793" i="48"/>
  <c r="B2792" i="48"/>
  <c r="B2791" i="48"/>
  <c r="B2790" i="48"/>
  <c r="B2120" i="48"/>
  <c r="B2119" i="48"/>
  <c r="B2118" i="48"/>
  <c r="B2117" i="48"/>
  <c r="B2115" i="48"/>
  <c r="B2111" i="48"/>
  <c r="B2110" i="48"/>
  <c r="B2109" i="48"/>
  <c r="B2108" i="48"/>
  <c r="B2106" i="48"/>
  <c r="B2104" i="48"/>
  <c r="B2100" i="48"/>
  <c r="B2099" i="48"/>
  <c r="B2096" i="48"/>
  <c r="B2093" i="48"/>
  <c r="B2076" i="48"/>
  <c r="B2075" i="48"/>
  <c r="B2074" i="48"/>
  <c r="B2073" i="48"/>
  <c r="B2072" i="48"/>
  <c r="B2071" i="48"/>
  <c r="B2067" i="48"/>
  <c r="B2066" i="48"/>
  <c r="B2061" i="48"/>
  <c r="B2059" i="48"/>
  <c r="B2058" i="48"/>
  <c r="B2057" i="48"/>
  <c r="B2056" i="48"/>
  <c r="B2055" i="48"/>
  <c r="B2054" i="48"/>
  <c r="B2049" i="48"/>
  <c r="B2048" i="48"/>
  <c r="B2045" i="48"/>
  <c r="B2044" i="48"/>
  <c r="B2037" i="48"/>
  <c r="B2036" i="48"/>
  <c r="B2035" i="48"/>
  <c r="B2034" i="48"/>
  <c r="B2031" i="48"/>
  <c r="B2029" i="48"/>
  <c r="B2028" i="48"/>
  <c r="B1957" i="48"/>
  <c r="B1956" i="48"/>
  <c r="B1955" i="48"/>
  <c r="B1953" i="48"/>
  <c r="B1949" i="48"/>
  <c r="B1948" i="48"/>
  <c r="B1947" i="48"/>
  <c r="B1944" i="48"/>
  <c r="B1942" i="48"/>
  <c r="B1938" i="48"/>
  <c r="B1937" i="48"/>
  <c r="B1934" i="48"/>
  <c r="B1914" i="48"/>
  <c r="B1913" i="48"/>
  <c r="B1912" i="48"/>
  <c r="B1911" i="48"/>
  <c r="B1910" i="48"/>
  <c r="B1909" i="48"/>
  <c r="B1905" i="48"/>
  <c r="B1904" i="48"/>
  <c r="B1899" i="48"/>
  <c r="B1897" i="48"/>
  <c r="B1896" i="48"/>
  <c r="B1895" i="48"/>
  <c r="B1894" i="48"/>
  <c r="B1893" i="48"/>
  <c r="B1892" i="48"/>
  <c r="B1891" i="48"/>
  <c r="B1887" i="48"/>
  <c r="B1886" i="48"/>
  <c r="B1883" i="48"/>
  <c r="B1882" i="48"/>
  <c r="B1879" i="48"/>
  <c r="B1875" i="48"/>
  <c r="B1874" i="48"/>
  <c r="B1873" i="48"/>
  <c r="B1872" i="48"/>
  <c r="B1867" i="48"/>
  <c r="B1866" i="48"/>
  <c r="B1863" i="48"/>
  <c r="B1861" i="48"/>
  <c r="B1320" i="48"/>
  <c r="B1795" i="48"/>
  <c r="B1794" i="48"/>
  <c r="B1793" i="48"/>
  <c r="B1792" i="48"/>
  <c r="B1791" i="48"/>
  <c r="B1787" i="48"/>
  <c r="B1786" i="48"/>
  <c r="B1785" i="48"/>
  <c r="B1782" i="48"/>
  <c r="B1780" i="48"/>
  <c r="B1776" i="48"/>
  <c r="B1775" i="48"/>
  <c r="B1774" i="48"/>
  <c r="B1772" i="48"/>
  <c r="B1752" i="48"/>
  <c r="B1751" i="48"/>
  <c r="B1750" i="48"/>
  <c r="B1749" i="48"/>
  <c r="B1748" i="48"/>
  <c r="B1747" i="48"/>
  <c r="B1743" i="48"/>
  <c r="B1742" i="48"/>
  <c r="B1735" i="48"/>
  <c r="B1734" i="48"/>
  <c r="B1733" i="48"/>
  <c r="B1732" i="48"/>
  <c r="B1731" i="48"/>
  <c r="B1730" i="48"/>
  <c r="B1725" i="48"/>
  <c r="B1724" i="48"/>
  <c r="B1721" i="48"/>
  <c r="B1720" i="48"/>
  <c r="B1713" i="48"/>
  <c r="B1712" i="48"/>
  <c r="B1711" i="48"/>
  <c r="B1710" i="48"/>
  <c r="B1709" i="48"/>
  <c r="B1706" i="48"/>
  <c r="B1705" i="48"/>
  <c r="B1704" i="48"/>
  <c r="B1633" i="48"/>
  <c r="B1632" i="48"/>
  <c r="B1631" i="48"/>
  <c r="B1629" i="48"/>
  <c r="B1625" i="48"/>
  <c r="B1624" i="48"/>
  <c r="B1623" i="48"/>
  <c r="B1620" i="48"/>
  <c r="B1618" i="48"/>
  <c r="B1614" i="48"/>
  <c r="B1613" i="48"/>
  <c r="B1610" i="48"/>
  <c r="B1592" i="48"/>
  <c r="B1590" i="48"/>
  <c r="B1589" i="48"/>
  <c r="B1588" i="48"/>
  <c r="B1587" i="48"/>
  <c r="B1586" i="48"/>
  <c r="B1585" i="48"/>
  <c r="B1581" i="48"/>
  <c r="B1580" i="48"/>
  <c r="B1573" i="48"/>
  <c r="B1572" i="48"/>
  <c r="B1571" i="48"/>
  <c r="B1570" i="48"/>
  <c r="B1569" i="48"/>
  <c r="B1568" i="48"/>
  <c r="B1563" i="48"/>
  <c r="B1562" i="48"/>
  <c r="B1560" i="48"/>
  <c r="B1559" i="48"/>
  <c r="B1558" i="48"/>
  <c r="B1551" i="48"/>
  <c r="B1550" i="48"/>
  <c r="B1549" i="48"/>
  <c r="B1548" i="48"/>
  <c r="B1544" i="48"/>
  <c r="B1543" i="48"/>
  <c r="B1542" i="48"/>
  <c r="B1308" i="48"/>
  <c r="B1307" i="48"/>
  <c r="B1306" i="48"/>
  <c r="B1304" i="48"/>
  <c r="B1300" i="48"/>
  <c r="B1299" i="48"/>
  <c r="B1298" i="48"/>
  <c r="B1295" i="48"/>
  <c r="B1293" i="48"/>
  <c r="B1289" i="48"/>
  <c r="B1288" i="48"/>
  <c r="B1285" i="48"/>
  <c r="B1265" i="48"/>
  <c r="B1264" i="48"/>
  <c r="B1263" i="48"/>
  <c r="B1262" i="48"/>
  <c r="B1261" i="48"/>
  <c r="B1260" i="48"/>
  <c r="B1256" i="48"/>
  <c r="B1255" i="48"/>
  <c r="B1248" i="48"/>
  <c r="B1247" i="48"/>
  <c r="B1246" i="48"/>
  <c r="B1245" i="48"/>
  <c r="B1244" i="48"/>
  <c r="B1243" i="48"/>
  <c r="B1238" i="48"/>
  <c r="B1237" i="48"/>
  <c r="B1235" i="48"/>
  <c r="B1234" i="48"/>
  <c r="B1233" i="48"/>
  <c r="B1226" i="48"/>
  <c r="B1225" i="48"/>
  <c r="B1224" i="48"/>
  <c r="B1223" i="48"/>
  <c r="B1219" i="48"/>
  <c r="B1218" i="48"/>
  <c r="B1217" i="48"/>
  <c r="B1146" i="48"/>
  <c r="B1145" i="48"/>
  <c r="B1144" i="48"/>
  <c r="B1142" i="48"/>
  <c r="B1138" i="48"/>
  <c r="B1137" i="48"/>
  <c r="B1136" i="48"/>
  <c r="B1133" i="48"/>
  <c r="B1131" i="48"/>
  <c r="B1127" i="48"/>
  <c r="B1126" i="48"/>
  <c r="B1123" i="48"/>
  <c r="B1121" i="48"/>
  <c r="B1103" i="48"/>
  <c r="B1102" i="48"/>
  <c r="B1101" i="48"/>
  <c r="B1100" i="48"/>
  <c r="B1099" i="48"/>
  <c r="B1098" i="48"/>
  <c r="B1094" i="48"/>
  <c r="B1093" i="48"/>
  <c r="B1087" i="48"/>
  <c r="B1086" i="48"/>
  <c r="B1085" i="48"/>
  <c r="B1084" i="48"/>
  <c r="B1083" i="48"/>
  <c r="B1082" i="48"/>
  <c r="B1081" i="48"/>
  <c r="B1076" i="48"/>
  <c r="B1075" i="48"/>
  <c r="B1072" i="48"/>
  <c r="B1071" i="48"/>
  <c r="B1064" i="48"/>
  <c r="B1063" i="48"/>
  <c r="B1062" i="48"/>
  <c r="B1061" i="48"/>
  <c r="B1056" i="48"/>
  <c r="B1055" i="48"/>
  <c r="B1051" i="48"/>
  <c r="B984" i="48"/>
  <c r="B983" i="48"/>
  <c r="B982" i="48"/>
  <c r="B980" i="48"/>
  <c r="B976" i="48"/>
  <c r="B975" i="48"/>
  <c r="B974" i="48"/>
  <c r="B971" i="48"/>
  <c r="B969" i="48"/>
  <c r="B965" i="48"/>
  <c r="B964" i="48"/>
  <c r="B961" i="48"/>
  <c r="B942" i="48"/>
  <c r="B941" i="48"/>
  <c r="B940" i="48"/>
  <c r="B939" i="48"/>
  <c r="B938" i="48"/>
  <c r="B937" i="48"/>
  <c r="B936" i="48"/>
  <c r="B935" i="48"/>
  <c r="B932" i="48"/>
  <c r="B931" i="48"/>
  <c r="B924" i="48"/>
  <c r="B923" i="48"/>
  <c r="B922" i="48"/>
  <c r="B921" i="48"/>
  <c r="B920" i="48"/>
  <c r="B919" i="48"/>
  <c r="B914" i="48"/>
  <c r="B913" i="48"/>
  <c r="B910" i="48"/>
  <c r="B909" i="48"/>
  <c r="B908" i="48"/>
  <c r="B902" i="48"/>
  <c r="B901" i="48"/>
  <c r="B900" i="48"/>
  <c r="B899" i="48"/>
  <c r="B894" i="48"/>
  <c r="B893" i="48"/>
  <c r="B889" i="48"/>
  <c r="B822" i="48"/>
  <c r="B821" i="48"/>
  <c r="B820" i="48"/>
  <c r="B818" i="48"/>
  <c r="B814" i="48"/>
  <c r="B813" i="48"/>
  <c r="B812" i="48"/>
  <c r="B809" i="48"/>
  <c r="B807" i="48"/>
  <c r="B803" i="48"/>
  <c r="B802" i="48"/>
  <c r="B799" i="48"/>
  <c r="B798" i="48"/>
  <c r="B779" i="48"/>
  <c r="B778" i="48"/>
  <c r="B777" i="48"/>
  <c r="B776" i="48"/>
  <c r="B775" i="48"/>
  <c r="B774" i="48"/>
  <c r="B772" i="48"/>
  <c r="B770" i="48"/>
  <c r="B769" i="48"/>
  <c r="B762" i="48"/>
  <c r="B761" i="48"/>
  <c r="B760" i="48"/>
  <c r="B759" i="48"/>
  <c r="B758" i="48"/>
  <c r="B757" i="48"/>
  <c r="B752" i="48"/>
  <c r="B751" i="48"/>
  <c r="B748" i="48"/>
  <c r="B747" i="48"/>
  <c r="B744" i="48"/>
  <c r="B740" i="48"/>
  <c r="B739" i="48"/>
  <c r="B738" i="48"/>
  <c r="B737" i="48"/>
  <c r="B732" i="48"/>
  <c r="B731" i="48"/>
  <c r="B726" i="48"/>
  <c r="B660" i="48"/>
  <c r="B659" i="48"/>
  <c r="B658" i="48"/>
  <c r="B656" i="48"/>
  <c r="B652" i="48"/>
  <c r="B651" i="48"/>
  <c r="B650" i="48"/>
  <c r="B647" i="48"/>
  <c r="B645" i="48"/>
  <c r="B641" i="48"/>
  <c r="B640" i="48"/>
  <c r="B637" i="48"/>
  <c r="B636" i="48"/>
  <c r="B617" i="48"/>
  <c r="B616" i="48"/>
  <c r="B615" i="48"/>
  <c r="B614" i="48"/>
  <c r="B613" i="48"/>
  <c r="B612" i="48"/>
  <c r="B608" i="48"/>
  <c r="B607" i="48"/>
  <c r="B600" i="48"/>
  <c r="B599" i="48"/>
  <c r="B598" i="48"/>
  <c r="B597" i="48"/>
  <c r="B596" i="48"/>
  <c r="B595" i="48"/>
  <c r="B590" i="48"/>
  <c r="B589" i="48"/>
  <c r="B586" i="48"/>
  <c r="B585" i="48"/>
  <c r="B578" i="48"/>
  <c r="B577" i="48"/>
  <c r="B576" i="48"/>
  <c r="B575" i="48"/>
  <c r="B570" i="48"/>
  <c r="B569" i="48"/>
  <c r="B521" i="48"/>
  <c r="B498" i="48"/>
  <c r="B497" i="48"/>
  <c r="B496" i="48"/>
  <c r="B495" i="48"/>
  <c r="B493" i="48"/>
  <c r="B489" i="48"/>
  <c r="B488" i="48"/>
  <c r="B487" i="48"/>
  <c r="B484" i="48"/>
  <c r="B482" i="48"/>
  <c r="B480" i="48"/>
  <c r="B478" i="48"/>
  <c r="B477" i="48"/>
  <c r="B476" i="48"/>
  <c r="B474" i="48"/>
  <c r="B472" i="48"/>
  <c r="AA60" i="114"/>
  <c r="B454" i="48"/>
  <c r="B453" i="48"/>
  <c r="B452" i="48"/>
  <c r="B451" i="48"/>
  <c r="B450" i="48"/>
  <c r="B449" i="48"/>
  <c r="B445" i="48"/>
  <c r="B444" i="48"/>
  <c r="B441" i="48"/>
  <c r="B439" i="48"/>
  <c r="B437" i="48"/>
  <c r="B436" i="48"/>
  <c r="B435" i="48"/>
  <c r="B434" i="48"/>
  <c r="B433" i="48"/>
  <c r="B432" i="48"/>
  <c r="B431" i="48"/>
  <c r="B427" i="48"/>
  <c r="B426" i="48"/>
  <c r="B423" i="48"/>
  <c r="B422" i="48"/>
  <c r="B415" i="48"/>
  <c r="B414" i="48"/>
  <c r="B413" i="48"/>
  <c r="B412" i="48"/>
  <c r="B407" i="48"/>
  <c r="B406" i="48"/>
  <c r="B334" i="48"/>
  <c r="B333" i="48"/>
  <c r="B332" i="48"/>
  <c r="B330" i="48"/>
  <c r="B326" i="48"/>
  <c r="B325" i="48"/>
  <c r="B324" i="48"/>
  <c r="B321" i="48"/>
  <c r="B319" i="48"/>
  <c r="B316" i="48"/>
  <c r="B315" i="48"/>
  <c r="B314" i="48"/>
  <c r="B311" i="48"/>
  <c r="B308" i="48"/>
  <c r="B292" i="48"/>
  <c r="B291" i="48"/>
  <c r="B290" i="48"/>
  <c r="B289" i="48"/>
  <c r="B288" i="48"/>
  <c r="B287" i="48"/>
  <c r="B286" i="48"/>
  <c r="B285" i="48"/>
  <c r="B282" i="48"/>
  <c r="B281" i="48"/>
  <c r="B275" i="48"/>
  <c r="B274" i="48"/>
  <c r="B273" i="48"/>
  <c r="B272" i="48"/>
  <c r="B271" i="48"/>
  <c r="B270" i="48"/>
  <c r="B269" i="48"/>
  <c r="B264" i="48"/>
  <c r="B263" i="48"/>
  <c r="B260" i="48"/>
  <c r="B259" i="48"/>
  <c r="B252" i="48"/>
  <c r="B251" i="48"/>
  <c r="B250" i="48"/>
  <c r="B249" i="48"/>
  <c r="B244" i="48"/>
  <c r="B243" i="48"/>
  <c r="B240" i="48"/>
  <c r="B238" i="48"/>
  <c r="B171" i="48"/>
  <c r="B170" i="48"/>
  <c r="B169" i="48"/>
  <c r="B168" i="48"/>
  <c r="B167" i="48"/>
  <c r="B165" i="48"/>
  <c r="B163" i="48"/>
  <c r="B162" i="48"/>
  <c r="B161" i="48"/>
  <c r="B158" i="48"/>
  <c r="B157" i="48"/>
  <c r="B156" i="48"/>
  <c r="B152" i="48"/>
  <c r="B151" i="48"/>
  <c r="B148" i="48"/>
  <c r="B93" i="48"/>
  <c r="B91" i="48"/>
  <c r="B89" i="48"/>
  <c r="B87" i="48"/>
  <c r="B3091" i="48"/>
  <c r="B3090" i="48"/>
  <c r="B3089" i="48"/>
  <c r="B3088" i="48"/>
  <c r="B3087" i="48"/>
  <c r="B3083" i="48"/>
  <c r="B3082" i="48"/>
  <c r="B3081" i="48"/>
  <c r="B3078" i="48"/>
  <c r="B3076" i="48"/>
  <c r="B3072" i="48"/>
  <c r="B3071" i="48"/>
  <c r="B3068" i="48"/>
  <c r="B1472" i="48"/>
  <c r="B1471" i="48"/>
  <c r="B1470" i="48"/>
  <c r="B1469" i="48"/>
  <c r="B1468" i="48"/>
  <c r="B1467" i="48"/>
  <c r="B1463" i="48"/>
  <c r="B1462" i="48"/>
  <c r="B1461" i="48"/>
  <c r="B1460" i="48"/>
  <c r="B1458" i="48"/>
  <c r="B1456" i="48"/>
  <c r="B1452" i="48"/>
  <c r="B1451" i="48"/>
  <c r="B1448" i="48"/>
  <c r="B1445" i="48"/>
  <c r="B3048" i="48"/>
  <c r="B3047" i="48"/>
  <c r="B3046" i="48"/>
  <c r="B3045" i="48"/>
  <c r="B3044" i="48"/>
  <c r="B3043" i="48"/>
  <c r="B3039" i="48"/>
  <c r="B3038" i="48"/>
  <c r="B3035" i="48"/>
  <c r="B3034" i="48"/>
  <c r="B3032" i="48"/>
  <c r="B3031" i="48"/>
  <c r="B3030" i="48"/>
  <c r="B3029" i="48"/>
  <c r="B3028" i="48"/>
  <c r="B3027" i="48"/>
  <c r="B3026" i="48"/>
  <c r="B3024" i="48"/>
  <c r="B3021" i="48"/>
  <c r="B3020" i="48"/>
  <c r="B3017" i="48"/>
  <c r="B3016" i="48"/>
  <c r="B3014" i="48"/>
  <c r="B3009" i="48"/>
  <c r="B3008" i="48"/>
  <c r="B3007" i="48"/>
  <c r="B3006" i="48"/>
  <c r="B3003" i="48"/>
  <c r="B3001" i="48"/>
  <c r="B3000" i="48"/>
  <c r="B1427" i="48"/>
  <c r="B1426" i="48"/>
  <c r="B1425" i="48"/>
  <c r="B1424" i="48"/>
  <c r="B1423" i="48"/>
  <c r="B1422" i="48"/>
  <c r="B1418" i="48"/>
  <c r="B1417" i="48"/>
  <c r="B1397" i="48"/>
  <c r="B1395" i="48"/>
  <c r="B1387" i="48"/>
  <c r="B1385" i="48"/>
  <c r="B1383" i="48"/>
  <c r="B1381" i="48"/>
  <c r="B1379" i="48"/>
  <c r="B1377" i="48"/>
  <c r="B1396" i="48"/>
  <c r="B1388" i="48"/>
  <c r="B1386" i="48"/>
  <c r="B1380" i="48"/>
  <c r="B1378" i="48"/>
  <c r="B1374" i="48"/>
  <c r="B11" i="114"/>
  <c r="H11" i="114" s="1"/>
  <c r="B1399" i="48"/>
  <c r="B1400" i="48"/>
  <c r="B1404" i="48"/>
  <c r="B1405" i="48"/>
  <c r="B1406" i="48"/>
  <c r="I35" i="114"/>
  <c r="I37" i="114"/>
  <c r="I31" i="114"/>
  <c r="B37" i="114"/>
  <c r="H37" i="114" s="1"/>
  <c r="N37" i="114" s="1"/>
  <c r="B36" i="114"/>
  <c r="H36" i="114" s="1"/>
  <c r="B35" i="114"/>
  <c r="H35" i="114" s="1"/>
  <c r="N35" i="114" s="1"/>
  <c r="B22" i="114"/>
  <c r="H22" i="114" s="1"/>
  <c r="B27" i="114"/>
  <c r="H27" i="114" s="1"/>
  <c r="B8" i="114"/>
  <c r="H8" i="114" s="1"/>
  <c r="N15" i="114" s="1"/>
  <c r="L18" i="88"/>
  <c r="L17" i="88"/>
  <c r="L19" i="88"/>
  <c r="L20" i="88"/>
  <c r="L21" i="88"/>
  <c r="AD63" i="114"/>
  <c r="AC63" i="114"/>
  <c r="AB63" i="114"/>
  <c r="I24" i="114" s="1"/>
  <c r="AB66" i="114"/>
  <c r="AE65" i="114"/>
  <c r="AD65" i="114"/>
  <c r="AC65" i="114"/>
  <c r="AB65" i="114"/>
  <c r="I26" i="114" s="1"/>
  <c r="AB75" i="114"/>
  <c r="I36" i="114" s="1"/>
  <c r="AB73" i="114"/>
  <c r="AE71" i="114"/>
  <c r="AD71" i="114"/>
  <c r="AC71" i="114"/>
  <c r="AB71" i="114"/>
  <c r="AB59" i="114"/>
  <c r="AE69" i="114"/>
  <c r="AD69" i="114"/>
  <c r="AC69" i="114"/>
  <c r="AB69" i="114"/>
  <c r="I30" i="114" s="1"/>
  <c r="AB62" i="114"/>
  <c r="AB61" i="114"/>
  <c r="AB60" i="114"/>
  <c r="AB58" i="114"/>
  <c r="AB57" i="114"/>
  <c r="I18" i="114" s="1"/>
  <c r="AB56" i="114"/>
  <c r="I17" i="114" s="1"/>
  <c r="AB55" i="114"/>
  <c r="I16" i="114" s="1"/>
  <c r="AB53" i="114"/>
  <c r="I14" i="114" s="1"/>
  <c r="I15" i="114" s="1"/>
  <c r="AB52" i="114"/>
  <c r="AB51" i="114"/>
  <c r="AB50" i="114"/>
  <c r="AB49" i="114"/>
  <c r="I10" i="114" s="1"/>
  <c r="AE48" i="114"/>
  <c r="AD48" i="114"/>
  <c r="AC48" i="114"/>
  <c r="AE47" i="114"/>
  <c r="AD47" i="114"/>
  <c r="AC47" i="114"/>
  <c r="C71" i="110"/>
  <c r="D71" i="110"/>
  <c r="C72" i="110"/>
  <c r="D72" i="110"/>
  <c r="M68" i="110"/>
  <c r="I33" i="114"/>
  <c r="B18" i="114"/>
  <c r="H18" i="114" s="1"/>
  <c r="B25" i="114"/>
  <c r="H25" i="114" s="1"/>
  <c r="B21" i="114"/>
  <c r="H21" i="114" s="1"/>
  <c r="B19" i="114"/>
  <c r="H19" i="114" s="1"/>
  <c r="B16" i="114"/>
  <c r="H16" i="114" s="1"/>
  <c r="B10" i="114"/>
  <c r="H10" i="114" s="1"/>
  <c r="B1410" i="48"/>
  <c r="B1409" i="48"/>
  <c r="B1408" i="48"/>
  <c r="B1407" i="48"/>
  <c r="B1412" i="48"/>
  <c r="B1411" i="48"/>
  <c r="I27" i="114"/>
  <c r="B24" i="114"/>
  <c r="H24" i="114" s="1"/>
  <c r="B33" i="114"/>
  <c r="H33" i="114" s="1"/>
  <c r="N33" i="114" s="1"/>
  <c r="B31" i="114"/>
  <c r="H31" i="114" s="1"/>
  <c r="N31" i="114" s="1"/>
  <c r="C10" i="114"/>
  <c r="C11" i="114"/>
  <c r="B12" i="114"/>
  <c r="H12" i="114" s="1"/>
  <c r="C12" i="114"/>
  <c r="B13" i="114"/>
  <c r="H13" i="114" s="1"/>
  <c r="C13" i="114"/>
  <c r="B14" i="114"/>
  <c r="H14" i="114" s="1"/>
  <c r="C14" i="114"/>
  <c r="B15" i="114"/>
  <c r="H15" i="114" s="1"/>
  <c r="C15" i="114"/>
  <c r="C16" i="114"/>
  <c r="B17" i="114"/>
  <c r="H17" i="114" s="1"/>
  <c r="C17" i="114"/>
  <c r="C18" i="114"/>
  <c r="C19" i="114"/>
  <c r="C21" i="114"/>
  <c r="C22" i="114"/>
  <c r="B23" i="114"/>
  <c r="H23" i="114" s="1"/>
  <c r="C23" i="114"/>
  <c r="B28" i="114"/>
  <c r="H28" i="114" s="1"/>
  <c r="N28" i="114" s="1"/>
  <c r="C28" i="114"/>
  <c r="B30" i="114"/>
  <c r="H30" i="114" s="1"/>
  <c r="C30" i="114"/>
  <c r="H20" i="114"/>
  <c r="C20" i="114"/>
  <c r="C31" i="114"/>
  <c r="B32" i="114"/>
  <c r="H32" i="114" s="1"/>
  <c r="C32" i="114"/>
  <c r="C33" i="114"/>
  <c r="B34" i="114"/>
  <c r="H34" i="114" s="1"/>
  <c r="C34" i="114"/>
  <c r="C35" i="114"/>
  <c r="C36" i="114"/>
  <c r="C37" i="114"/>
  <c r="C25" i="114"/>
  <c r="B26" i="114"/>
  <c r="H26" i="114" s="1"/>
  <c r="C26" i="114"/>
  <c r="C27" i="114"/>
  <c r="C24" i="114"/>
  <c r="I25" i="114"/>
  <c r="I13" i="114"/>
  <c r="I12" i="114"/>
  <c r="I11" i="114"/>
  <c r="I34" i="114"/>
  <c r="I32" i="114"/>
  <c r="I20" i="114"/>
  <c r="I28" i="114"/>
  <c r="I23" i="114"/>
  <c r="I22" i="114"/>
  <c r="I21" i="114"/>
  <c r="I19" i="114"/>
  <c r="F10" i="114"/>
  <c r="F11" i="114"/>
  <c r="F12" i="114"/>
  <c r="F13" i="114"/>
  <c r="F14" i="114"/>
  <c r="F15" i="114"/>
  <c r="F16" i="114"/>
  <c r="F17" i="114"/>
  <c r="F18" i="114"/>
  <c r="F19" i="114"/>
  <c r="F21" i="114"/>
  <c r="F22" i="114"/>
  <c r="F23" i="114"/>
  <c r="F28" i="114"/>
  <c r="F30" i="114"/>
  <c r="F20" i="114"/>
  <c r="F31" i="114"/>
  <c r="F32" i="114"/>
  <c r="F33" i="114"/>
  <c r="F34" i="114"/>
  <c r="F35" i="114"/>
  <c r="F36" i="114"/>
  <c r="F37" i="114"/>
  <c r="F25" i="114"/>
  <c r="F26" i="114"/>
  <c r="F27" i="114"/>
  <c r="F24" i="114"/>
  <c r="D10" i="114"/>
  <c r="D11" i="114"/>
  <c r="D12" i="114"/>
  <c r="D13" i="114"/>
  <c r="D14" i="114"/>
  <c r="D15" i="114"/>
  <c r="D16" i="114"/>
  <c r="D17" i="114"/>
  <c r="D18" i="114"/>
  <c r="D19" i="114"/>
  <c r="D21" i="114"/>
  <c r="D22" i="114"/>
  <c r="D23" i="114"/>
  <c r="D28" i="114"/>
  <c r="D30" i="114"/>
  <c r="D20" i="114"/>
  <c r="D31" i="114"/>
  <c r="D32" i="114"/>
  <c r="D33" i="114"/>
  <c r="D34" i="114"/>
  <c r="D35" i="114"/>
  <c r="D36" i="114"/>
  <c r="D37" i="114"/>
  <c r="D25" i="114"/>
  <c r="D26" i="114"/>
  <c r="D27" i="114"/>
  <c r="D24" i="114"/>
  <c r="F9" i="114"/>
  <c r="D9" i="114"/>
  <c r="F8" i="114"/>
  <c r="D8" i="114"/>
  <c r="C95" i="111"/>
  <c r="C94" i="111"/>
  <c r="H3" i="94"/>
  <c r="O2" i="94"/>
  <c r="X2" i="94"/>
  <c r="S3" i="94"/>
  <c r="S14" i="94"/>
  <c r="S21" i="94" s="1"/>
  <c r="S15" i="94"/>
  <c r="S22" i="94" s="1"/>
  <c r="S16" i="94"/>
  <c r="S23" i="94" s="1"/>
  <c r="S17" i="94"/>
  <c r="S24" i="94" s="1"/>
  <c r="S18" i="94"/>
  <c r="S25" i="94" s="1"/>
  <c r="S19" i="94"/>
  <c r="S26" i="94" s="1"/>
  <c r="S20" i="94"/>
  <c r="S27" i="94" s="1"/>
  <c r="B2789" i="48"/>
  <c r="C34" i="125" l="1"/>
  <c r="B1884" i="48"/>
  <c r="B1722" i="48"/>
  <c r="B970" i="48"/>
  <c r="B912" i="48"/>
  <c r="C34" i="128"/>
  <c r="B2915" i="48"/>
  <c r="B2105" i="48"/>
  <c r="B2047" i="48"/>
  <c r="B911" i="48"/>
  <c r="C34" i="129"/>
  <c r="C34" i="126"/>
  <c r="B2857" i="48"/>
  <c r="B2046" i="48"/>
  <c r="B1132" i="48"/>
  <c r="B1074" i="48"/>
  <c r="C34" i="124"/>
  <c r="C35" i="122"/>
  <c r="B98" i="48"/>
  <c r="B1781" i="48"/>
  <c r="B1619" i="48"/>
  <c r="B1561" i="48"/>
  <c r="B808" i="48"/>
  <c r="B750" i="48"/>
  <c r="C33" i="123"/>
  <c r="C35" i="121"/>
  <c r="B99" i="48"/>
  <c r="B1943" i="48"/>
  <c r="B483" i="48"/>
  <c r="B320" i="48"/>
  <c r="B262" i="48"/>
  <c r="B261" i="48"/>
  <c r="B1457" i="48"/>
  <c r="C35" i="132"/>
  <c r="B3019" i="48"/>
  <c r="B1398" i="48"/>
  <c r="C34" i="130"/>
  <c r="B1723" i="48"/>
  <c r="B425" i="48"/>
  <c r="B3018" i="48"/>
  <c r="B2998" i="48"/>
  <c r="B405" i="48"/>
  <c r="B420" i="48"/>
  <c r="B588" i="48"/>
  <c r="B646" i="48"/>
  <c r="B1719" i="48"/>
  <c r="B2874" i="48"/>
  <c r="C19" i="125"/>
  <c r="C18" i="131"/>
  <c r="C18" i="129"/>
  <c r="B2833" i="48"/>
  <c r="B2022" i="48"/>
  <c r="B1050" i="48"/>
  <c r="C18" i="130"/>
  <c r="B2832" i="48"/>
  <c r="B1607" i="48"/>
  <c r="B1049" i="48"/>
  <c r="B796" i="48"/>
  <c r="C19" i="127"/>
  <c r="C18" i="123"/>
  <c r="B1931" i="48"/>
  <c r="B1769" i="48"/>
  <c r="B1212" i="48"/>
  <c r="B564" i="48"/>
  <c r="B1860" i="48"/>
  <c r="B1699" i="48"/>
  <c r="B888" i="48"/>
  <c r="C18" i="132"/>
  <c r="C18" i="125"/>
  <c r="B74" i="48"/>
  <c r="B401" i="48"/>
  <c r="B2994" i="48"/>
  <c r="B400" i="48"/>
  <c r="B145" i="48"/>
  <c r="C19" i="119"/>
  <c r="B75" i="48"/>
  <c r="B1211" i="48"/>
  <c r="B563" i="48"/>
  <c r="B3065" i="48"/>
  <c r="C22" i="131"/>
  <c r="C22" i="129"/>
  <c r="B2907" i="48"/>
  <c r="B2841" i="48"/>
  <c r="B2097" i="48"/>
  <c r="B2030" i="48"/>
  <c r="B1058" i="48"/>
  <c r="C22" i="130"/>
  <c r="B82" i="48"/>
  <c r="B2840" i="48"/>
  <c r="B1124" i="48"/>
  <c r="B1057" i="48"/>
  <c r="C22" i="132"/>
  <c r="C22" i="123"/>
  <c r="B1220" i="48"/>
  <c r="B572" i="48"/>
  <c r="C22" i="128"/>
  <c r="B1935" i="48"/>
  <c r="B1868" i="48"/>
  <c r="B1773" i="48"/>
  <c r="B1707" i="48"/>
  <c r="B896" i="48"/>
  <c r="C23" i="119"/>
  <c r="B475" i="48"/>
  <c r="B409" i="48"/>
  <c r="B1449" i="48"/>
  <c r="B3002" i="48"/>
  <c r="B1382" i="48"/>
  <c r="C22" i="125"/>
  <c r="B962" i="48"/>
  <c r="B408" i="48"/>
  <c r="B1869" i="48"/>
  <c r="C90" i="125"/>
  <c r="C90" i="111"/>
  <c r="B1259" i="48"/>
  <c r="B1143" i="48"/>
  <c r="B611" i="48"/>
  <c r="C90" i="128"/>
  <c r="C90" i="126"/>
  <c r="B1258" i="48"/>
  <c r="B610" i="48"/>
  <c r="B494" i="48"/>
  <c r="C90" i="129"/>
  <c r="C97" i="127"/>
  <c r="B1584" i="48"/>
  <c r="B1305" i="48"/>
  <c r="B773" i="48"/>
  <c r="B657" i="48"/>
  <c r="C90" i="130"/>
  <c r="B2880" i="48"/>
  <c r="B2069" i="48"/>
  <c r="B1097" i="48"/>
  <c r="B981" i="48"/>
  <c r="C90" i="124"/>
  <c r="B1954" i="48"/>
  <c r="B1630" i="48"/>
  <c r="B819" i="48"/>
  <c r="B1421" i="48"/>
  <c r="B1420" i="48"/>
  <c r="C91" i="122"/>
  <c r="B121" i="48"/>
  <c r="B1746" i="48"/>
  <c r="C90" i="131"/>
  <c r="B122" i="48"/>
  <c r="B1745" i="48"/>
  <c r="C82" i="131"/>
  <c r="C82" i="111"/>
  <c r="B1242" i="48"/>
  <c r="B1135" i="48"/>
  <c r="B594" i="48"/>
  <c r="B1241" i="48"/>
  <c r="B593" i="48"/>
  <c r="B486" i="48"/>
  <c r="C80" i="127"/>
  <c r="C83" i="119"/>
  <c r="C82" i="125"/>
  <c r="B104" i="48"/>
  <c r="B1567" i="48"/>
  <c r="B1297" i="48"/>
  <c r="B756" i="48"/>
  <c r="B649" i="48"/>
  <c r="C82" i="130"/>
  <c r="C81" i="123"/>
  <c r="B2863" i="48"/>
  <c r="B2052" i="48"/>
  <c r="B1080" i="48"/>
  <c r="B973" i="48"/>
  <c r="B1566" i="48"/>
  <c r="B755" i="48"/>
  <c r="B918" i="48"/>
  <c r="C82" i="128"/>
  <c r="B2918" i="48"/>
  <c r="B2862" i="48"/>
  <c r="B1403" i="48"/>
  <c r="C82" i="124"/>
  <c r="C83" i="122"/>
  <c r="B1784" i="48"/>
  <c r="B917" i="48"/>
  <c r="B1376" i="48"/>
  <c r="B1394" i="48"/>
  <c r="B1393" i="48"/>
  <c r="B2999" i="48"/>
  <c r="B3013" i="48"/>
  <c r="B3025" i="48"/>
  <c r="B3033" i="48"/>
  <c r="B1446" i="48"/>
  <c r="B3073" i="48"/>
  <c r="B3086" i="48"/>
  <c r="B239" i="48"/>
  <c r="B284" i="48"/>
  <c r="B293" i="48"/>
  <c r="B317" i="48"/>
  <c r="B331" i="48"/>
  <c r="B421" i="48"/>
  <c r="B440" i="48"/>
  <c r="B471" i="48"/>
  <c r="B634" i="48"/>
  <c r="B725" i="48"/>
  <c r="B811" i="48"/>
  <c r="B887" i="48"/>
  <c r="B958" i="48"/>
  <c r="B1073" i="48"/>
  <c r="B1122" i="48"/>
  <c r="B1545" i="48"/>
  <c r="B1789" i="48"/>
  <c r="B1877" i="48"/>
  <c r="B1890" i="48"/>
  <c r="B1898" i="48"/>
  <c r="B2053" i="48"/>
  <c r="B2912" i="48"/>
  <c r="C20" i="111"/>
  <c r="C19" i="121"/>
  <c r="C26" i="123"/>
  <c r="C90" i="123"/>
  <c r="C26" i="128"/>
  <c r="C21" i="121"/>
  <c r="B1933" i="48"/>
  <c r="B1771" i="48"/>
  <c r="B1541" i="48"/>
  <c r="B730" i="48"/>
  <c r="C20" i="128"/>
  <c r="C20" i="125"/>
  <c r="B1865" i="48"/>
  <c r="B1540" i="48"/>
  <c r="B960" i="48"/>
  <c r="B729" i="48"/>
  <c r="B2905" i="48"/>
  <c r="B2095" i="48"/>
  <c r="B1864" i="48"/>
  <c r="B1703" i="48"/>
  <c r="B892" i="48"/>
  <c r="C20" i="123"/>
  <c r="B79" i="48"/>
  <c r="B1216" i="48"/>
  <c r="B568" i="48"/>
  <c r="C20" i="130"/>
  <c r="C20" i="126"/>
  <c r="C20" i="124"/>
  <c r="B2836" i="48"/>
  <c r="B78" i="48"/>
  <c r="B3067" i="48"/>
  <c r="B891" i="48"/>
  <c r="B567" i="48"/>
  <c r="B310" i="48"/>
  <c r="B2027" i="48"/>
  <c r="B1702" i="48"/>
  <c r="B1215" i="48"/>
  <c r="B1054" i="48"/>
  <c r="C20" i="131"/>
  <c r="C21" i="122"/>
  <c r="B2026" i="48"/>
  <c r="B1053" i="48"/>
  <c r="B473" i="48"/>
  <c r="B242" i="48"/>
  <c r="B1447" i="48"/>
  <c r="C20" i="127"/>
  <c r="C19" i="123"/>
  <c r="B1608" i="48"/>
  <c r="B1214" i="48"/>
  <c r="B797" i="48"/>
  <c r="B566" i="48"/>
  <c r="C20" i="119"/>
  <c r="C19" i="124"/>
  <c r="C20" i="122"/>
  <c r="B1932" i="48"/>
  <c r="B1770" i="48"/>
  <c r="B1213" i="48"/>
  <c r="B565" i="48"/>
  <c r="C19" i="128"/>
  <c r="C20" i="121"/>
  <c r="B1539" i="48"/>
  <c r="B959" i="48"/>
  <c r="B728" i="48"/>
  <c r="C19" i="131"/>
  <c r="C19" i="129"/>
  <c r="C19" i="111"/>
  <c r="B77" i="48"/>
  <c r="B2835" i="48"/>
  <c r="B2024" i="48"/>
  <c r="B1283" i="48"/>
  <c r="B1052" i="48"/>
  <c r="B635" i="48"/>
  <c r="B146" i="48"/>
  <c r="B1375" i="48"/>
  <c r="B3066" i="48"/>
  <c r="B2834" i="48"/>
  <c r="C19" i="130"/>
  <c r="C19" i="126"/>
  <c r="B76" i="48"/>
  <c r="B2904" i="48"/>
  <c r="B1701" i="48"/>
  <c r="B1538" i="48"/>
  <c r="B890" i="48"/>
  <c r="B727" i="48"/>
  <c r="B309" i="48"/>
  <c r="C86" i="125"/>
  <c r="B115" i="48"/>
  <c r="B1951" i="48"/>
  <c r="B1577" i="48"/>
  <c r="B766" i="48"/>
  <c r="C86" i="128"/>
  <c r="C86" i="126"/>
  <c r="B1901" i="48"/>
  <c r="B1739" i="48"/>
  <c r="B1576" i="48"/>
  <c r="B978" i="48"/>
  <c r="B765" i="48"/>
  <c r="C86" i="129"/>
  <c r="C93" i="127"/>
  <c r="B2923" i="48"/>
  <c r="B2113" i="48"/>
  <c r="B1900" i="48"/>
  <c r="B1738" i="48"/>
  <c r="B928" i="48"/>
  <c r="C86" i="130"/>
  <c r="B1252" i="48"/>
  <c r="B604" i="48"/>
  <c r="C86" i="124"/>
  <c r="C87" i="122"/>
  <c r="C86" i="111"/>
  <c r="B2873" i="48"/>
  <c r="B1140" i="48"/>
  <c r="B927" i="48"/>
  <c r="B3085" i="48"/>
  <c r="B2872" i="48"/>
  <c r="B328" i="48"/>
  <c r="C86" i="131"/>
  <c r="B2063" i="48"/>
  <c r="B1627" i="48"/>
  <c r="B1302" i="48"/>
  <c r="B1251" i="48"/>
  <c r="B1090" i="48"/>
  <c r="B816" i="48"/>
  <c r="B654" i="48"/>
  <c r="B603" i="48"/>
  <c r="B491" i="48"/>
  <c r="B278" i="48"/>
  <c r="B1465" i="48"/>
  <c r="B147" i="48"/>
  <c r="B1622" i="48"/>
  <c r="B2094" i="48"/>
  <c r="C21" i="127"/>
  <c r="C36" i="132"/>
  <c r="C37" i="121"/>
  <c r="C36" i="129"/>
  <c r="B1796" i="48"/>
  <c r="B1634" i="48"/>
  <c r="B1266" i="48"/>
  <c r="B823" i="48"/>
  <c r="B618" i="48"/>
  <c r="C37" i="132"/>
  <c r="C36" i="130"/>
  <c r="B129" i="48"/>
  <c r="B1958" i="48"/>
  <c r="B1267" i="48"/>
  <c r="B619" i="48"/>
  <c r="C35" i="123"/>
  <c r="C36" i="111"/>
  <c r="B130" i="48"/>
  <c r="B1591" i="48"/>
  <c r="B985" i="48"/>
  <c r="B780" i="48"/>
  <c r="C36" i="131"/>
  <c r="C36" i="128"/>
  <c r="C37" i="119"/>
  <c r="C36" i="125"/>
  <c r="B2887" i="48"/>
  <c r="B2078" i="48"/>
  <c r="B1309" i="48"/>
  <c r="B1104" i="48"/>
  <c r="B661" i="48"/>
  <c r="B2077" i="48"/>
  <c r="B172" i="48"/>
  <c r="C37" i="127"/>
  <c r="B1753" i="48"/>
  <c r="B3092" i="48"/>
  <c r="B1428" i="48"/>
  <c r="B1754" i="48"/>
  <c r="B335" i="48"/>
  <c r="B1429" i="48"/>
  <c r="B1414" i="48"/>
  <c r="B2995" i="48"/>
  <c r="B1453" i="48"/>
  <c r="B3080" i="48"/>
  <c r="B256" i="48"/>
  <c r="B268" i="48"/>
  <c r="B276" i="48"/>
  <c r="B312" i="48"/>
  <c r="B402" i="48"/>
  <c r="B733" i="48"/>
  <c r="B895" i="48"/>
  <c r="B966" i="48"/>
  <c r="B1130" i="48"/>
  <c r="B1284" i="48"/>
  <c r="B1537" i="48"/>
  <c r="B1583" i="48"/>
  <c r="B1609" i="48"/>
  <c r="B1700" i="48"/>
  <c r="B1728" i="48"/>
  <c r="B1736" i="48"/>
  <c r="B1907" i="48"/>
  <c r="B1916" i="48"/>
  <c r="B2025" i="48"/>
  <c r="B2837" i="48"/>
  <c r="B114" i="48"/>
  <c r="C83" i="121"/>
  <c r="C86" i="121"/>
  <c r="C35" i="129"/>
  <c r="C82" i="129"/>
  <c r="C27" i="131"/>
  <c r="C87" i="129"/>
  <c r="C94" i="127"/>
  <c r="B1902" i="48"/>
  <c r="B1740" i="48"/>
  <c r="B979" i="48"/>
  <c r="B930" i="48"/>
  <c r="C88" i="122"/>
  <c r="C88" i="121"/>
  <c r="B116" i="48"/>
  <c r="B2924" i="48"/>
  <c r="B2114" i="48"/>
  <c r="B2065" i="48"/>
  <c r="B929" i="48"/>
  <c r="C87" i="123"/>
  <c r="C87" i="111"/>
  <c r="B117" i="48"/>
  <c r="B2875" i="48"/>
  <c r="B2064" i="48"/>
  <c r="B1141" i="48"/>
  <c r="B1092" i="48"/>
  <c r="C88" i="119"/>
  <c r="C87" i="125"/>
  <c r="B1790" i="48"/>
  <c r="B1628" i="48"/>
  <c r="B1579" i="48"/>
  <c r="B817" i="48"/>
  <c r="B768" i="48"/>
  <c r="C87" i="131"/>
  <c r="C87" i="126"/>
  <c r="B1578" i="48"/>
  <c r="B1254" i="48"/>
  <c r="B767" i="48"/>
  <c r="B606" i="48"/>
  <c r="B329" i="48"/>
  <c r="B280" i="48"/>
  <c r="B1253" i="48"/>
  <c r="B3037" i="48"/>
  <c r="B1303" i="48"/>
  <c r="B1091" i="48"/>
  <c r="B655" i="48"/>
  <c r="B605" i="48"/>
  <c r="B492" i="48"/>
  <c r="B279" i="48"/>
  <c r="B1466" i="48"/>
  <c r="B1952" i="48"/>
  <c r="B1903" i="48"/>
  <c r="B443" i="48"/>
  <c r="B3036" i="48"/>
  <c r="B1415" i="48"/>
  <c r="B3015" i="48"/>
  <c r="B241" i="48"/>
  <c r="B1294" i="48"/>
  <c r="B1880" i="48"/>
  <c r="C35" i="127"/>
  <c r="B1416" i="48"/>
  <c r="B160" i="48"/>
  <c r="B255" i="48"/>
  <c r="B323" i="48"/>
  <c r="B424" i="48"/>
  <c r="B581" i="48"/>
  <c r="B638" i="48"/>
  <c r="B745" i="48"/>
  <c r="B1079" i="48"/>
  <c r="B1089" i="48"/>
  <c r="B1282" i="48"/>
  <c r="B1536" i="48"/>
  <c r="B1698" i="48"/>
  <c r="B1946" i="48"/>
  <c r="B2023" i="48"/>
  <c r="B2070" i="48"/>
  <c r="B2903" i="48"/>
  <c r="C21" i="119"/>
  <c r="C86" i="132"/>
  <c r="C85" i="130"/>
  <c r="B1788" i="48"/>
  <c r="B1626" i="48"/>
  <c r="B1250" i="48"/>
  <c r="B815" i="48"/>
  <c r="B602" i="48"/>
  <c r="C85" i="131"/>
  <c r="B1950" i="48"/>
  <c r="B1249" i="48"/>
  <c r="B601" i="48"/>
  <c r="C86" i="119"/>
  <c r="C85" i="125"/>
  <c r="B1575" i="48"/>
  <c r="B977" i="48"/>
  <c r="B764" i="48"/>
  <c r="C85" i="123"/>
  <c r="B113" i="48"/>
  <c r="B2871" i="48"/>
  <c r="B2060" i="48"/>
  <c r="B1301" i="48"/>
  <c r="B1088" i="48"/>
  <c r="B653" i="48"/>
  <c r="B164" i="48"/>
  <c r="B763" i="48"/>
  <c r="B3084" i="48"/>
  <c r="C85" i="128"/>
  <c r="C85" i="111"/>
  <c r="B2112" i="48"/>
  <c r="B1574" i="48"/>
  <c r="B1139" i="48"/>
  <c r="B926" i="48"/>
  <c r="C92" i="127"/>
  <c r="C85" i="124"/>
  <c r="C86" i="122"/>
  <c r="B2870" i="48"/>
  <c r="B925" i="48"/>
  <c r="B327" i="48"/>
  <c r="B1390" i="48"/>
  <c r="B2996" i="48"/>
  <c r="B1454" i="48"/>
  <c r="B149" i="48"/>
  <c r="B245" i="48"/>
  <c r="B277" i="48"/>
  <c r="B403" i="48"/>
  <c r="B447" i="48"/>
  <c r="B490" i="48"/>
  <c r="B734" i="48"/>
  <c r="B967" i="48"/>
  <c r="B1105" i="48"/>
  <c r="B1555" i="48"/>
  <c r="B1717" i="48"/>
  <c r="B1729" i="48"/>
  <c r="B1737" i="48"/>
  <c r="B1885" i="48"/>
  <c r="B1908" i="48"/>
  <c r="B1915" i="48"/>
  <c r="B2930" i="48"/>
  <c r="B112" i="48"/>
  <c r="C91" i="121"/>
  <c r="C19" i="122"/>
  <c r="C37" i="122"/>
  <c r="C36" i="124"/>
  <c r="C22" i="126"/>
  <c r="C35" i="119"/>
  <c r="C87" i="130"/>
  <c r="B94" i="48"/>
  <c r="B1779" i="48"/>
  <c r="B1617" i="48"/>
  <c r="B1232" i="48"/>
  <c r="B806" i="48"/>
  <c r="B584" i="48"/>
  <c r="B1941" i="48"/>
  <c r="B1231" i="48"/>
  <c r="B583" i="48"/>
  <c r="C35" i="131"/>
  <c r="C36" i="127"/>
  <c r="C36" i="119"/>
  <c r="C35" i="125"/>
  <c r="B1557" i="48"/>
  <c r="B968" i="48"/>
  <c r="B746" i="48"/>
  <c r="C35" i="130"/>
  <c r="C34" i="123"/>
  <c r="C35" i="111"/>
  <c r="B2853" i="48"/>
  <c r="B2042" i="48"/>
  <c r="B1292" i="48"/>
  <c r="B1070" i="48"/>
  <c r="B644" i="48"/>
  <c r="B2103" i="48"/>
  <c r="B2043" i="48"/>
  <c r="B907" i="48"/>
  <c r="B155" i="48"/>
  <c r="C35" i="128"/>
  <c r="B1069" i="48"/>
  <c r="B3075" i="48"/>
  <c r="C35" i="124"/>
  <c r="B1881" i="48"/>
  <c r="B481" i="48"/>
  <c r="B318" i="48"/>
  <c r="B95" i="48"/>
  <c r="B3077" i="48"/>
  <c r="B442" i="48"/>
  <c r="B1236" i="48"/>
  <c r="C27" i="130"/>
  <c r="C28" i="119"/>
  <c r="B2851" i="48"/>
  <c r="B2040" i="48"/>
  <c r="B1068" i="48"/>
  <c r="C27" i="123"/>
  <c r="B2850" i="48"/>
  <c r="B1778" i="48"/>
  <c r="B1616" i="48"/>
  <c r="B1067" i="48"/>
  <c r="B805" i="48"/>
  <c r="C27" i="124"/>
  <c r="C28" i="122"/>
  <c r="B1940" i="48"/>
  <c r="B1230" i="48"/>
  <c r="B582" i="48"/>
  <c r="C27" i="129"/>
  <c r="C27" i="126"/>
  <c r="B1878" i="48"/>
  <c r="B1716" i="48"/>
  <c r="B906" i="48"/>
  <c r="B1554" i="48"/>
  <c r="B1129" i="48"/>
  <c r="B743" i="48"/>
  <c r="B419" i="48"/>
  <c r="B3012" i="48"/>
  <c r="B1391" i="48"/>
  <c r="B643" i="48"/>
  <c r="C27" i="128"/>
  <c r="C27" i="125"/>
  <c r="C27" i="111"/>
  <c r="B2102" i="48"/>
  <c r="B2041" i="48"/>
  <c r="B1291" i="48"/>
  <c r="B905" i="48"/>
  <c r="B418" i="48"/>
  <c r="B154" i="48"/>
  <c r="B3074" i="48"/>
  <c r="B1413" i="48"/>
  <c r="B267" i="48"/>
  <c r="B800" i="48"/>
  <c r="B2852" i="48"/>
  <c r="C23" i="122"/>
  <c r="C26" i="129"/>
  <c r="C26" i="126"/>
  <c r="C26" i="111"/>
  <c r="B1876" i="48"/>
  <c r="B1714" i="48"/>
  <c r="B1290" i="48"/>
  <c r="B904" i="48"/>
  <c r="B642" i="48"/>
  <c r="C26" i="131"/>
  <c r="B2039" i="48"/>
  <c r="B903" i="48"/>
  <c r="C26" i="130"/>
  <c r="B2849" i="48"/>
  <c r="B2038" i="48"/>
  <c r="B1777" i="48"/>
  <c r="B1615" i="48"/>
  <c r="B1066" i="48"/>
  <c r="B804" i="48"/>
  <c r="C27" i="119"/>
  <c r="C26" i="125"/>
  <c r="B1553" i="48"/>
  <c r="B1128" i="48"/>
  <c r="B742" i="48"/>
  <c r="B2848" i="48"/>
  <c r="B1715" i="48"/>
  <c r="B1228" i="48"/>
  <c r="B580" i="48"/>
  <c r="B254" i="48"/>
  <c r="B3011" i="48"/>
  <c r="B1389" i="48"/>
  <c r="C27" i="127"/>
  <c r="B1552" i="48"/>
  <c r="B1227" i="48"/>
  <c r="B741" i="48"/>
  <c r="B579" i="48"/>
  <c r="B253" i="48"/>
  <c r="B2101" i="48"/>
  <c r="B1939" i="48"/>
  <c r="B1065" i="48"/>
  <c r="B417" i="48"/>
  <c r="B153" i="48"/>
  <c r="B3010" i="48"/>
  <c r="B3041" i="48"/>
  <c r="B3050" i="48"/>
  <c r="B1464" i="48"/>
  <c r="B3069" i="48"/>
  <c r="B456" i="48"/>
  <c r="B1373" i="48"/>
  <c r="B1392" i="48"/>
  <c r="B2997" i="48"/>
  <c r="B3042" i="48"/>
  <c r="B3049" i="48"/>
  <c r="B1455" i="48"/>
  <c r="B83" i="48"/>
  <c r="B237" i="48"/>
  <c r="B246" i="48"/>
  <c r="B258" i="48"/>
  <c r="B404" i="48"/>
  <c r="B416" i="48"/>
  <c r="B430" i="48"/>
  <c r="B438" i="48"/>
  <c r="B448" i="48"/>
  <c r="B455" i="48"/>
  <c r="B479" i="48"/>
  <c r="B571" i="48"/>
  <c r="B587" i="48"/>
  <c r="B749" i="48"/>
  <c r="B934" i="48"/>
  <c r="B943" i="48"/>
  <c r="B1096" i="48"/>
  <c r="B1120" i="48"/>
  <c r="B1147" i="48"/>
  <c r="B1229" i="48"/>
  <c r="B1286" i="48"/>
  <c r="B1556" i="48"/>
  <c r="B1611" i="48"/>
  <c r="B1718" i="48"/>
  <c r="B1741" i="48"/>
  <c r="B2116" i="48"/>
  <c r="B2856" i="48"/>
  <c r="B90" i="48"/>
  <c r="B105" i="48"/>
  <c r="C23" i="121"/>
  <c r="C87" i="121"/>
  <c r="C26" i="124"/>
  <c r="C35" i="126"/>
  <c r="C82" i="126"/>
  <c r="C85" i="126"/>
  <c r="C28" i="127"/>
  <c r="C18" i="128"/>
  <c r="C34" i="131"/>
  <c r="AH74" i="114"/>
  <c r="E1279" i="48"/>
  <c r="E1281" i="48"/>
  <c r="E1280" i="48"/>
  <c r="E795" i="48"/>
  <c r="E794" i="48"/>
  <c r="E793" i="48"/>
  <c r="E142" i="48"/>
  <c r="E144" i="48"/>
  <c r="E143" i="48"/>
  <c r="C40" i="119"/>
  <c r="G1277" i="48"/>
  <c r="G1166" i="48"/>
  <c r="E828" i="48"/>
  <c r="E700" i="48"/>
  <c r="E699" i="48"/>
  <c r="E698" i="48"/>
  <c r="E702" i="48"/>
  <c r="E703" i="48"/>
  <c r="E701" i="48"/>
  <c r="E706" i="48"/>
  <c r="E705" i="48"/>
  <c r="E704" i="48"/>
  <c r="E177" i="48"/>
  <c r="E1365" i="48"/>
  <c r="E1191" i="48"/>
  <c r="E1190" i="48"/>
  <c r="E1192" i="48"/>
  <c r="E1189" i="48"/>
  <c r="E1184" i="48"/>
  <c r="E1188" i="48"/>
  <c r="E1186" i="48"/>
  <c r="E1185" i="48"/>
  <c r="E1187" i="48"/>
  <c r="D2861" i="48"/>
  <c r="D2537" i="48"/>
  <c r="D2213" i="48"/>
  <c r="D1889" i="48"/>
  <c r="D1565" i="48"/>
  <c r="D1240" i="48"/>
  <c r="D916" i="48"/>
  <c r="D592" i="48"/>
  <c r="D103" i="48"/>
  <c r="D3023" i="48"/>
  <c r="D2699" i="48"/>
  <c r="D2375" i="48"/>
  <c r="D2051" i="48"/>
  <c r="D1727" i="48"/>
  <c r="D1402" i="48"/>
  <c r="D1078" i="48"/>
  <c r="D754" i="48"/>
  <c r="D429" i="48"/>
  <c r="D266" i="48"/>
  <c r="C61" i="131"/>
  <c r="C39" i="131"/>
  <c r="J64" i="143"/>
  <c r="B573" i="48"/>
  <c r="B1870" i="48"/>
  <c r="C24" i="122"/>
  <c r="C23" i="128"/>
  <c r="B3070" i="48"/>
  <c r="B85" i="48"/>
  <c r="B574" i="48"/>
  <c r="B639" i="48"/>
  <c r="B735" i="48"/>
  <c r="B1871" i="48"/>
  <c r="B1936" i="48"/>
  <c r="B2032" i="48"/>
  <c r="C23" i="131"/>
  <c r="B736" i="48"/>
  <c r="B801" i="48"/>
  <c r="B897" i="48"/>
  <c r="B2033" i="48"/>
  <c r="B2098" i="48"/>
  <c r="C23" i="123"/>
  <c r="C23" i="126"/>
  <c r="C24" i="119"/>
  <c r="C24" i="127"/>
  <c r="B1384" i="48"/>
  <c r="B898" i="48"/>
  <c r="B963" i="48"/>
  <c r="B1059" i="48"/>
  <c r="B2842" i="48"/>
  <c r="C23" i="125"/>
  <c r="B150" i="48"/>
  <c r="B247" i="48"/>
  <c r="B1060" i="48"/>
  <c r="B1125" i="48"/>
  <c r="B1221" i="48"/>
  <c r="B2843" i="48"/>
  <c r="B84" i="48"/>
  <c r="C23" i="111"/>
  <c r="C23" i="124"/>
  <c r="C23" i="132"/>
  <c r="B3004" i="48"/>
  <c r="B248" i="48"/>
  <c r="B313" i="48"/>
  <c r="B410" i="48"/>
  <c r="B1222" i="48"/>
  <c r="B1287" i="48"/>
  <c r="B1546" i="48"/>
  <c r="B2908" i="48"/>
  <c r="C24" i="121"/>
  <c r="B3005" i="48"/>
  <c r="B1450" i="48"/>
  <c r="B411" i="48"/>
  <c r="B1547" i="48"/>
  <c r="B1612" i="48"/>
  <c r="B1708" i="48"/>
  <c r="E130" i="48"/>
  <c r="E122" i="48"/>
  <c r="E113" i="48"/>
  <c r="E105" i="48"/>
  <c r="E97" i="48"/>
  <c r="E89" i="48"/>
  <c r="E81" i="48"/>
  <c r="E55" i="48"/>
  <c r="E47" i="48"/>
  <c r="E32" i="48"/>
  <c r="E83" i="48"/>
  <c r="E90" i="48"/>
  <c r="E153" i="48" s="1"/>
  <c r="E129" i="48"/>
  <c r="E172" i="48" s="1"/>
  <c r="E121" i="48"/>
  <c r="E168" i="48" s="1"/>
  <c r="E112" i="48"/>
  <c r="E164" i="48" s="1"/>
  <c r="E104" i="48"/>
  <c r="E160" i="48" s="1"/>
  <c r="E96" i="48"/>
  <c r="E156" i="48" s="1"/>
  <c r="E88" i="48"/>
  <c r="E152" i="48" s="1"/>
  <c r="E80" i="48"/>
  <c r="E148" i="48" s="1"/>
  <c r="E54" i="48"/>
  <c r="E42" i="48"/>
  <c r="E31" i="48"/>
  <c r="E124" i="48"/>
  <c r="E106" i="48"/>
  <c r="E161" i="48" s="1"/>
  <c r="E48" i="48"/>
  <c r="E136" i="48"/>
  <c r="E128" i="48"/>
  <c r="E119" i="48"/>
  <c r="E111" i="48"/>
  <c r="E103" i="48"/>
  <c r="E95" i="48"/>
  <c r="E87" i="48"/>
  <c r="E79" i="48"/>
  <c r="E53" i="48"/>
  <c r="E41" i="48"/>
  <c r="E132" i="48"/>
  <c r="F132" i="48" s="1"/>
  <c r="E99" i="48"/>
  <c r="E34" i="48"/>
  <c r="E114" i="48"/>
  <c r="E165" i="48" s="1"/>
  <c r="E33" i="48"/>
  <c r="E135" i="48"/>
  <c r="E127" i="48"/>
  <c r="E171" i="48" s="1"/>
  <c r="E118" i="48"/>
  <c r="E167" i="48" s="1"/>
  <c r="E110" i="48"/>
  <c r="E163" i="48" s="1"/>
  <c r="E102" i="48"/>
  <c r="E159" i="48" s="1"/>
  <c r="E94" i="48"/>
  <c r="E155" i="48" s="1"/>
  <c r="E86" i="48"/>
  <c r="E151" i="48" s="1"/>
  <c r="E78" i="48"/>
  <c r="E147" i="48" s="1"/>
  <c r="E52" i="48"/>
  <c r="E40" i="48"/>
  <c r="E91" i="48"/>
  <c r="E98" i="48"/>
  <c r="E157" i="48" s="1"/>
  <c r="E134" i="48"/>
  <c r="E126" i="48"/>
  <c r="E117" i="48"/>
  <c r="E109" i="48"/>
  <c r="E101" i="48"/>
  <c r="E93" i="48"/>
  <c r="E85" i="48"/>
  <c r="E77" i="48"/>
  <c r="E51" i="48"/>
  <c r="E36" i="48"/>
  <c r="E49" i="48"/>
  <c r="E123" i="48"/>
  <c r="E169" i="48" s="1"/>
  <c r="E74" i="48"/>
  <c r="E145" i="48" s="1"/>
  <c r="E133" i="48"/>
  <c r="E125" i="48"/>
  <c r="E170" i="48" s="1"/>
  <c r="E116" i="48"/>
  <c r="E166" i="48" s="1"/>
  <c r="E108" i="48"/>
  <c r="E162" i="48" s="1"/>
  <c r="E100" i="48"/>
  <c r="E158" i="48" s="1"/>
  <c r="E92" i="48"/>
  <c r="E154" i="48" s="1"/>
  <c r="E84" i="48"/>
  <c r="E150" i="48" s="1"/>
  <c r="E76" i="48"/>
  <c r="E146" i="48" s="1"/>
  <c r="E50" i="48"/>
  <c r="E35" i="48"/>
  <c r="E115" i="48"/>
  <c r="E75" i="48"/>
  <c r="E82" i="48"/>
  <c r="E149" i="48" s="1"/>
  <c r="E107" i="48"/>
  <c r="E131" i="48"/>
  <c r="E612" i="48"/>
  <c r="E658" i="48" s="1"/>
  <c r="E603" i="48"/>
  <c r="E654" i="48" s="1"/>
  <c r="E595" i="48"/>
  <c r="E650" i="48" s="1"/>
  <c r="E587" i="48"/>
  <c r="E646" i="48" s="1"/>
  <c r="E579" i="48"/>
  <c r="E642" i="48" s="1"/>
  <c r="E571" i="48"/>
  <c r="E638" i="48" s="1"/>
  <c r="E563" i="48"/>
  <c r="E634" i="48" s="1"/>
  <c r="E580" i="48"/>
  <c r="E543" i="48"/>
  <c r="E619" i="48"/>
  <c r="E611" i="48"/>
  <c r="E602" i="48"/>
  <c r="E594" i="48"/>
  <c r="E586" i="48"/>
  <c r="E578" i="48"/>
  <c r="E570" i="48"/>
  <c r="E572" i="48"/>
  <c r="E542" i="48"/>
  <c r="E618" i="48"/>
  <c r="E661" i="48" s="1"/>
  <c r="E610" i="48"/>
  <c r="E657" i="48" s="1"/>
  <c r="E601" i="48"/>
  <c r="E653" i="48" s="1"/>
  <c r="E593" i="48"/>
  <c r="E649" i="48" s="1"/>
  <c r="E585" i="48"/>
  <c r="E577" i="48"/>
  <c r="E641" i="48" s="1"/>
  <c r="E569" i="48"/>
  <c r="E637" i="48" s="1"/>
  <c r="E588" i="48"/>
  <c r="E540" i="48"/>
  <c r="E617" i="48"/>
  <c r="E608" i="48"/>
  <c r="E600" i="48"/>
  <c r="E592" i="48"/>
  <c r="E584" i="48"/>
  <c r="E576" i="48"/>
  <c r="E568" i="48"/>
  <c r="E539" i="48"/>
  <c r="E616" i="48"/>
  <c r="E660" i="48" s="1"/>
  <c r="E607" i="48"/>
  <c r="E656" i="48" s="1"/>
  <c r="E599" i="48"/>
  <c r="E652" i="48" s="1"/>
  <c r="E591" i="48"/>
  <c r="E648" i="48" s="1"/>
  <c r="E583" i="48"/>
  <c r="E575" i="48"/>
  <c r="E640" i="48" s="1"/>
  <c r="E567" i="48"/>
  <c r="E636" i="48" s="1"/>
  <c r="E596" i="48"/>
  <c r="E564" i="48"/>
  <c r="E537" i="48"/>
  <c r="E615" i="48"/>
  <c r="E606" i="48"/>
  <c r="E598" i="48"/>
  <c r="E590" i="48"/>
  <c r="E582" i="48"/>
  <c r="E574" i="48"/>
  <c r="E566" i="48"/>
  <c r="E604" i="48"/>
  <c r="E536" i="48"/>
  <c r="E614" i="48"/>
  <c r="E659" i="48" s="1"/>
  <c r="E605" i="48"/>
  <c r="E597" i="48"/>
  <c r="E651" i="48" s="1"/>
  <c r="E589" i="48"/>
  <c r="E581" i="48"/>
  <c r="E643" i="48" s="1"/>
  <c r="E573" i="48"/>
  <c r="E639" i="48" s="1"/>
  <c r="E565" i="48"/>
  <c r="E635" i="48" s="1"/>
  <c r="E613" i="48"/>
  <c r="E286" i="48"/>
  <c r="E332" i="48" s="1"/>
  <c r="E277" i="48"/>
  <c r="E328" i="48" s="1"/>
  <c r="E269" i="48"/>
  <c r="E324" i="48" s="1"/>
  <c r="E261" i="48"/>
  <c r="E253" i="48"/>
  <c r="E316" i="48" s="1"/>
  <c r="E245" i="48"/>
  <c r="E262" i="48"/>
  <c r="E293" i="48"/>
  <c r="E285" i="48"/>
  <c r="E276" i="48"/>
  <c r="E268" i="48"/>
  <c r="E260" i="48"/>
  <c r="E252" i="48"/>
  <c r="E244" i="48"/>
  <c r="E246" i="48"/>
  <c r="E292" i="48"/>
  <c r="E335" i="48" s="1"/>
  <c r="E284" i="48"/>
  <c r="E331" i="48" s="1"/>
  <c r="E275" i="48"/>
  <c r="E327" i="48" s="1"/>
  <c r="E267" i="48"/>
  <c r="E323" i="48" s="1"/>
  <c r="E259" i="48"/>
  <c r="E319" i="48" s="1"/>
  <c r="E251" i="48"/>
  <c r="E315" i="48" s="1"/>
  <c r="E243" i="48"/>
  <c r="E270" i="48"/>
  <c r="E291" i="48"/>
  <c r="E282" i="48"/>
  <c r="E274" i="48"/>
  <c r="E266" i="48"/>
  <c r="E258" i="48"/>
  <c r="E250" i="48"/>
  <c r="E242" i="48"/>
  <c r="E254" i="48"/>
  <c r="E290" i="48"/>
  <c r="E334" i="48" s="1"/>
  <c r="E281" i="48"/>
  <c r="E330" i="48" s="1"/>
  <c r="E273" i="48"/>
  <c r="E326" i="48" s="1"/>
  <c r="E265" i="48"/>
  <c r="E322" i="48" s="1"/>
  <c r="E257" i="48"/>
  <c r="E318" i="48" s="1"/>
  <c r="E249" i="48"/>
  <c r="E314" i="48" s="1"/>
  <c r="E241" i="48"/>
  <c r="E310" i="48" s="1"/>
  <c r="E289" i="48"/>
  <c r="E280" i="48"/>
  <c r="E272" i="48"/>
  <c r="E264" i="48"/>
  <c r="E256" i="48"/>
  <c r="E248" i="48"/>
  <c r="E240" i="48"/>
  <c r="E287" i="48"/>
  <c r="E288" i="48"/>
  <c r="E333" i="48" s="1"/>
  <c r="E279" i="48"/>
  <c r="E329" i="48" s="1"/>
  <c r="E271" i="48"/>
  <c r="E325" i="48" s="1"/>
  <c r="E263" i="48"/>
  <c r="E321" i="48" s="1"/>
  <c r="E255" i="48"/>
  <c r="E317" i="48" s="1"/>
  <c r="E247" i="48"/>
  <c r="E313" i="48" s="1"/>
  <c r="E239" i="48"/>
  <c r="E309" i="48" s="1"/>
  <c r="E278" i="48"/>
  <c r="E623" i="48"/>
  <c r="E524" i="48"/>
  <c r="E620" i="48"/>
  <c r="E625" i="48"/>
  <c r="E624" i="48"/>
  <c r="E622" i="48"/>
  <c r="E523" i="48"/>
  <c r="E531" i="48"/>
  <c r="E529" i="48"/>
  <c r="E525" i="48"/>
  <c r="E621" i="48"/>
  <c r="E522" i="48"/>
  <c r="E521" i="48"/>
  <c r="E520" i="48"/>
  <c r="E530" i="48"/>
  <c r="E299" i="48"/>
  <c r="E296" i="48"/>
  <c r="E196" i="48"/>
  <c r="E203" i="48"/>
  <c r="E298" i="48"/>
  <c r="F298" i="48" s="1"/>
  <c r="E199" i="48"/>
  <c r="E205" i="48"/>
  <c r="E295" i="48"/>
  <c r="E294" i="48"/>
  <c r="E297" i="48"/>
  <c r="E198" i="48"/>
  <c r="E197" i="48"/>
  <c r="E204" i="48"/>
  <c r="E195" i="48"/>
  <c r="E2014" i="48"/>
  <c r="J64" i="128"/>
  <c r="J64" i="142"/>
  <c r="J64" i="144"/>
  <c r="J65" i="127"/>
  <c r="J64" i="130"/>
  <c r="J64" i="145"/>
  <c r="J64" i="129"/>
  <c r="J64" i="131"/>
  <c r="E1203" i="48"/>
  <c r="E717" i="48"/>
  <c r="E215" i="48"/>
  <c r="E216" i="48"/>
  <c r="E214" i="48"/>
  <c r="E213" i="48"/>
  <c r="E212" i="48"/>
  <c r="E210" i="48"/>
  <c r="E211" i="48"/>
  <c r="E218" i="48"/>
  <c r="E217" i="48"/>
  <c r="E544" i="48"/>
  <c r="E538" i="48"/>
  <c r="E541" i="48"/>
  <c r="C57" i="131"/>
  <c r="C45" i="131"/>
  <c r="C33" i="131"/>
  <c r="C59" i="131"/>
  <c r="E559" i="48"/>
  <c r="E555" i="48"/>
  <c r="E551" i="48"/>
  <c r="E547" i="48"/>
  <c r="E561" i="48"/>
  <c r="E557" i="48"/>
  <c r="E16" i="122" s="1"/>
  <c r="I16" i="122" s="1"/>
  <c r="J16" i="122" s="1"/>
  <c r="E553" i="48"/>
  <c r="E549" i="48"/>
  <c r="F549" i="48" s="1"/>
  <c r="E545" i="48"/>
  <c r="E78" i="122" s="1"/>
  <c r="I78" i="122" s="1"/>
  <c r="J78" i="122" s="1"/>
  <c r="E562" i="48"/>
  <c r="E554" i="48"/>
  <c r="E13" i="122" s="1"/>
  <c r="I13" i="122" s="1"/>
  <c r="J13" i="122" s="1"/>
  <c r="E550" i="48"/>
  <c r="E546" i="48"/>
  <c r="F546" i="48" s="1"/>
  <c r="E556" i="48"/>
  <c r="F556" i="48" s="1"/>
  <c r="E558" i="48"/>
  <c r="F558" i="48" s="1"/>
  <c r="E560" i="48"/>
  <c r="E41" i="122" s="1"/>
  <c r="E548" i="48"/>
  <c r="F548" i="48" s="1"/>
  <c r="E552" i="48"/>
  <c r="E233" i="48"/>
  <c r="E229" i="48"/>
  <c r="E221" i="48"/>
  <c r="E80" i="119" s="1"/>
  <c r="I80" i="119" s="1"/>
  <c r="J80" i="119" s="1"/>
  <c r="E235" i="48"/>
  <c r="E42" i="119" s="1"/>
  <c r="E231" i="48"/>
  <c r="E227" i="48"/>
  <c r="E219" i="48"/>
  <c r="E232" i="48"/>
  <c r="E228" i="48"/>
  <c r="E224" i="48"/>
  <c r="E220" i="48"/>
  <c r="E79" i="119" s="1"/>
  <c r="I79" i="119" s="1"/>
  <c r="J79" i="119" s="1"/>
  <c r="E222" i="48"/>
  <c r="E236" i="48"/>
  <c r="F236" i="48" s="1"/>
  <c r="E230" i="48"/>
  <c r="E223" i="48"/>
  <c r="E34" i="119" s="1"/>
  <c r="E234" i="48"/>
  <c r="E226" i="48"/>
  <c r="E72" i="48"/>
  <c r="E68" i="48"/>
  <c r="E64" i="48"/>
  <c r="E60" i="48"/>
  <c r="E56" i="48"/>
  <c r="E71" i="48"/>
  <c r="E59" i="48"/>
  <c r="E70" i="48"/>
  <c r="E66" i="48"/>
  <c r="E62" i="48"/>
  <c r="E58" i="48"/>
  <c r="E69" i="48"/>
  <c r="E67" i="48"/>
  <c r="E61" i="48"/>
  <c r="E63" i="48"/>
  <c r="E73" i="48"/>
  <c r="E57" i="48"/>
  <c r="E65" i="48"/>
  <c r="J10" i="147"/>
  <c r="L10" i="147"/>
  <c r="J12" i="147"/>
  <c r="L12" i="147"/>
  <c r="L9" i="147"/>
  <c r="J9" i="147"/>
  <c r="J6" i="147"/>
  <c r="L6" i="147"/>
  <c r="J37" i="145"/>
  <c r="N9" i="145"/>
  <c r="L9" i="145" s="1"/>
  <c r="L22" i="147"/>
  <c r="J22" i="147"/>
  <c r="J15" i="147"/>
  <c r="L15" i="147"/>
  <c r="J13" i="147"/>
  <c r="L13" i="147"/>
  <c r="L8" i="147"/>
  <c r="J8" i="147"/>
  <c r="J7" i="147"/>
  <c r="L7" i="147"/>
  <c r="J17" i="147"/>
  <c r="L17" i="147"/>
  <c r="L14" i="147"/>
  <c r="J14" i="147"/>
  <c r="J23" i="147"/>
  <c r="L23" i="147"/>
  <c r="J16" i="147"/>
  <c r="L16" i="147"/>
  <c r="AH69" i="114"/>
  <c r="AH63" i="114"/>
  <c r="AM69" i="114"/>
  <c r="C29" i="127"/>
  <c r="C28" i="131"/>
  <c r="C28" i="130"/>
  <c r="C36" i="122"/>
  <c r="C36" i="121"/>
  <c r="C51" i="131"/>
  <c r="J54" i="144"/>
  <c r="G5" i="121"/>
  <c r="J5" i="121" s="1"/>
  <c r="J44" i="144"/>
  <c r="J54" i="145"/>
  <c r="B1484" i="48"/>
  <c r="B1159" i="48"/>
  <c r="G5" i="119"/>
  <c r="J5" i="119" s="1"/>
  <c r="C56" i="131"/>
  <c r="C38" i="131"/>
  <c r="C48" i="131"/>
  <c r="C60" i="131"/>
  <c r="AH53" i="114"/>
  <c r="C55" i="131"/>
  <c r="C65" i="131"/>
  <c r="C50" i="131"/>
  <c r="C46" i="131"/>
  <c r="C66" i="132"/>
  <c r="F66" i="132"/>
  <c r="P29" i="114"/>
  <c r="C58" i="131"/>
  <c r="AM68" i="114"/>
  <c r="B265" i="48"/>
  <c r="B266" i="48"/>
  <c r="B428" i="48"/>
  <c r="B1077" i="48"/>
  <c r="B1727" i="48"/>
  <c r="B102" i="48"/>
  <c r="B103" i="48"/>
  <c r="B592" i="48"/>
  <c r="B1240" i="48"/>
  <c r="B2050" i="48"/>
  <c r="B753" i="48"/>
  <c r="B1401" i="48"/>
  <c r="B2051" i="48"/>
  <c r="B754" i="48"/>
  <c r="B1402" i="48"/>
  <c r="B2860" i="48"/>
  <c r="B915" i="48"/>
  <c r="B1564" i="48"/>
  <c r="B648" i="48"/>
  <c r="B916" i="48"/>
  <c r="B1565" i="48"/>
  <c r="B1459" i="48"/>
  <c r="B429" i="48"/>
  <c r="B1078" i="48"/>
  <c r="B1888" i="48"/>
  <c r="B591" i="48"/>
  <c r="B1239" i="48"/>
  <c r="B1889" i="48"/>
  <c r="AH66" i="114"/>
  <c r="O27" i="114" s="1"/>
  <c r="AH73" i="114"/>
  <c r="O34" i="114" s="1"/>
  <c r="AH64" i="114"/>
  <c r="AL64" i="114" s="1"/>
  <c r="AH56" i="114"/>
  <c r="AL56" i="114" s="1"/>
  <c r="AH62" i="114"/>
  <c r="O23" i="114" s="1"/>
  <c r="AH55" i="114"/>
  <c r="AL55" i="114" s="1"/>
  <c r="AM54" i="114"/>
  <c r="AH61" i="114"/>
  <c r="AL61" i="114" s="1"/>
  <c r="AH60" i="114"/>
  <c r="AH51" i="114"/>
  <c r="AM51" i="114" s="1"/>
  <c r="AM67" i="114"/>
  <c r="AH58" i="114"/>
  <c r="AL58" i="114" s="1"/>
  <c r="AM52" i="114"/>
  <c r="AL52" i="114"/>
  <c r="O35" i="114"/>
  <c r="AM74" i="114"/>
  <c r="AH72" i="114"/>
  <c r="AL72" i="114" s="1"/>
  <c r="AH59" i="114"/>
  <c r="AM59" i="114" s="1"/>
  <c r="I9" i="114"/>
  <c r="AH75" i="114"/>
  <c r="AL75" i="114" s="1"/>
  <c r="AH57" i="114"/>
  <c r="O18" i="114" s="1"/>
  <c r="AH70" i="114"/>
  <c r="O31" i="114" s="1"/>
  <c r="AH76" i="114"/>
  <c r="AL76" i="114" s="1"/>
  <c r="AH49" i="114"/>
  <c r="O10" i="114" s="1"/>
  <c r="AH50" i="114"/>
  <c r="AM50" i="114" s="1"/>
  <c r="N32" i="114"/>
  <c r="N13" i="114"/>
  <c r="N21" i="114"/>
  <c r="T13" i="110" s="1"/>
  <c r="N16" i="114"/>
  <c r="T10" i="110" s="1"/>
  <c r="N19" i="114"/>
  <c r="T12" i="110" s="1"/>
  <c r="N18" i="114"/>
  <c r="T11" i="110" s="1"/>
  <c r="N26" i="114"/>
  <c r="N11" i="114"/>
  <c r="T9" i="110" s="1"/>
  <c r="N10" i="114"/>
  <c r="T8" i="110" s="1"/>
  <c r="N14" i="114"/>
  <c r="AM53" i="114"/>
  <c r="N20" i="114"/>
  <c r="N29" i="114"/>
  <c r="N27" i="114"/>
  <c r="T16" i="110" s="1"/>
  <c r="N30" i="114"/>
  <c r="N12" i="114"/>
  <c r="N34" i="114"/>
  <c r="N25" i="114"/>
  <c r="T15" i="110" s="1"/>
  <c r="N23" i="114"/>
  <c r="N17" i="114"/>
  <c r="N22" i="114"/>
  <c r="T14" i="110" s="1"/>
  <c r="N36" i="114"/>
  <c r="O13" i="114"/>
  <c r="AL74" i="114"/>
  <c r="AL67" i="114"/>
  <c r="AL54" i="114"/>
  <c r="C83" i="132"/>
  <c r="E6" i="94"/>
  <c r="E1569" i="48"/>
  <c r="E1553" i="48"/>
  <c r="C47" i="131"/>
  <c r="E1489" i="48"/>
  <c r="I4" i="128" s="1"/>
  <c r="E1539" i="48"/>
  <c r="E1870" i="48"/>
  <c r="E1936" i="48" s="1"/>
  <c r="B673" i="48"/>
  <c r="E1589" i="48"/>
  <c r="E1633" i="48" s="1"/>
  <c r="E1706" i="48"/>
  <c r="E1582" i="48"/>
  <c r="E89" i="128" s="1"/>
  <c r="E1567" i="48"/>
  <c r="E1551" i="48"/>
  <c r="E1537" i="48"/>
  <c r="E1508" i="48"/>
  <c r="E61" i="128" s="1"/>
  <c r="E1504" i="48"/>
  <c r="F1504" i="48" s="1"/>
  <c r="G1504" i="48" s="1"/>
  <c r="E1493" i="48"/>
  <c r="F1493" i="48" s="1"/>
  <c r="G1493" i="48" s="1"/>
  <c r="E1532" i="48"/>
  <c r="F1532" i="48" s="1"/>
  <c r="G1532" i="48" s="1"/>
  <c r="E1527" i="48"/>
  <c r="E12" i="128" s="1"/>
  <c r="I12" i="128" s="1"/>
  <c r="J12" i="128" s="1"/>
  <c r="E1638" i="48"/>
  <c r="F1638" i="48" s="1"/>
  <c r="G1638" i="48" s="1"/>
  <c r="E1585" i="48"/>
  <c r="E1631" i="48" s="1"/>
  <c r="E1581" i="48"/>
  <c r="E1565" i="48"/>
  <c r="E1549" i="48"/>
  <c r="E1572" i="48"/>
  <c r="E1625" i="48" s="1"/>
  <c r="E1579" i="48"/>
  <c r="E1563" i="48"/>
  <c r="E1507" i="48"/>
  <c r="E60" i="128" s="1"/>
  <c r="E1503" i="48"/>
  <c r="E56" i="128" s="1"/>
  <c r="E1535" i="48"/>
  <c r="E52" i="128" s="1"/>
  <c r="E1521" i="48"/>
  <c r="E32" i="128" s="1"/>
  <c r="E1526" i="48"/>
  <c r="E11" i="128" s="1"/>
  <c r="I11" i="128" s="1"/>
  <c r="J11" i="128" s="1"/>
  <c r="E1562" i="48"/>
  <c r="E1620" i="48" s="1"/>
  <c r="E1590" i="48"/>
  <c r="E1577" i="48"/>
  <c r="E1561" i="48"/>
  <c r="E1547" i="48"/>
  <c r="E1558" i="48"/>
  <c r="E1618" i="48" s="1"/>
  <c r="E1588" i="48"/>
  <c r="E1575" i="48"/>
  <c r="E1559" i="48"/>
  <c r="E1545" i="48"/>
  <c r="E1506" i="48"/>
  <c r="F1506" i="48" s="1"/>
  <c r="G1506" i="48" s="1"/>
  <c r="E1502" i="48"/>
  <c r="E55" i="128" s="1"/>
  <c r="E1522" i="48"/>
  <c r="E33" i="128" s="1"/>
  <c r="E1529" i="48"/>
  <c r="F1529" i="48" s="1"/>
  <c r="G1529" i="48" s="1"/>
  <c r="E1525" i="48"/>
  <c r="F1525" i="48" s="1"/>
  <c r="G1525" i="48" s="1"/>
  <c r="E1635" i="48"/>
  <c r="F1635" i="48" s="1"/>
  <c r="G1635" i="48" s="1"/>
  <c r="E1544" i="48"/>
  <c r="E1611" i="48" s="1"/>
  <c r="E1586" i="48"/>
  <c r="E1573" i="48"/>
  <c r="E1557" i="48"/>
  <c r="E1543" i="48"/>
  <c r="E1584" i="48"/>
  <c r="E1571" i="48"/>
  <c r="E1555" i="48"/>
  <c r="E1541" i="48"/>
  <c r="E1505" i="48"/>
  <c r="E58" i="128" s="1"/>
  <c r="E1494" i="48"/>
  <c r="E39" i="128" s="1"/>
  <c r="E1520" i="48"/>
  <c r="E79" i="128" s="1"/>
  <c r="I79" i="128" s="1"/>
  <c r="J79" i="128" s="1"/>
  <c r="E1523" i="48"/>
  <c r="E62" i="128" s="1"/>
  <c r="I62" i="128" s="1"/>
  <c r="J62" i="128" s="1"/>
  <c r="E13" i="128"/>
  <c r="I13" i="128" s="1"/>
  <c r="J13" i="128" s="1"/>
  <c r="E516" i="48"/>
  <c r="I5" i="122" s="1"/>
  <c r="J5" i="122" s="1"/>
  <c r="E515" i="48"/>
  <c r="I4" i="122" s="1"/>
  <c r="U2" i="139"/>
  <c r="V2" i="139"/>
  <c r="M2" i="138"/>
  <c r="N2" i="139"/>
  <c r="O2" i="139"/>
  <c r="E1692" i="48"/>
  <c r="F1692" i="48" s="1"/>
  <c r="G1692" i="48" s="1"/>
  <c r="B4" i="111"/>
  <c r="E1655" i="48"/>
  <c r="F1655" i="48" s="1"/>
  <c r="G1655" i="48" s="1"/>
  <c r="E1738" i="48"/>
  <c r="E1789" i="48" s="1"/>
  <c r="E1731" i="48"/>
  <c r="E1722" i="48"/>
  <c r="E1781" i="48" s="1"/>
  <c r="B835" i="48"/>
  <c r="C49" i="131"/>
  <c r="B1646" i="48"/>
  <c r="B4" i="125"/>
  <c r="C40" i="131"/>
  <c r="C62" i="131"/>
  <c r="C32" i="131"/>
  <c r="F1663" i="48"/>
  <c r="G1663" i="48" s="1"/>
  <c r="E1895" i="48"/>
  <c r="E1886" i="48"/>
  <c r="E1944" i="48" s="1"/>
  <c r="E1879" i="48"/>
  <c r="E1868" i="48"/>
  <c r="E1935" i="48" s="1"/>
  <c r="E1715" i="48"/>
  <c r="E1667" i="48"/>
  <c r="E58" i="129" s="1"/>
  <c r="E1800" i="48"/>
  <c r="F1800" i="48" s="1"/>
  <c r="G1800" i="48" s="1"/>
  <c r="E1704" i="48"/>
  <c r="E1772" i="48" s="1"/>
  <c r="E1813" i="48"/>
  <c r="I4" i="130" s="1"/>
  <c r="E1684" i="48"/>
  <c r="F1684" i="48" s="1"/>
  <c r="G1684" i="48" s="1"/>
  <c r="E1865" i="48"/>
  <c r="E1651" i="48"/>
  <c r="I4" i="129" s="1"/>
  <c r="E1701" i="48"/>
  <c r="E1659" i="48"/>
  <c r="F1659" i="48" s="1"/>
  <c r="G1659" i="48" s="1"/>
  <c r="E1688" i="48"/>
  <c r="F1688" i="48" s="1"/>
  <c r="G1688" i="48" s="1"/>
  <c r="E1682" i="48"/>
  <c r="F1682" i="48" s="1"/>
  <c r="G1682" i="48" s="1"/>
  <c r="K2" i="138"/>
  <c r="C18" i="140"/>
  <c r="B2671" i="48"/>
  <c r="C18" i="145"/>
  <c r="B2670" i="48"/>
  <c r="B2417" i="48"/>
  <c r="B2185" i="48"/>
  <c r="C18" i="142"/>
  <c r="B2741" i="48"/>
  <c r="B2184" i="48"/>
  <c r="B2579" i="48"/>
  <c r="B2509" i="48"/>
  <c r="B2347" i="48"/>
  <c r="C18" i="143"/>
  <c r="B2508" i="48"/>
  <c r="B2346" i="48"/>
  <c r="B2255" i="48"/>
  <c r="C18" i="144"/>
  <c r="C22" i="140"/>
  <c r="B2679" i="48"/>
  <c r="C22" i="145"/>
  <c r="B2678" i="48"/>
  <c r="B2259" i="48"/>
  <c r="B2193" i="48"/>
  <c r="C22" i="142"/>
  <c r="B2583" i="48"/>
  <c r="B2421" i="48"/>
  <c r="B2192" i="48"/>
  <c r="B2517" i="48"/>
  <c r="B2355" i="48"/>
  <c r="C22" i="144"/>
  <c r="C22" i="143"/>
  <c r="B2516" i="48"/>
  <c r="B2354" i="48"/>
  <c r="B2745" i="48"/>
  <c r="C90" i="140"/>
  <c r="C90" i="142"/>
  <c r="B2602" i="48"/>
  <c r="B2440" i="48"/>
  <c r="B2232" i="48"/>
  <c r="B2231" i="48"/>
  <c r="C91" i="143"/>
  <c r="B2556" i="48"/>
  <c r="B2394" i="48"/>
  <c r="B2717" i="48"/>
  <c r="B2555" i="48"/>
  <c r="B2393" i="48"/>
  <c r="C90" i="144"/>
  <c r="B2764" i="48"/>
  <c r="B2278" i="48"/>
  <c r="C90" i="145"/>
  <c r="B2718" i="48"/>
  <c r="C82" i="140"/>
  <c r="C82" i="145"/>
  <c r="B2594" i="48"/>
  <c r="B2432" i="48"/>
  <c r="B2701" i="48"/>
  <c r="C82" i="142"/>
  <c r="B2700" i="48"/>
  <c r="B2376" i="48"/>
  <c r="B2215" i="48"/>
  <c r="C83" i="143"/>
  <c r="B2756" i="48"/>
  <c r="B2214" i="48"/>
  <c r="B2539" i="48"/>
  <c r="B2377" i="48"/>
  <c r="B2270" i="48"/>
  <c r="C82" i="144"/>
  <c r="B2538" i="48"/>
  <c r="D2" i="139"/>
  <c r="B2752" i="48"/>
  <c r="C63" i="142"/>
  <c r="B2693" i="48"/>
  <c r="B2692" i="48"/>
  <c r="B2266" i="48"/>
  <c r="C63" i="143"/>
  <c r="B2207" i="48"/>
  <c r="B2590" i="48"/>
  <c r="B2428" i="48"/>
  <c r="B2206" i="48"/>
  <c r="B2368" i="48"/>
  <c r="C63" i="145"/>
  <c r="C63" i="144"/>
  <c r="B2531" i="48"/>
  <c r="B2369" i="48"/>
  <c r="B2530" i="48"/>
  <c r="C21" i="140"/>
  <c r="B2744" i="48"/>
  <c r="B2514" i="48"/>
  <c r="C21" i="144"/>
  <c r="B2352" i="48"/>
  <c r="B2677" i="48"/>
  <c r="B2258" i="48"/>
  <c r="C21" i="145"/>
  <c r="B2676" i="48"/>
  <c r="B2582" i="48"/>
  <c r="B2420" i="48"/>
  <c r="B2191" i="48"/>
  <c r="C21" i="142"/>
  <c r="B2190" i="48"/>
  <c r="C21" i="143"/>
  <c r="B2515" i="48"/>
  <c r="B2353" i="48"/>
  <c r="C88" i="140"/>
  <c r="C88" i="144"/>
  <c r="B2552" i="48"/>
  <c r="B2390" i="48"/>
  <c r="B2391" i="48"/>
  <c r="B2601" i="48"/>
  <c r="B2439" i="48"/>
  <c r="C88" i="145"/>
  <c r="B2228" i="48"/>
  <c r="B2553" i="48"/>
  <c r="B2277" i="48"/>
  <c r="B2715" i="48"/>
  <c r="C88" i="142"/>
  <c r="B2714" i="48"/>
  <c r="B2763" i="48"/>
  <c r="B2229" i="48"/>
  <c r="C89" i="143"/>
  <c r="C80" i="140"/>
  <c r="B2268" i="48"/>
  <c r="B2210" i="48"/>
  <c r="C80" i="144"/>
  <c r="B2535" i="48"/>
  <c r="B2373" i="48"/>
  <c r="B2211" i="48"/>
  <c r="B2592" i="48"/>
  <c r="B2534" i="48"/>
  <c r="B2430" i="48"/>
  <c r="B2372" i="48"/>
  <c r="C80" i="145"/>
  <c r="C81" i="143"/>
  <c r="C80" i="142"/>
  <c r="B2697" i="48"/>
  <c r="B2754" i="48"/>
  <c r="B2696" i="48"/>
  <c r="B2861" i="48"/>
  <c r="B1621" i="48"/>
  <c r="C35" i="140"/>
  <c r="B2528" i="48"/>
  <c r="B2366" i="48"/>
  <c r="C35" i="144"/>
  <c r="C35" i="145"/>
  <c r="B2751" i="48"/>
  <c r="B2529" i="48"/>
  <c r="C35" i="142"/>
  <c r="B2691" i="48"/>
  <c r="B2265" i="48"/>
  <c r="B2690" i="48"/>
  <c r="B2367" i="48"/>
  <c r="C35" i="143"/>
  <c r="B2589" i="48"/>
  <c r="B2427" i="48"/>
  <c r="B2205" i="48"/>
  <c r="B2204" i="48"/>
  <c r="C20" i="140"/>
  <c r="B2513" i="48"/>
  <c r="B2351" i="48"/>
  <c r="C20" i="143"/>
  <c r="B2743" i="48"/>
  <c r="B2512" i="48"/>
  <c r="B2350" i="48"/>
  <c r="C20" i="142"/>
  <c r="C20" i="144"/>
  <c r="B2257" i="48"/>
  <c r="B2675" i="48"/>
  <c r="B2189" i="48"/>
  <c r="C20" i="145"/>
  <c r="B2674" i="48"/>
  <c r="B2581" i="48"/>
  <c r="B2419" i="48"/>
  <c r="B2188" i="48"/>
  <c r="C87" i="140"/>
  <c r="C88" i="143"/>
  <c r="B2276" i="48"/>
  <c r="B2226" i="48"/>
  <c r="B2551" i="48"/>
  <c r="B2389" i="48"/>
  <c r="C87" i="144"/>
  <c r="B2600" i="48"/>
  <c r="B2550" i="48"/>
  <c r="B2438" i="48"/>
  <c r="B2388" i="48"/>
  <c r="C87" i="145"/>
  <c r="B2713" i="48"/>
  <c r="C87" i="142"/>
  <c r="B2762" i="48"/>
  <c r="B2712" i="48"/>
  <c r="B2227" i="48"/>
  <c r="C34" i="111"/>
  <c r="B2694" i="48"/>
  <c r="C34" i="144"/>
  <c r="B2267" i="48"/>
  <c r="B2209" i="48"/>
  <c r="C34" i="143"/>
  <c r="B2208" i="48"/>
  <c r="C34" i="145"/>
  <c r="B2591" i="48"/>
  <c r="B2533" i="48"/>
  <c r="B2429" i="48"/>
  <c r="B2371" i="48"/>
  <c r="B2753" i="48"/>
  <c r="B2532" i="48"/>
  <c r="B2370" i="48"/>
  <c r="B2695" i="48"/>
  <c r="C34" i="142"/>
  <c r="B3023" i="48"/>
  <c r="B1945" i="48"/>
  <c r="C27" i="140"/>
  <c r="B2202" i="48"/>
  <c r="B2203" i="48"/>
  <c r="C27" i="142"/>
  <c r="B2527" i="48"/>
  <c r="B2365" i="48"/>
  <c r="B2750" i="48"/>
  <c r="B2526" i="48"/>
  <c r="B2364" i="48"/>
  <c r="C27" i="143"/>
  <c r="C27" i="145"/>
  <c r="B2264" i="48"/>
  <c r="C27" i="144"/>
  <c r="B2689" i="48"/>
  <c r="B2688" i="48"/>
  <c r="B2588" i="48"/>
  <c r="B2426" i="48"/>
  <c r="C19" i="140"/>
  <c r="B2187" i="48"/>
  <c r="C19" i="142"/>
  <c r="B2186" i="48"/>
  <c r="B2418" i="48"/>
  <c r="B2742" i="48"/>
  <c r="B2511" i="48"/>
  <c r="B2349" i="48"/>
  <c r="C19" i="143"/>
  <c r="B2510" i="48"/>
  <c r="B2348" i="48"/>
  <c r="B2672" i="48"/>
  <c r="B2256" i="48"/>
  <c r="C19" i="144"/>
  <c r="C19" i="145"/>
  <c r="B2673" i="48"/>
  <c r="B2580" i="48"/>
  <c r="C87" i="132"/>
  <c r="C86" i="142"/>
  <c r="B2710" i="48"/>
  <c r="B2275" i="48"/>
  <c r="B2225" i="48"/>
  <c r="B2711" i="48"/>
  <c r="C87" i="143"/>
  <c r="B2224" i="48"/>
  <c r="B2599" i="48"/>
  <c r="B2549" i="48"/>
  <c r="B2437" i="48"/>
  <c r="B2387" i="48"/>
  <c r="C86" i="144"/>
  <c r="B2548" i="48"/>
  <c r="B2386" i="48"/>
  <c r="B2761" i="48"/>
  <c r="C86" i="145"/>
  <c r="B159" i="48"/>
  <c r="B2917" i="48"/>
  <c r="C26" i="140"/>
  <c r="B2686" i="48"/>
  <c r="C26" i="145"/>
  <c r="B2201" i="48"/>
  <c r="B2200" i="48"/>
  <c r="C26" i="144"/>
  <c r="B2587" i="48"/>
  <c r="C26" i="142"/>
  <c r="B2749" i="48"/>
  <c r="B2525" i="48"/>
  <c r="B2363" i="48"/>
  <c r="B2425" i="48"/>
  <c r="B2524" i="48"/>
  <c r="B2362" i="48"/>
  <c r="C26" i="143"/>
  <c r="B2263" i="48"/>
  <c r="B2687" i="48"/>
  <c r="C36" i="140"/>
  <c r="B2768" i="48"/>
  <c r="B2240" i="48"/>
  <c r="B2725" i="48"/>
  <c r="C36" i="142"/>
  <c r="B2239" i="48"/>
  <c r="B2564" i="48"/>
  <c r="B2402" i="48"/>
  <c r="B2282" i="48"/>
  <c r="C36" i="143"/>
  <c r="B2563" i="48"/>
  <c r="B2401" i="48"/>
  <c r="B2606" i="48"/>
  <c r="B2444" i="48"/>
  <c r="C36" i="144"/>
  <c r="B2726" i="48"/>
  <c r="C36" i="145"/>
  <c r="C85" i="140"/>
  <c r="C85" i="145"/>
  <c r="B2760" i="48"/>
  <c r="B2709" i="48"/>
  <c r="C85" i="142"/>
  <c r="B2708" i="48"/>
  <c r="B2274" i="48"/>
  <c r="B2223" i="48"/>
  <c r="B2384" i="48"/>
  <c r="C86" i="143"/>
  <c r="B2598" i="48"/>
  <c r="B2436" i="48"/>
  <c r="B2222" i="48"/>
  <c r="B2547" i="48"/>
  <c r="B2385" i="48"/>
  <c r="C85" i="144"/>
  <c r="B2546" i="48"/>
  <c r="B322" i="48"/>
  <c r="H2" i="138"/>
  <c r="C25" i="140"/>
  <c r="B2586" i="48"/>
  <c r="B2424" i="48"/>
  <c r="C25" i="143"/>
  <c r="C25" i="144"/>
  <c r="B2685" i="48"/>
  <c r="B2684" i="48"/>
  <c r="C25" i="145"/>
  <c r="B2199" i="48"/>
  <c r="B2262" i="48"/>
  <c r="B2748" i="48"/>
  <c r="B2198" i="48"/>
  <c r="B2522" i="48"/>
  <c r="C25" i="142"/>
  <c r="B2523" i="48"/>
  <c r="B2361" i="48"/>
  <c r="B2360" i="48"/>
  <c r="C53" i="140"/>
  <c r="B2724" i="48"/>
  <c r="C53" i="145"/>
  <c r="B2767" i="48"/>
  <c r="B2723" i="48"/>
  <c r="C53" i="144"/>
  <c r="B2238" i="48"/>
  <c r="C53" i="142"/>
  <c r="B2281" i="48"/>
  <c r="B2237" i="48"/>
  <c r="B2562" i="48"/>
  <c r="B2400" i="48"/>
  <c r="C53" i="143"/>
  <c r="B2605" i="48"/>
  <c r="B2561" i="48"/>
  <c r="B2443" i="48"/>
  <c r="B2399" i="48"/>
  <c r="C84" i="140"/>
  <c r="C84" i="144"/>
  <c r="B2544" i="48"/>
  <c r="B2382" i="48"/>
  <c r="B2759" i="48"/>
  <c r="B2220" i="48"/>
  <c r="C84" i="145"/>
  <c r="B2383" i="48"/>
  <c r="B2707" i="48"/>
  <c r="B2273" i="48"/>
  <c r="C84" i="142"/>
  <c r="B2706" i="48"/>
  <c r="B2597" i="48"/>
  <c r="B2435" i="48"/>
  <c r="B2221" i="48"/>
  <c r="B2545" i="48"/>
  <c r="C85" i="143"/>
  <c r="B1783" i="48"/>
  <c r="B2536" i="48"/>
  <c r="B2374" i="48"/>
  <c r="B2593" i="48"/>
  <c r="B2431" i="48"/>
  <c r="B2699" i="48"/>
  <c r="B2537" i="48"/>
  <c r="B2698" i="48"/>
  <c r="B2755" i="48"/>
  <c r="B2213" i="48"/>
  <c r="B2212" i="48"/>
  <c r="B2375" i="48"/>
  <c r="B2269" i="48"/>
  <c r="G2" i="138"/>
  <c r="I2" i="139"/>
  <c r="C24" i="140"/>
  <c r="B2520" i="48"/>
  <c r="B2358" i="48"/>
  <c r="B2196" i="48"/>
  <c r="B2261" i="48"/>
  <c r="C24" i="143"/>
  <c r="B2585" i="48"/>
  <c r="B2423" i="48"/>
  <c r="C24" i="142"/>
  <c r="C24" i="144"/>
  <c r="B2683" i="48"/>
  <c r="B2359" i="48"/>
  <c r="B2682" i="48"/>
  <c r="B2521" i="48"/>
  <c r="C24" i="145"/>
  <c r="B2747" i="48"/>
  <c r="B2197" i="48"/>
  <c r="C43" i="140"/>
  <c r="B2559" i="48"/>
  <c r="C43" i="144"/>
  <c r="B2766" i="48"/>
  <c r="B2722" i="48"/>
  <c r="C43" i="145"/>
  <c r="B2721" i="48"/>
  <c r="B2280" i="48"/>
  <c r="B2236" i="48"/>
  <c r="C43" i="143"/>
  <c r="C43" i="142"/>
  <c r="B2235" i="48"/>
  <c r="B2398" i="48"/>
  <c r="B2604" i="48"/>
  <c r="B2560" i="48"/>
  <c r="B2442" i="48"/>
  <c r="B2397" i="48"/>
  <c r="C83" i="140"/>
  <c r="C84" i="143"/>
  <c r="B2218" i="48"/>
  <c r="B2434" i="48"/>
  <c r="B2543" i="48"/>
  <c r="B2381" i="48"/>
  <c r="C83" i="144"/>
  <c r="B2758" i="48"/>
  <c r="B2542" i="48"/>
  <c r="B2380" i="48"/>
  <c r="C83" i="145"/>
  <c r="B2272" i="48"/>
  <c r="B2219" i="48"/>
  <c r="B2705" i="48"/>
  <c r="C83" i="142"/>
  <c r="B2704" i="48"/>
  <c r="B2596" i="48"/>
  <c r="B972" i="48"/>
  <c r="F2" i="139"/>
  <c r="J2" i="138"/>
  <c r="C23" i="140"/>
  <c r="B2260" i="48"/>
  <c r="B2195" i="48"/>
  <c r="C23" i="145"/>
  <c r="C23" i="142"/>
  <c r="B2194" i="48"/>
  <c r="B2584" i="48"/>
  <c r="B2519" i="48"/>
  <c r="B2422" i="48"/>
  <c r="B2357" i="48"/>
  <c r="C23" i="143"/>
  <c r="B2518" i="48"/>
  <c r="B2356" i="48"/>
  <c r="C23" i="144"/>
  <c r="B2746" i="48"/>
  <c r="B2681" i="48"/>
  <c r="B2680" i="48"/>
  <c r="C42" i="140"/>
  <c r="B2558" i="48"/>
  <c r="B2396" i="48"/>
  <c r="B2234" i="48"/>
  <c r="B2603" i="48"/>
  <c r="C42" i="143"/>
  <c r="B2557" i="48"/>
  <c r="B2395" i="48"/>
  <c r="B2233" i="48"/>
  <c r="C42" i="144"/>
  <c r="B2765" i="48"/>
  <c r="C42" i="142"/>
  <c r="B2720" i="48"/>
  <c r="C42" i="145"/>
  <c r="B2719" i="48"/>
  <c r="B2279" i="48"/>
  <c r="B2441" i="48"/>
  <c r="C28" i="140"/>
  <c r="C28" i="142"/>
  <c r="B2702" i="48"/>
  <c r="B2217" i="48"/>
  <c r="C28" i="143"/>
  <c r="B2216" i="48"/>
  <c r="B2433" i="48"/>
  <c r="B2757" i="48"/>
  <c r="B2541" i="48"/>
  <c r="B2379" i="48"/>
  <c r="C28" i="144"/>
  <c r="B2540" i="48"/>
  <c r="B2378" i="48"/>
  <c r="B2271" i="48"/>
  <c r="B2595" i="48"/>
  <c r="C28" i="145"/>
  <c r="B2703" i="48"/>
  <c r="B1296" i="48"/>
  <c r="E2" i="139"/>
  <c r="F2774" i="48"/>
  <c r="G2774" i="48" s="1"/>
  <c r="F2668" i="48"/>
  <c r="G2668" i="48" s="1"/>
  <c r="F2659" i="48"/>
  <c r="G2659" i="48" s="1"/>
  <c r="F2652" i="48"/>
  <c r="G2652" i="48" s="1"/>
  <c r="F2642" i="48"/>
  <c r="G2642" i="48" s="1"/>
  <c r="F2635" i="48"/>
  <c r="G2635" i="48" s="1"/>
  <c r="F2663" i="48"/>
  <c r="G2663" i="48" s="1"/>
  <c r="F2654" i="48"/>
  <c r="G2654" i="48" s="1"/>
  <c r="F2770" i="48"/>
  <c r="G2770" i="48" s="1"/>
  <c r="F2666" i="48"/>
  <c r="G2666" i="48" s="1"/>
  <c r="F2657" i="48"/>
  <c r="G2657" i="48" s="1"/>
  <c r="F2640" i="48"/>
  <c r="G2640" i="48" s="1"/>
  <c r="F2633" i="48"/>
  <c r="G2633" i="48" s="1"/>
  <c r="F2656" i="48"/>
  <c r="G2656" i="48" s="1"/>
  <c r="F2664" i="48"/>
  <c r="G2664" i="48" s="1"/>
  <c r="F2655" i="48"/>
  <c r="G2655" i="48" s="1"/>
  <c r="F2638" i="48"/>
  <c r="G2638" i="48" s="1"/>
  <c r="F2631" i="48"/>
  <c r="G2631" i="48" s="1"/>
  <c r="F2629" i="48"/>
  <c r="G2629" i="48" s="1"/>
  <c r="F2627" i="48"/>
  <c r="G2627" i="48" s="1"/>
  <c r="F2661" i="48"/>
  <c r="G2661" i="48" s="1"/>
  <c r="F2772" i="48"/>
  <c r="G2772" i="48" s="1"/>
  <c r="F2669" i="48"/>
  <c r="G2669" i="48" s="1"/>
  <c r="F2662" i="48"/>
  <c r="G2662" i="48" s="1"/>
  <c r="F2653" i="48"/>
  <c r="G2653" i="48" s="1"/>
  <c r="F2636" i="48"/>
  <c r="G2636" i="48" s="1"/>
  <c r="F2639" i="48"/>
  <c r="G2639" i="48" s="1"/>
  <c r="F2628" i="48"/>
  <c r="G2628" i="48" s="1"/>
  <c r="F2716" i="48"/>
  <c r="G2716" i="48" s="1"/>
  <c r="F2769" i="48"/>
  <c r="G2769" i="48" s="1"/>
  <c r="F2667" i="48"/>
  <c r="G2667" i="48" s="1"/>
  <c r="F2660" i="48"/>
  <c r="G2660" i="48" s="1"/>
  <c r="F2634" i="48"/>
  <c r="G2634" i="48" s="1"/>
  <c r="F2771" i="48"/>
  <c r="G2771" i="48" s="1"/>
  <c r="F2665" i="48"/>
  <c r="G2665" i="48" s="1"/>
  <c r="F2658" i="48"/>
  <c r="G2658" i="48" s="1"/>
  <c r="F2641" i="48"/>
  <c r="G2641" i="48" s="1"/>
  <c r="F2632" i="48"/>
  <c r="G2632" i="48" s="1"/>
  <c r="F2630" i="48"/>
  <c r="G2630" i="48" s="1"/>
  <c r="F2637" i="48"/>
  <c r="G2637" i="48" s="1"/>
  <c r="E1744" i="48"/>
  <c r="E89" i="129" s="1"/>
  <c r="E1729" i="48"/>
  <c r="E1713" i="48"/>
  <c r="E1699" i="48"/>
  <c r="E1670" i="48"/>
  <c r="E61" i="129" s="1"/>
  <c r="E1754" i="48"/>
  <c r="E1736" i="48"/>
  <c r="E1788" i="48" s="1"/>
  <c r="E1720" i="48"/>
  <c r="E1780" i="48" s="1"/>
  <c r="E1702" i="48"/>
  <c r="E1771" i="48" s="1"/>
  <c r="B1808" i="48"/>
  <c r="E1743" i="48"/>
  <c r="E1727" i="48"/>
  <c r="E1711" i="48"/>
  <c r="E1666" i="48"/>
  <c r="F1666" i="48" s="1"/>
  <c r="G1666" i="48" s="1"/>
  <c r="E1662" i="48"/>
  <c r="F1662" i="48" s="1"/>
  <c r="G1662" i="48" s="1"/>
  <c r="E1658" i="48"/>
  <c r="F1658" i="48" s="1"/>
  <c r="G1658" i="48" s="1"/>
  <c r="E1697" i="48"/>
  <c r="F1697" i="48" s="1"/>
  <c r="G1697" i="48" s="1"/>
  <c r="E1681" i="48"/>
  <c r="F1681" i="48" s="1"/>
  <c r="G1681" i="48" s="1"/>
  <c r="E1685" i="48"/>
  <c r="F1685" i="48" s="1"/>
  <c r="G1685" i="48" s="1"/>
  <c r="E1691" i="48"/>
  <c r="F1691" i="48" s="1"/>
  <c r="G1691" i="48" s="1"/>
  <c r="E1687" i="48"/>
  <c r="F1687" i="48" s="1"/>
  <c r="G1687" i="48" s="1"/>
  <c r="E1799" i="48"/>
  <c r="F1799" i="48" s="1"/>
  <c r="G1799" i="48" s="1"/>
  <c r="E1751" i="48"/>
  <c r="E1795" i="48" s="1"/>
  <c r="E1734" i="48"/>
  <c r="E1787" i="48" s="1"/>
  <c r="E1718" i="48"/>
  <c r="E1779" i="48" s="1"/>
  <c r="E1700" i="48"/>
  <c r="E1770" i="48" s="1"/>
  <c r="E1741" i="48"/>
  <c r="E1725" i="48"/>
  <c r="E1749" i="48"/>
  <c r="E1794" i="48" s="1"/>
  <c r="E1732" i="48"/>
  <c r="E1786" i="48" s="1"/>
  <c r="E1714" i="48"/>
  <c r="E1777" i="48" s="1"/>
  <c r="E1698" i="48"/>
  <c r="E1769" i="48" s="1"/>
  <c r="E1752" i="48"/>
  <c r="E1739" i="48"/>
  <c r="E1723" i="48"/>
  <c r="E1709" i="48"/>
  <c r="E1669" i="48"/>
  <c r="E60" i="129" s="1"/>
  <c r="E1665" i="48"/>
  <c r="E56" i="129" s="1"/>
  <c r="E1661" i="48"/>
  <c r="E49" i="129" s="1"/>
  <c r="E1657" i="48"/>
  <c r="E45" i="129" s="1"/>
  <c r="E1696" i="48"/>
  <c r="E41" i="129" s="1"/>
  <c r="E1680" i="48"/>
  <c r="E77" i="129" s="1"/>
  <c r="I77" i="129" s="1"/>
  <c r="J77" i="129" s="1"/>
  <c r="E1694" i="48"/>
  <c r="E17" i="129" s="1"/>
  <c r="I17" i="129" s="1"/>
  <c r="J17" i="129" s="1"/>
  <c r="E13" i="129"/>
  <c r="I13" i="129" s="1"/>
  <c r="J13" i="129" s="1"/>
  <c r="E1686" i="48"/>
  <c r="E9" i="129" s="1"/>
  <c r="I9" i="129" s="1"/>
  <c r="E1798" i="48"/>
  <c r="F1798" i="48" s="1"/>
  <c r="G1798" i="48" s="1"/>
  <c r="E1747" i="48"/>
  <c r="E1793" i="48" s="1"/>
  <c r="E1730" i="48"/>
  <c r="E1785" i="48" s="1"/>
  <c r="E1712" i="48"/>
  <c r="E1776" i="48" s="1"/>
  <c r="C41" i="131"/>
  <c r="E1750" i="48"/>
  <c r="E1737" i="48"/>
  <c r="E1721" i="48"/>
  <c r="E1707" i="48"/>
  <c r="E1745" i="48"/>
  <c r="E1792" i="48" s="1"/>
  <c r="E1728" i="48"/>
  <c r="E1784" i="48" s="1"/>
  <c r="E1710" i="48"/>
  <c r="E1775" i="48" s="1"/>
  <c r="E1748" i="48"/>
  <c r="E1735" i="48"/>
  <c r="E1719" i="48"/>
  <c r="E1705" i="48"/>
  <c r="E1668" i="48"/>
  <c r="E59" i="129" s="1"/>
  <c r="E1664" i="48"/>
  <c r="E55" i="129" s="1"/>
  <c r="E1660" i="48"/>
  <c r="F1660" i="48" s="1"/>
  <c r="G1660" i="48" s="1"/>
  <c r="E1656" i="48"/>
  <c r="E39" i="129" s="1"/>
  <c r="E1695" i="48"/>
  <c r="F1695" i="48" s="1"/>
  <c r="G1695" i="48" s="1"/>
  <c r="E1683" i="48"/>
  <c r="F1683" i="48" s="1"/>
  <c r="G1683" i="48" s="1"/>
  <c r="E1693" i="48"/>
  <c r="E16" i="129" s="1"/>
  <c r="I16" i="129" s="1"/>
  <c r="J16" i="129" s="1"/>
  <c r="E1689" i="48"/>
  <c r="F1689" i="48" s="1"/>
  <c r="G1689" i="48" s="1"/>
  <c r="E1802" i="48"/>
  <c r="F1802" i="48" s="1"/>
  <c r="G1802" i="48" s="1"/>
  <c r="E1797" i="48"/>
  <c r="F1797" i="48" s="1"/>
  <c r="G1797" i="48" s="1"/>
  <c r="E1742" i="48"/>
  <c r="E1791" i="48" s="1"/>
  <c r="E1726" i="48"/>
  <c r="E1783" i="48" s="1"/>
  <c r="E1708" i="48"/>
  <c r="E1774" i="48" s="1"/>
  <c r="F2612" i="48"/>
  <c r="G2612" i="48" s="1"/>
  <c r="F2506" i="48"/>
  <c r="G2506" i="48" s="1"/>
  <c r="F2497" i="48"/>
  <c r="G2497" i="48" s="1"/>
  <c r="F2490" i="48"/>
  <c r="G2490" i="48" s="1"/>
  <c r="F2480" i="48"/>
  <c r="G2480" i="48" s="1"/>
  <c r="F2473" i="48"/>
  <c r="G2473" i="48" s="1"/>
  <c r="F2608" i="48"/>
  <c r="G2608" i="48" s="1"/>
  <c r="F2504" i="48"/>
  <c r="G2504" i="48" s="1"/>
  <c r="F2495" i="48"/>
  <c r="G2495" i="48" s="1"/>
  <c r="F2478" i="48"/>
  <c r="G2478" i="48" s="1"/>
  <c r="F2471" i="48"/>
  <c r="G2471" i="48" s="1"/>
  <c r="F2502" i="48"/>
  <c r="G2502" i="48" s="1"/>
  <c r="F2493" i="48"/>
  <c r="G2493" i="48" s="1"/>
  <c r="F2476" i="48"/>
  <c r="G2476" i="48" s="1"/>
  <c r="F2469" i="48"/>
  <c r="G2469" i="48" s="1"/>
  <c r="F2467" i="48"/>
  <c r="G2467" i="48" s="1"/>
  <c r="F2465" i="48"/>
  <c r="G2465" i="48" s="1"/>
  <c r="F2610" i="48"/>
  <c r="G2610" i="48" s="1"/>
  <c r="F2507" i="48"/>
  <c r="G2507" i="48" s="1"/>
  <c r="F2500" i="48"/>
  <c r="G2500" i="48" s="1"/>
  <c r="F2491" i="48"/>
  <c r="G2491" i="48" s="1"/>
  <c r="F2474" i="48"/>
  <c r="G2474" i="48" s="1"/>
  <c r="F2499" i="48"/>
  <c r="G2499" i="48" s="1"/>
  <c r="F2607" i="48"/>
  <c r="G2607" i="48" s="1"/>
  <c r="F2505" i="48"/>
  <c r="G2505" i="48" s="1"/>
  <c r="F2498" i="48"/>
  <c r="G2498" i="48" s="1"/>
  <c r="F2472" i="48"/>
  <c r="G2472" i="48" s="1"/>
  <c r="F2554" i="48"/>
  <c r="G2554" i="48" s="1"/>
  <c r="F2492" i="48"/>
  <c r="G2492" i="48" s="1"/>
  <c r="F2503" i="48"/>
  <c r="G2503" i="48" s="1"/>
  <c r="F2496" i="48"/>
  <c r="G2496" i="48" s="1"/>
  <c r="F2479" i="48"/>
  <c r="G2479" i="48" s="1"/>
  <c r="F2470" i="48"/>
  <c r="G2470" i="48" s="1"/>
  <c r="F2475" i="48"/>
  <c r="G2475" i="48" s="1"/>
  <c r="F2609" i="48"/>
  <c r="G2609" i="48" s="1"/>
  <c r="F2501" i="48"/>
  <c r="G2501" i="48" s="1"/>
  <c r="F2494" i="48"/>
  <c r="G2494" i="48" s="1"/>
  <c r="F2477" i="48"/>
  <c r="G2477" i="48" s="1"/>
  <c r="F2468" i="48"/>
  <c r="G2468" i="48" s="1"/>
  <c r="F2466" i="48"/>
  <c r="G2466" i="48" s="1"/>
  <c r="E1746" i="48"/>
  <c r="E1733" i="48"/>
  <c r="E1717" i="48"/>
  <c r="E1703" i="48"/>
  <c r="E1740" i="48"/>
  <c r="E1790" i="48" s="1"/>
  <c r="E1724" i="48"/>
  <c r="E1782" i="48" s="1"/>
  <c r="F75" i="122"/>
  <c r="E1975" i="48"/>
  <c r="F2340" i="48"/>
  <c r="G2340" i="48" s="1"/>
  <c r="F2331" i="48"/>
  <c r="G2331" i="48" s="1"/>
  <c r="F2314" i="48"/>
  <c r="G2314" i="48" s="1"/>
  <c r="F2307" i="48"/>
  <c r="G2307" i="48" s="1"/>
  <c r="F2305" i="48"/>
  <c r="G2305" i="48" s="1"/>
  <c r="F2303" i="48"/>
  <c r="G2303" i="48" s="1"/>
  <c r="F2342" i="48"/>
  <c r="G2342" i="48" s="1"/>
  <c r="F2447" i="48"/>
  <c r="G2447" i="48" s="1"/>
  <c r="F2345" i="48"/>
  <c r="G2345" i="48" s="1"/>
  <c r="F2338" i="48"/>
  <c r="G2338" i="48" s="1"/>
  <c r="F2329" i="48"/>
  <c r="G2329" i="48" s="1"/>
  <c r="F2312" i="48"/>
  <c r="G2312" i="48" s="1"/>
  <c r="F2392" i="48"/>
  <c r="G2392" i="48" s="1"/>
  <c r="F2343" i="48"/>
  <c r="G2343" i="48" s="1"/>
  <c r="F2336" i="48"/>
  <c r="G2336" i="48" s="1"/>
  <c r="F2310" i="48"/>
  <c r="G2310" i="48" s="1"/>
  <c r="F2316" i="48"/>
  <c r="G2316" i="48" s="1"/>
  <c r="F2450" i="48"/>
  <c r="G2450" i="48" s="1"/>
  <c r="F2341" i="48"/>
  <c r="G2341" i="48" s="1"/>
  <c r="F2334" i="48"/>
  <c r="G2334" i="48" s="1"/>
  <c r="F2317" i="48"/>
  <c r="G2317" i="48" s="1"/>
  <c r="F2308" i="48"/>
  <c r="G2308" i="48" s="1"/>
  <c r="F2446" i="48"/>
  <c r="G2446" i="48" s="1"/>
  <c r="F2339" i="48"/>
  <c r="G2339" i="48" s="1"/>
  <c r="F2332" i="48"/>
  <c r="G2332" i="48" s="1"/>
  <c r="F2315" i="48"/>
  <c r="G2315" i="48" s="1"/>
  <c r="F2306" i="48"/>
  <c r="G2306" i="48" s="1"/>
  <c r="F2304" i="48"/>
  <c r="G2304" i="48" s="1"/>
  <c r="F2333" i="48"/>
  <c r="G2333" i="48" s="1"/>
  <c r="F2337" i="48"/>
  <c r="G2337" i="48" s="1"/>
  <c r="F2330" i="48"/>
  <c r="G2330" i="48" s="1"/>
  <c r="F2313" i="48"/>
  <c r="G2313" i="48" s="1"/>
  <c r="F2445" i="48"/>
  <c r="G2445" i="48" s="1"/>
  <c r="F2448" i="48"/>
  <c r="G2448" i="48" s="1"/>
  <c r="F2344" i="48"/>
  <c r="G2344" i="48" s="1"/>
  <c r="F2335" i="48"/>
  <c r="G2335" i="48" s="1"/>
  <c r="F2328" i="48"/>
  <c r="G2328" i="48" s="1"/>
  <c r="F2318" i="48"/>
  <c r="G2318" i="48" s="1"/>
  <c r="F2311" i="48"/>
  <c r="G2311" i="48" s="1"/>
  <c r="F2309" i="48"/>
  <c r="G2309" i="48" s="1"/>
  <c r="F2283" i="48"/>
  <c r="G2283" i="48" s="1"/>
  <c r="F2182" i="48"/>
  <c r="G2182" i="48" s="1"/>
  <c r="F2180" i="48"/>
  <c r="G2180" i="48" s="1"/>
  <c r="F2169" i="48"/>
  <c r="G2169" i="48" s="1"/>
  <c r="F2167" i="48"/>
  <c r="G2167" i="48" s="1"/>
  <c r="F2153" i="48"/>
  <c r="G2153" i="48" s="1"/>
  <c r="F2151" i="48"/>
  <c r="G2151" i="48" s="1"/>
  <c r="F2166" i="48"/>
  <c r="G2166" i="48" s="1"/>
  <c r="F2230" i="48"/>
  <c r="G2230" i="48" s="1"/>
  <c r="F2178" i="48"/>
  <c r="G2178" i="48" s="1"/>
  <c r="F2176" i="48"/>
  <c r="G2176" i="48" s="1"/>
  <c r="F2149" i="48"/>
  <c r="G2149" i="48" s="1"/>
  <c r="F2147" i="48"/>
  <c r="G2147" i="48" s="1"/>
  <c r="F2148" i="48"/>
  <c r="G2148" i="48" s="1"/>
  <c r="F2285" i="48"/>
  <c r="G2285" i="48" s="1"/>
  <c r="F2174" i="48"/>
  <c r="G2174" i="48" s="1"/>
  <c r="F2145" i="48"/>
  <c r="G2145" i="48" s="1"/>
  <c r="F2143" i="48"/>
  <c r="G2143" i="48" s="1"/>
  <c r="F2141" i="48"/>
  <c r="G2141" i="48" s="1"/>
  <c r="F2183" i="48"/>
  <c r="G2183" i="48" s="1"/>
  <c r="F2172" i="48"/>
  <c r="G2172" i="48" s="1"/>
  <c r="F2156" i="48"/>
  <c r="G2156" i="48" s="1"/>
  <c r="F2154" i="48"/>
  <c r="G2154" i="48" s="1"/>
  <c r="F2175" i="48"/>
  <c r="G2175" i="48" s="1"/>
  <c r="F2288" i="48"/>
  <c r="G2288" i="48" s="1"/>
  <c r="F2181" i="48"/>
  <c r="G2181" i="48" s="1"/>
  <c r="F2179" i="48"/>
  <c r="G2179" i="48" s="1"/>
  <c r="F2170" i="48"/>
  <c r="G2170" i="48" s="1"/>
  <c r="F2168" i="48"/>
  <c r="G2168" i="48" s="1"/>
  <c r="F2152" i="48"/>
  <c r="G2152" i="48" s="1"/>
  <c r="F2150" i="48"/>
  <c r="G2150" i="48" s="1"/>
  <c r="F2286" i="48"/>
  <c r="G2286" i="48" s="1"/>
  <c r="F2284" i="48"/>
  <c r="G2284" i="48" s="1"/>
  <c r="F2177" i="48"/>
  <c r="G2177" i="48" s="1"/>
  <c r="F2146" i="48"/>
  <c r="G2146" i="48" s="1"/>
  <c r="F2171" i="48"/>
  <c r="G2171" i="48" s="1"/>
  <c r="F2173" i="48"/>
  <c r="G2173" i="48" s="1"/>
  <c r="F2144" i="48"/>
  <c r="G2144" i="48" s="1"/>
  <c r="F2142" i="48"/>
  <c r="G2142" i="48" s="1"/>
  <c r="F2137" i="48"/>
  <c r="F2138" i="48" s="1"/>
  <c r="G2138" i="48" s="1"/>
  <c r="F2155" i="48"/>
  <c r="G2155" i="48" s="1"/>
  <c r="F75" i="121"/>
  <c r="B810" i="48"/>
  <c r="B2107" i="48"/>
  <c r="C34" i="140"/>
  <c r="C86" i="140"/>
  <c r="B1726" i="48"/>
  <c r="B3022" i="48"/>
  <c r="B1134" i="48"/>
  <c r="B3079" i="48"/>
  <c r="C19" i="132"/>
  <c r="C27" i="132"/>
  <c r="C28" i="132"/>
  <c r="C63" i="140"/>
  <c r="C63" i="111"/>
  <c r="C63" i="125"/>
  <c r="B485" i="48"/>
  <c r="C64" i="122"/>
  <c r="F30" i="132"/>
  <c r="F30" i="140"/>
  <c r="C92" i="132"/>
  <c r="C91" i="140"/>
  <c r="F92" i="132"/>
  <c r="F29" i="132"/>
  <c r="F29" i="140"/>
  <c r="F75" i="132"/>
  <c r="F74" i="140"/>
  <c r="C93" i="132"/>
  <c r="C92" i="140"/>
  <c r="F76" i="132"/>
  <c r="F75" i="140"/>
  <c r="F93" i="132"/>
  <c r="E1893" i="48"/>
  <c r="E1877" i="48"/>
  <c r="E1863" i="48"/>
  <c r="E1829" i="48"/>
  <c r="F1829" i="48" s="1"/>
  <c r="G1829" i="48" s="1"/>
  <c r="E1825" i="48"/>
  <c r="E51" i="130" s="1"/>
  <c r="E1821" i="48"/>
  <c r="E47" i="130" s="1"/>
  <c r="E1817" i="48"/>
  <c r="E38" i="130" s="1"/>
  <c r="E1844" i="48"/>
  <c r="F1844" i="48" s="1"/>
  <c r="G1844" i="48" s="1"/>
  <c r="E1846" i="48"/>
  <c r="F1846" i="48" s="1"/>
  <c r="G1846" i="48" s="1"/>
  <c r="E1854" i="48"/>
  <c r="E15" i="130" s="1"/>
  <c r="I15" i="130" s="1"/>
  <c r="J15" i="130" s="1"/>
  <c r="E1850" i="48"/>
  <c r="E11" i="130" s="1"/>
  <c r="I11" i="130" s="1"/>
  <c r="J11" i="130" s="1"/>
  <c r="E1962" i="48"/>
  <c r="F1962" i="48" s="1"/>
  <c r="G1962" i="48" s="1"/>
  <c r="E1900" i="48"/>
  <c r="E1951" i="48" s="1"/>
  <c r="E1884" i="48"/>
  <c r="E1943" i="48" s="1"/>
  <c r="E1866" i="48"/>
  <c r="E1934" i="48" s="1"/>
  <c r="E1906" i="48"/>
  <c r="E1891" i="48"/>
  <c r="E1875" i="48"/>
  <c r="E1861" i="48"/>
  <c r="E1832" i="48"/>
  <c r="E1916" i="48"/>
  <c r="E1898" i="48"/>
  <c r="E1950" i="48" s="1"/>
  <c r="E1882" i="48"/>
  <c r="E1942" i="48" s="1"/>
  <c r="E1864" i="48"/>
  <c r="E1933" i="48" s="1"/>
  <c r="E1905" i="48"/>
  <c r="E1889" i="48"/>
  <c r="E1873" i="48"/>
  <c r="E1828" i="48"/>
  <c r="E1824" i="48"/>
  <c r="E1820" i="48"/>
  <c r="F1820" i="48" s="1"/>
  <c r="G1820" i="48" s="1"/>
  <c r="E1859" i="48"/>
  <c r="E1843" i="48"/>
  <c r="E1847" i="48"/>
  <c r="E62" i="130" s="1"/>
  <c r="I62" i="130" s="1"/>
  <c r="J62" i="130" s="1"/>
  <c r="E1853" i="48"/>
  <c r="E14" i="130" s="1"/>
  <c r="I14" i="130" s="1"/>
  <c r="J14" i="130" s="1"/>
  <c r="E1849" i="48"/>
  <c r="E10" i="130" s="1"/>
  <c r="I10" i="130" s="1"/>
  <c r="J10" i="130" s="1"/>
  <c r="E1961" i="48"/>
  <c r="F1961" i="48" s="1"/>
  <c r="G1961" i="48" s="1"/>
  <c r="E1913" i="48"/>
  <c r="E1957" i="48" s="1"/>
  <c r="E1896" i="48"/>
  <c r="E1949" i="48" s="1"/>
  <c r="E1880" i="48"/>
  <c r="E1941" i="48" s="1"/>
  <c r="E1862" i="48"/>
  <c r="E1932" i="48" s="1"/>
  <c r="N5" i="110"/>
  <c r="M5" i="110" s="1"/>
  <c r="E1903" i="48"/>
  <c r="E1887" i="48"/>
  <c r="E1911" i="48"/>
  <c r="E1956" i="48" s="1"/>
  <c r="E1894" i="48"/>
  <c r="E1948" i="48" s="1"/>
  <c r="E1876" i="48"/>
  <c r="E1939" i="48" s="1"/>
  <c r="E1860" i="48"/>
  <c r="E1931" i="48" s="1"/>
  <c r="F2" i="138"/>
  <c r="E1914" i="48"/>
  <c r="E1901" i="48"/>
  <c r="E1885" i="48"/>
  <c r="E1871" i="48"/>
  <c r="E1831" i="48"/>
  <c r="E60" i="130" s="1"/>
  <c r="E1827" i="48"/>
  <c r="E1823" i="48"/>
  <c r="E1819" i="48"/>
  <c r="E1858" i="48"/>
  <c r="E1842" i="48"/>
  <c r="E1856" i="48"/>
  <c r="E1852" i="48"/>
  <c r="E1848" i="48"/>
  <c r="E1960" i="48"/>
  <c r="F1960" i="48" s="1"/>
  <c r="G1960" i="48" s="1"/>
  <c r="E1909" i="48"/>
  <c r="E1955" i="48" s="1"/>
  <c r="E1892" i="48"/>
  <c r="E1874" i="48"/>
  <c r="E1938" i="48" s="1"/>
  <c r="E87" i="130"/>
  <c r="E1912" i="48"/>
  <c r="E1899" i="48"/>
  <c r="E1883" i="48"/>
  <c r="E1869" i="48"/>
  <c r="E1907" i="48"/>
  <c r="E1954" i="48" s="1"/>
  <c r="E1890" i="48"/>
  <c r="E1946" i="48" s="1"/>
  <c r="E1872" i="48"/>
  <c r="E1937" i="48" s="1"/>
  <c r="G4" i="121"/>
  <c r="J4" i="121" s="1"/>
  <c r="E1910" i="48"/>
  <c r="E1897" i="48"/>
  <c r="E1881" i="48"/>
  <c r="E1867" i="48"/>
  <c r="E1830" i="48"/>
  <c r="E59" i="130" s="1"/>
  <c r="E1826" i="48"/>
  <c r="E55" i="130" s="1"/>
  <c r="E1822" i="48"/>
  <c r="E48" i="130" s="1"/>
  <c r="E1818" i="48"/>
  <c r="E39" i="130" s="1"/>
  <c r="E1857" i="48"/>
  <c r="E40" i="130" s="1"/>
  <c r="E1845" i="48"/>
  <c r="E32" i="130" s="1"/>
  <c r="E1855" i="48"/>
  <c r="E16" i="130" s="1"/>
  <c r="I16" i="130" s="1"/>
  <c r="J16" i="130" s="1"/>
  <c r="E1851" i="48"/>
  <c r="E12" i="130" s="1"/>
  <c r="I12" i="130" s="1"/>
  <c r="J12" i="130" s="1"/>
  <c r="E1964" i="48"/>
  <c r="F1964" i="48" s="1"/>
  <c r="G1964" i="48" s="1"/>
  <c r="E1959" i="48"/>
  <c r="F1959" i="48" s="1"/>
  <c r="G1959" i="48" s="1"/>
  <c r="E1904" i="48"/>
  <c r="E1953" i="48" s="1"/>
  <c r="E1888" i="48"/>
  <c r="E1945" i="48" s="1"/>
  <c r="H4" i="136"/>
  <c r="C998" i="48"/>
  <c r="C91" i="131"/>
  <c r="C29" i="132"/>
  <c r="C76" i="132"/>
  <c r="C75" i="140"/>
  <c r="C75" i="132"/>
  <c r="C74" i="140"/>
  <c r="C30" i="132"/>
  <c r="C30" i="140"/>
  <c r="G6" i="94"/>
  <c r="B2785" i="48"/>
  <c r="U2" i="138"/>
  <c r="F225" i="48"/>
  <c r="C836" i="48"/>
  <c r="E336" i="48"/>
  <c r="F336" i="48" s="1"/>
  <c r="V2" i="138"/>
  <c r="E283" i="48"/>
  <c r="D2" i="138"/>
  <c r="E1271" i="48"/>
  <c r="F1271" i="48" s="1"/>
  <c r="G1271" i="48" s="1"/>
  <c r="E1270" i="48"/>
  <c r="E74" i="126" s="1"/>
  <c r="E1199" i="48"/>
  <c r="E1215" i="48"/>
  <c r="E1284" i="48" s="1"/>
  <c r="E1221" i="48"/>
  <c r="E1287" i="48" s="1"/>
  <c r="E1206" i="48"/>
  <c r="E1231" i="48"/>
  <c r="E1292" i="48" s="1"/>
  <c r="E1243" i="48"/>
  <c r="E1298" i="48" s="1"/>
  <c r="E1208" i="48"/>
  <c r="E1171" i="48"/>
  <c r="E1175" i="48"/>
  <c r="E1179" i="48"/>
  <c r="E1220" i="48"/>
  <c r="E1234" i="48"/>
  <c r="E1250" i="48"/>
  <c r="E1263" i="48"/>
  <c r="E1164" i="48"/>
  <c r="E1269" i="48"/>
  <c r="F1269" i="48" s="1"/>
  <c r="G1269" i="48" s="1"/>
  <c r="E1202" i="48"/>
  <c r="E1204" i="48"/>
  <c r="E1197" i="48"/>
  <c r="E1237" i="48"/>
  <c r="E1295" i="48" s="1"/>
  <c r="E1245" i="48"/>
  <c r="E1299" i="48" s="1"/>
  <c r="E1264" i="48"/>
  <c r="E1308" i="48" s="1"/>
  <c r="E1183" i="48"/>
  <c r="F1183" i="48" s="1"/>
  <c r="G1183" i="48" s="1"/>
  <c r="E1222" i="48"/>
  <c r="E1236" i="48"/>
  <c r="E1252" i="48"/>
  <c r="E1265" i="48"/>
  <c r="E1312" i="48"/>
  <c r="F1312" i="48" s="1"/>
  <c r="G1312" i="48" s="1"/>
  <c r="E1273" i="48"/>
  <c r="E1211" i="48"/>
  <c r="E1282" i="48" s="1"/>
  <c r="E1227" i="48"/>
  <c r="E1290" i="48" s="1"/>
  <c r="E1239" i="48"/>
  <c r="E1296" i="48" s="1"/>
  <c r="E1247" i="48"/>
  <c r="E1300" i="48" s="1"/>
  <c r="E1260" i="48"/>
  <c r="E1172" i="48"/>
  <c r="F1172" i="48" s="1"/>
  <c r="G1172" i="48" s="1"/>
  <c r="E1176" i="48"/>
  <c r="F1176" i="48" s="1"/>
  <c r="G1176" i="48" s="1"/>
  <c r="E1238" i="48"/>
  <c r="E1254" i="48"/>
  <c r="E1267" i="48"/>
  <c r="E1266" i="48"/>
  <c r="E1309" i="48" s="1"/>
  <c r="E1200" i="48"/>
  <c r="F1200" i="48" s="1"/>
  <c r="G1200" i="48" s="1"/>
  <c r="E1217" i="48"/>
  <c r="E1285" i="48" s="1"/>
  <c r="E1223" i="48"/>
  <c r="E1207" i="48"/>
  <c r="F1207" i="48" s="1"/>
  <c r="G1207" i="48" s="1"/>
  <c r="E1233" i="48"/>
  <c r="E1293" i="48" s="1"/>
  <c r="E1194" i="48"/>
  <c r="E1249" i="48"/>
  <c r="E1301" i="48" s="1"/>
  <c r="E1209" i="48"/>
  <c r="E1180" i="48"/>
  <c r="E1224" i="48"/>
  <c r="E1240" i="48"/>
  <c r="E1256" i="48"/>
  <c r="E1313" i="48"/>
  <c r="F1313" i="48" s="1"/>
  <c r="G1313" i="48" s="1"/>
  <c r="E1205" i="48"/>
  <c r="E1196" i="48"/>
  <c r="E1251" i="48"/>
  <c r="E1302" i="48" s="1"/>
  <c r="E1169" i="48"/>
  <c r="E1173" i="48"/>
  <c r="E1177" i="48"/>
  <c r="E1212" i="48"/>
  <c r="E1226" i="48"/>
  <c r="E1242" i="48"/>
  <c r="E1257" i="48"/>
  <c r="E1310" i="48"/>
  <c r="F1310" i="48" s="1"/>
  <c r="G1310" i="48" s="1"/>
  <c r="E1268" i="48"/>
  <c r="E29" i="126" s="1"/>
  <c r="E1213" i="48"/>
  <c r="E1283" i="48" s="1"/>
  <c r="E1229" i="48"/>
  <c r="E1291" i="48" s="1"/>
  <c r="E1241" i="48"/>
  <c r="E1297" i="48" s="1"/>
  <c r="E1253" i="48"/>
  <c r="E1303" i="48" s="1"/>
  <c r="E1181" i="48"/>
  <c r="E1214" i="48"/>
  <c r="E1228" i="48"/>
  <c r="E1244" i="48"/>
  <c r="E1314" i="48"/>
  <c r="F1314" i="48" s="1"/>
  <c r="G1314" i="48" s="1"/>
  <c r="E1201" i="48"/>
  <c r="E1198" i="48"/>
  <c r="E1235" i="48"/>
  <c r="E1294" i="48" s="1"/>
  <c r="E1195" i="48"/>
  <c r="E1255" i="48"/>
  <c r="E1304" i="48" s="1"/>
  <c r="E1262" i="48"/>
  <c r="E1307" i="48" s="1"/>
  <c r="E1170" i="48"/>
  <c r="E1174" i="48"/>
  <c r="E1178" i="48"/>
  <c r="E1216" i="48"/>
  <c r="E1230" i="48"/>
  <c r="E1246" i="48"/>
  <c r="E1259" i="48"/>
  <c r="E1311" i="48"/>
  <c r="F1311" i="48" s="1"/>
  <c r="G1311" i="48" s="1"/>
  <c r="E1219" i="48"/>
  <c r="E1286" i="48" s="1"/>
  <c r="E1225" i="48"/>
  <c r="E1289" i="48" s="1"/>
  <c r="E1193" i="48"/>
  <c r="E1258" i="48"/>
  <c r="E1305" i="48" s="1"/>
  <c r="E1210" i="48"/>
  <c r="E1182" i="48"/>
  <c r="E1218" i="48"/>
  <c r="E1232" i="48"/>
  <c r="E1248" i="48"/>
  <c r="E1261" i="48"/>
  <c r="E1331" i="48"/>
  <c r="F1331" i="48" s="1"/>
  <c r="G1331" i="48" s="1"/>
  <c r="E1432" i="48"/>
  <c r="E1428" i="48"/>
  <c r="E1472" i="48" s="1"/>
  <c r="E1385" i="48"/>
  <c r="E1451" i="48" s="1"/>
  <c r="E1403" i="48"/>
  <c r="E1460" i="48" s="1"/>
  <c r="E1420" i="48"/>
  <c r="E1468" i="48" s="1"/>
  <c r="E1372" i="48"/>
  <c r="E1345" i="48"/>
  <c r="F1345" i="48" s="1"/>
  <c r="G1345" i="48" s="1"/>
  <c r="E1400" i="48"/>
  <c r="E1416" i="48"/>
  <c r="E1425" i="48"/>
  <c r="E1433" i="48"/>
  <c r="E1332" i="48"/>
  <c r="E46" i="127" s="1"/>
  <c r="E1387" i="48"/>
  <c r="E1452" i="48" s="1"/>
  <c r="E1405" i="48"/>
  <c r="E1422" i="48"/>
  <c r="E1469" i="48" s="1"/>
  <c r="E1474" i="48"/>
  <c r="F1474" i="48" s="1"/>
  <c r="G1474" i="48" s="1"/>
  <c r="E1362" i="48"/>
  <c r="E1366" i="48"/>
  <c r="E1360" i="48"/>
  <c r="E1338" i="48"/>
  <c r="E1342" i="48"/>
  <c r="E1374" i="48"/>
  <c r="E1386" i="48"/>
  <c r="E1402" i="48"/>
  <c r="F1402" i="48" s="1"/>
  <c r="G1402" i="48" s="1"/>
  <c r="E1427" i="48"/>
  <c r="E1333" i="48"/>
  <c r="E1168" i="48"/>
  <c r="E1373" i="48"/>
  <c r="E1445" i="48" s="1"/>
  <c r="E1389" i="48"/>
  <c r="E1453" i="48" s="1"/>
  <c r="E1407" i="48"/>
  <c r="E1462" i="48" s="1"/>
  <c r="E1357" i="48"/>
  <c r="E83" i="127" s="1"/>
  <c r="I83" i="127" s="1"/>
  <c r="J83" i="127" s="1"/>
  <c r="E1376" i="48"/>
  <c r="E1388" i="48"/>
  <c r="E1404" i="48"/>
  <c r="E1418" i="48"/>
  <c r="E1431" i="48"/>
  <c r="E31" i="127" s="1"/>
  <c r="G31" i="127" s="1"/>
  <c r="J31" i="127" s="1"/>
  <c r="E1334" i="48"/>
  <c r="E1375" i="48"/>
  <c r="E1446" i="48" s="1"/>
  <c r="E1391" i="48"/>
  <c r="E1454" i="48" s="1"/>
  <c r="E1409" i="48"/>
  <c r="E1463" i="48" s="1"/>
  <c r="E1426" i="48"/>
  <c r="E1471" i="48" s="1"/>
  <c r="E1475" i="48"/>
  <c r="F1475" i="48" s="1"/>
  <c r="G1475" i="48" s="1"/>
  <c r="E1363" i="48"/>
  <c r="F1363" i="48" s="1"/>
  <c r="G1363" i="48" s="1"/>
  <c r="E1367" i="48"/>
  <c r="F1367" i="48" s="1"/>
  <c r="G1367" i="48" s="1"/>
  <c r="E1359" i="48"/>
  <c r="F1359" i="48" s="1"/>
  <c r="G1359" i="48" s="1"/>
  <c r="E1339" i="48"/>
  <c r="E1343" i="48"/>
  <c r="E1378" i="48"/>
  <c r="E1390" i="48"/>
  <c r="E1406" i="48"/>
  <c r="E1419" i="48"/>
  <c r="E1478" i="48"/>
  <c r="F1478" i="48" s="1"/>
  <c r="G1478" i="48" s="1"/>
  <c r="E1335" i="48"/>
  <c r="E1377" i="48"/>
  <c r="E1447" i="48" s="1"/>
  <c r="E1393" i="48"/>
  <c r="E1455" i="48" s="1"/>
  <c r="E1411" i="48"/>
  <c r="E1464" i="48" s="1"/>
  <c r="E1429" i="48"/>
  <c r="E1370" i="48"/>
  <c r="E1392" i="48"/>
  <c r="E1408" i="48"/>
  <c r="E1336" i="48"/>
  <c r="E1379" i="48"/>
  <c r="E1448" i="48" s="1"/>
  <c r="E1397" i="48"/>
  <c r="E1457" i="48" s="1"/>
  <c r="E1413" i="48"/>
  <c r="E1465" i="48" s="1"/>
  <c r="E1476" i="48"/>
  <c r="F1476" i="48" s="1"/>
  <c r="G1476" i="48" s="1"/>
  <c r="E1364" i="48"/>
  <c r="E1368" i="48"/>
  <c r="E1358" i="48"/>
  <c r="E1340" i="48"/>
  <c r="E1344" i="48"/>
  <c r="E1380" i="48"/>
  <c r="E1394" i="48"/>
  <c r="E1410" i="48"/>
  <c r="E1421" i="48"/>
  <c r="E1325" i="48"/>
  <c r="I4" i="127" s="1"/>
  <c r="E1337" i="48"/>
  <c r="E1381" i="48"/>
  <c r="E1449" i="48" s="1"/>
  <c r="E1399" i="48"/>
  <c r="E1458" i="48" s="1"/>
  <c r="E1415" i="48"/>
  <c r="E1466" i="48" s="1"/>
  <c r="E1371" i="48"/>
  <c r="E1382" i="48"/>
  <c r="E1396" i="48"/>
  <c r="E1412" i="48"/>
  <c r="E1430" i="48"/>
  <c r="E1424" i="48"/>
  <c r="E1470" i="48" s="1"/>
  <c r="E1383" i="48"/>
  <c r="E1450" i="48" s="1"/>
  <c r="E1401" i="48"/>
  <c r="E1459" i="48" s="1"/>
  <c r="E1417" i="48"/>
  <c r="E1467" i="48" s="1"/>
  <c r="E1473" i="48"/>
  <c r="F1473" i="48" s="1"/>
  <c r="G1473" i="48" s="1"/>
  <c r="E1361" i="48"/>
  <c r="E1369" i="48"/>
  <c r="E1341" i="48"/>
  <c r="E1384" i="48"/>
  <c r="E1398" i="48"/>
  <c r="E1414" i="48"/>
  <c r="E1423" i="48"/>
  <c r="E1326" i="48"/>
  <c r="I5" i="127" s="1"/>
  <c r="E1356" i="48"/>
  <c r="K17" i="94"/>
  <c r="K24" i="94" s="1"/>
  <c r="J4" i="136"/>
  <c r="K11" i="94"/>
  <c r="K18" i="94" s="1"/>
  <c r="K25" i="94" s="1"/>
  <c r="O2" i="138"/>
  <c r="O6" i="94"/>
  <c r="P6" i="94" s="1"/>
  <c r="E503" i="48"/>
  <c r="H2" i="139"/>
  <c r="M2" i="139"/>
  <c r="E207" i="48"/>
  <c r="J4" i="119"/>
  <c r="E51" i="129"/>
  <c r="G4" i="124"/>
  <c r="K16" i="94"/>
  <c r="K23" i="94" s="1"/>
  <c r="K8" i="94"/>
  <c r="E784" i="48"/>
  <c r="E73" i="123" s="1"/>
  <c r="E743" i="48"/>
  <c r="E805" i="48" s="1"/>
  <c r="E727" i="48"/>
  <c r="E797" i="48" s="1"/>
  <c r="E774" i="48"/>
  <c r="E820" i="48" s="1"/>
  <c r="E826" i="48"/>
  <c r="F826" i="48" s="1"/>
  <c r="I101" i="123" s="1"/>
  <c r="J101" i="123" s="1"/>
  <c r="E724" i="48"/>
  <c r="E683" i="48"/>
  <c r="E686" i="48"/>
  <c r="E693" i="48"/>
  <c r="E697" i="48"/>
  <c r="E728" i="48"/>
  <c r="E734" i="48"/>
  <c r="E740" i="48"/>
  <c r="E748" i="48"/>
  <c r="E756" i="48"/>
  <c r="E764" i="48"/>
  <c r="E783" i="48"/>
  <c r="E778" i="48"/>
  <c r="E822" i="48" s="1"/>
  <c r="E715" i="48"/>
  <c r="E720" i="48"/>
  <c r="E690" i="48"/>
  <c r="E736" i="48"/>
  <c r="E786" i="48"/>
  <c r="E91" i="123" s="1"/>
  <c r="E787" i="48"/>
  <c r="E824" i="48"/>
  <c r="F824" i="48" s="1"/>
  <c r="I99" i="123" s="1"/>
  <c r="J99" i="123" s="1"/>
  <c r="E827" i="48"/>
  <c r="F827" i="48" s="1"/>
  <c r="I104" i="123" s="1"/>
  <c r="J104" i="123" s="1"/>
  <c r="E714" i="48"/>
  <c r="E711" i="48"/>
  <c r="E709" i="48"/>
  <c r="E78" i="123" s="1"/>
  <c r="I78" i="123" s="1"/>
  <c r="J78" i="123" s="1"/>
  <c r="E687" i="48"/>
  <c r="E694" i="48"/>
  <c r="E730" i="48"/>
  <c r="E742" i="48"/>
  <c r="E750" i="48"/>
  <c r="E758" i="48"/>
  <c r="E766" i="48"/>
  <c r="E779" i="48"/>
  <c r="E785" i="48"/>
  <c r="E780" i="48"/>
  <c r="E823" i="48" s="1"/>
  <c r="E729" i="48"/>
  <c r="E798" i="48" s="1"/>
  <c r="E733" i="48"/>
  <c r="E800" i="48" s="1"/>
  <c r="E737" i="48"/>
  <c r="E802" i="48" s="1"/>
  <c r="E741" i="48"/>
  <c r="E804" i="48" s="1"/>
  <c r="E745" i="48"/>
  <c r="E806" i="48" s="1"/>
  <c r="E749" i="48"/>
  <c r="E808" i="48" s="1"/>
  <c r="E751" i="48"/>
  <c r="E809" i="48" s="1"/>
  <c r="E755" i="48"/>
  <c r="E811" i="48" s="1"/>
  <c r="E759" i="48"/>
  <c r="E813" i="48" s="1"/>
  <c r="E765" i="48"/>
  <c r="E816" i="48" s="1"/>
  <c r="E767" i="48"/>
  <c r="E817" i="48" s="1"/>
  <c r="E712" i="48"/>
  <c r="E723" i="48"/>
  <c r="E684" i="48"/>
  <c r="E691" i="48"/>
  <c r="E773" i="48"/>
  <c r="E725" i="48"/>
  <c r="E796" i="48" s="1"/>
  <c r="E776" i="48"/>
  <c r="E821" i="48" s="1"/>
  <c r="E713" i="48"/>
  <c r="E719" i="48"/>
  <c r="E707" i="48"/>
  <c r="E688" i="48"/>
  <c r="E695" i="48"/>
  <c r="E744" i="48"/>
  <c r="E752" i="48"/>
  <c r="E760" i="48"/>
  <c r="E768" i="48"/>
  <c r="E825" i="48"/>
  <c r="F825" i="48" s="1"/>
  <c r="I100" i="123" s="1"/>
  <c r="J100" i="123" s="1"/>
  <c r="E829" i="48"/>
  <c r="F829" i="48" s="1"/>
  <c r="I102" i="123" s="1"/>
  <c r="J102" i="123" s="1"/>
  <c r="E708" i="48"/>
  <c r="E732" i="48"/>
  <c r="E775" i="48"/>
  <c r="E781" i="48"/>
  <c r="E718" i="48"/>
  <c r="E721" i="48"/>
  <c r="E722" i="48"/>
  <c r="E682" i="48"/>
  <c r="E685" i="48"/>
  <c r="E692" i="48"/>
  <c r="E696" i="48"/>
  <c r="E726" i="48"/>
  <c r="E738" i="48"/>
  <c r="E746" i="48"/>
  <c r="E754" i="48"/>
  <c r="E762" i="48"/>
  <c r="E770" i="48"/>
  <c r="E678" i="48"/>
  <c r="E782" i="48"/>
  <c r="E731" i="48"/>
  <c r="E799" i="48" s="1"/>
  <c r="E735" i="48"/>
  <c r="E801" i="48" s="1"/>
  <c r="E739" i="48"/>
  <c r="E803" i="48" s="1"/>
  <c r="E747" i="48"/>
  <c r="E807" i="48" s="1"/>
  <c r="E753" i="48"/>
  <c r="E810" i="48" s="1"/>
  <c r="E757" i="48"/>
  <c r="E812" i="48" s="1"/>
  <c r="E761" i="48"/>
  <c r="E814" i="48" s="1"/>
  <c r="E763" i="48"/>
  <c r="E815" i="48" s="1"/>
  <c r="E769" i="48"/>
  <c r="E818" i="48" s="1"/>
  <c r="E772" i="48"/>
  <c r="E819" i="48" s="1"/>
  <c r="E716" i="48"/>
  <c r="E710" i="48"/>
  <c r="E689" i="48"/>
  <c r="E771" i="48"/>
  <c r="E777" i="48"/>
  <c r="E45" i="48"/>
  <c r="E176" i="48"/>
  <c r="F176" i="48" s="1"/>
  <c r="I104" i="111" s="1"/>
  <c r="J104" i="111" s="1"/>
  <c r="E37" i="48"/>
  <c r="E178" i="48"/>
  <c r="F178" i="48" s="1"/>
  <c r="I102" i="111" s="1"/>
  <c r="J102" i="111" s="1"/>
  <c r="E39" i="48"/>
  <c r="E27" i="48"/>
  <c r="I4" i="111" s="1"/>
  <c r="E173" i="48"/>
  <c r="F173" i="48" s="1"/>
  <c r="I99" i="111" s="1"/>
  <c r="J99" i="111" s="1"/>
  <c r="E174" i="48"/>
  <c r="F174" i="48" s="1"/>
  <c r="I100" i="111" s="1"/>
  <c r="J100" i="111" s="1"/>
  <c r="E43" i="48"/>
  <c r="E120" i="48"/>
  <c r="E44" i="48"/>
  <c r="E175" i="48"/>
  <c r="F175" i="48" s="1"/>
  <c r="I101" i="111" s="1"/>
  <c r="J101" i="111" s="1"/>
  <c r="E1758" i="48"/>
  <c r="E1756" i="48"/>
  <c r="F1756" i="48" s="1"/>
  <c r="G1756" i="48" s="1"/>
  <c r="E1716" i="48"/>
  <c r="E1778" i="48" s="1"/>
  <c r="E1759" i="48"/>
  <c r="E1753" i="48"/>
  <c r="E1796" i="48" s="1"/>
  <c r="E1598" i="48"/>
  <c r="F1598" i="48" s="1"/>
  <c r="G1598" i="48" s="1"/>
  <c r="E1496" i="48"/>
  <c r="E1497" i="48"/>
  <c r="E1536" i="48"/>
  <c r="E1607" i="48" s="1"/>
  <c r="E1548" i="48"/>
  <c r="E1613" i="48" s="1"/>
  <c r="E1564" i="48"/>
  <c r="E1621" i="48" s="1"/>
  <c r="E1576" i="48"/>
  <c r="E1627" i="48" s="1"/>
  <c r="E1592" i="48"/>
  <c r="E1636" i="48"/>
  <c r="F1636" i="48" s="1"/>
  <c r="G1636" i="48" s="1"/>
  <c r="E1640" i="48"/>
  <c r="F1640" i="48" s="1"/>
  <c r="G1640" i="48" s="1"/>
  <c r="E1530" i="48"/>
  <c r="E1519" i="48"/>
  <c r="E1534" i="48"/>
  <c r="E1498" i="48"/>
  <c r="E1538" i="48"/>
  <c r="E1608" i="48" s="1"/>
  <c r="E1550" i="48"/>
  <c r="E1614" i="48" s="1"/>
  <c r="E1578" i="48"/>
  <c r="E1628" i="48" s="1"/>
  <c r="E1499" i="48"/>
  <c r="E1540" i="48"/>
  <c r="E1609" i="48" s="1"/>
  <c r="E1552" i="48"/>
  <c r="E1615" i="48" s="1"/>
  <c r="E1566" i="48"/>
  <c r="E1622" i="48" s="1"/>
  <c r="E1580" i="48"/>
  <c r="E1629" i="48" s="1"/>
  <c r="E1637" i="48"/>
  <c r="F1637" i="48" s="1"/>
  <c r="G1637" i="48" s="1"/>
  <c r="E1524" i="48"/>
  <c r="E1531" i="48"/>
  <c r="E1500" i="48"/>
  <c r="E1554" i="48"/>
  <c r="E1616" i="48" s="1"/>
  <c r="E1568" i="48"/>
  <c r="E1623" i="48" s="1"/>
  <c r="E1596" i="48"/>
  <c r="E1501" i="48"/>
  <c r="E1542" i="48"/>
  <c r="E1610" i="48" s="1"/>
  <c r="E1556" i="48"/>
  <c r="E1617" i="48" s="1"/>
  <c r="E1570" i="48"/>
  <c r="E1624" i="48" s="1"/>
  <c r="E1583" i="48"/>
  <c r="E1630" i="48" s="1"/>
  <c r="E1591" i="48"/>
  <c r="E1634" i="48" s="1"/>
  <c r="E1594" i="48"/>
  <c r="E1593" i="48"/>
  <c r="E1495" i="48"/>
  <c r="E1546" i="48"/>
  <c r="E1612" i="48" s="1"/>
  <c r="E1560" i="48"/>
  <c r="E1619" i="48" s="1"/>
  <c r="E1574" i="48"/>
  <c r="E1626" i="48" s="1"/>
  <c r="E1587" i="48"/>
  <c r="E1632" i="48" s="1"/>
  <c r="E1518" i="48"/>
  <c r="E77" i="128" s="1"/>
  <c r="I77" i="128" s="1"/>
  <c r="J77" i="128" s="1"/>
  <c r="E1533" i="48"/>
  <c r="C9" i="94"/>
  <c r="E534" i="48"/>
  <c r="F534" i="48" s="1"/>
  <c r="E528" i="48"/>
  <c r="F528" i="48" s="1"/>
  <c r="E341" i="48"/>
  <c r="F341" i="48" s="1"/>
  <c r="I103" i="119" s="1"/>
  <c r="J103" i="119" s="1"/>
  <c r="C11" i="94"/>
  <c r="E665" i="48"/>
  <c r="F665" i="48" s="1"/>
  <c r="I105" i="122" s="1"/>
  <c r="J105" i="122" s="1"/>
  <c r="E338" i="48"/>
  <c r="F338" i="48" s="1"/>
  <c r="I102" i="119" s="1"/>
  <c r="J102" i="119" s="1"/>
  <c r="G4" i="136"/>
  <c r="E337" i="48"/>
  <c r="F337" i="48" s="1"/>
  <c r="F194" i="48"/>
  <c r="E667" i="48"/>
  <c r="F667" i="48" s="1"/>
  <c r="I103" i="122" s="1"/>
  <c r="J103" i="122" s="1"/>
  <c r="E1434" i="48"/>
  <c r="E664" i="48"/>
  <c r="F664" i="48" s="1"/>
  <c r="I102" i="122" s="1"/>
  <c r="J102" i="122" s="1"/>
  <c r="E1435" i="48"/>
  <c r="E663" i="48"/>
  <c r="F663" i="48" s="1"/>
  <c r="I101" i="122" s="1"/>
  <c r="J101" i="122" s="1"/>
  <c r="E535" i="48"/>
  <c r="J2" i="139"/>
  <c r="E662" i="48"/>
  <c r="F662" i="48" s="1"/>
  <c r="I100" i="122" s="1"/>
  <c r="J100" i="122" s="1"/>
  <c r="E532" i="48"/>
  <c r="E59" i="122" s="1"/>
  <c r="E1272" i="48"/>
  <c r="P2" i="138"/>
  <c r="P2" i="139"/>
  <c r="K2" i="139"/>
  <c r="I2" i="138"/>
  <c r="E1922" i="48"/>
  <c r="E1920" i="48"/>
  <c r="E1921" i="48"/>
  <c r="E1919" i="48"/>
  <c r="E1917" i="48"/>
  <c r="E1915" i="48"/>
  <c r="E1958" i="48" s="1"/>
  <c r="E1918" i="48"/>
  <c r="E1878" i="48"/>
  <c r="E1940" i="48" s="1"/>
  <c r="F354" i="48"/>
  <c r="E1760" i="48"/>
  <c r="F191" i="48"/>
  <c r="E1395" i="48"/>
  <c r="E1456" i="48" s="1"/>
  <c r="E1597" i="48"/>
  <c r="E1755" i="48"/>
  <c r="E1595" i="48"/>
  <c r="E1757" i="48"/>
  <c r="E74" i="129" s="1"/>
  <c r="E38" i="48"/>
  <c r="E46" i="48"/>
  <c r="E209" i="48"/>
  <c r="E200" i="48"/>
  <c r="E208" i="48"/>
  <c r="E19" i="119"/>
  <c r="U8" i="110" s="1"/>
  <c r="E206" i="48"/>
  <c r="E527" i="48"/>
  <c r="E339" i="48"/>
  <c r="F339" i="48" s="1"/>
  <c r="I105" i="119" s="1"/>
  <c r="J105" i="119" s="1"/>
  <c r="E526" i="48"/>
  <c r="E202" i="48"/>
  <c r="E201" i="48"/>
  <c r="E2824" i="48"/>
  <c r="E2011" i="48"/>
  <c r="E2013" i="48"/>
  <c r="E2015" i="48"/>
  <c r="E2017" i="48"/>
  <c r="E2022" i="48"/>
  <c r="E2093" i="48" s="1"/>
  <c r="E2028" i="48"/>
  <c r="E2096" i="48" s="1"/>
  <c r="E2007" i="48"/>
  <c r="E2046" i="48"/>
  <c r="E2105" i="48" s="1"/>
  <c r="E1979" i="48"/>
  <c r="E2077" i="48"/>
  <c r="E2120" i="48" s="1"/>
  <c r="E2042" i="48"/>
  <c r="E2103" i="48" s="1"/>
  <c r="E2064" i="48"/>
  <c r="E2114" i="48" s="1"/>
  <c r="E2122" i="48"/>
  <c r="F2122" i="48" s="1"/>
  <c r="G2122" i="48" s="1"/>
  <c r="E2041" i="48"/>
  <c r="E2047" i="48"/>
  <c r="E2059" i="48"/>
  <c r="E2070" i="48"/>
  <c r="E2076" i="48"/>
  <c r="E2020" i="48"/>
  <c r="E2075" i="48"/>
  <c r="E2119" i="48" s="1"/>
  <c r="E1988" i="48"/>
  <c r="E1990" i="48"/>
  <c r="E1992" i="48"/>
  <c r="E1994" i="48"/>
  <c r="E2058" i="48"/>
  <c r="E2111" i="48" s="1"/>
  <c r="E2069" i="48"/>
  <c r="E2116" i="48" s="1"/>
  <c r="E2025" i="48"/>
  <c r="E2031" i="48"/>
  <c r="E2053" i="48"/>
  <c r="E2065" i="48"/>
  <c r="E2032" i="48"/>
  <c r="E2098" i="48" s="1"/>
  <c r="E2036" i="48"/>
  <c r="E2100" i="48" s="1"/>
  <c r="E2040" i="48"/>
  <c r="E2102" i="48" s="1"/>
  <c r="E2126" i="48"/>
  <c r="F2126" i="48" s="1"/>
  <c r="G2126" i="48" s="1"/>
  <c r="E2037" i="48"/>
  <c r="E2073" i="48"/>
  <c r="E2118" i="48" s="1"/>
  <c r="E2082" i="48"/>
  <c r="E2005" i="48"/>
  <c r="E2048" i="48"/>
  <c r="E2106" i="48" s="1"/>
  <c r="E2052" i="48"/>
  <c r="E2108" i="48" s="1"/>
  <c r="E2056" i="48"/>
  <c r="E2110" i="48" s="1"/>
  <c r="E2062" i="48"/>
  <c r="E2113" i="48" s="1"/>
  <c r="E2084" i="48"/>
  <c r="E2121" i="48"/>
  <c r="F2121" i="48" s="1"/>
  <c r="G2121" i="48" s="1"/>
  <c r="E2078" i="48"/>
  <c r="E2033" i="48"/>
  <c r="E2043" i="48"/>
  <c r="E2049" i="48"/>
  <c r="E2061" i="48"/>
  <c r="E2072" i="48"/>
  <c r="E2010" i="48"/>
  <c r="E2012" i="48"/>
  <c r="E2016" i="48"/>
  <c r="E2018" i="48"/>
  <c r="E2026" i="48"/>
  <c r="E2095" i="48" s="1"/>
  <c r="E2080" i="48"/>
  <c r="E2008" i="48"/>
  <c r="E1980" i="48"/>
  <c r="E2009" i="48"/>
  <c r="E2066" i="48"/>
  <c r="E2115" i="48" s="1"/>
  <c r="E2068" i="48"/>
  <c r="E2027" i="48"/>
  <c r="E2055" i="48"/>
  <c r="E2067" i="48"/>
  <c r="E2019" i="48"/>
  <c r="E2071" i="48"/>
  <c r="E2117" i="48" s="1"/>
  <c r="E2021" i="48"/>
  <c r="E1989" i="48"/>
  <c r="E1991" i="48"/>
  <c r="E1993" i="48"/>
  <c r="E2123" i="48"/>
  <c r="F2123" i="48" s="1"/>
  <c r="G2123" i="48" s="1"/>
  <c r="E2039" i="48"/>
  <c r="E2024" i="48"/>
  <c r="E2094" i="48" s="1"/>
  <c r="E2030" i="48"/>
  <c r="E2097" i="48" s="1"/>
  <c r="E2034" i="48"/>
  <c r="E2099" i="48" s="1"/>
  <c r="E2038" i="48"/>
  <c r="E2101" i="48" s="1"/>
  <c r="E2081" i="48"/>
  <c r="E2083" i="48"/>
  <c r="E1987" i="48"/>
  <c r="E1986" i="48"/>
  <c r="E1985" i="48"/>
  <c r="E1984" i="48"/>
  <c r="E1983" i="48"/>
  <c r="E1982" i="48"/>
  <c r="E1981" i="48"/>
  <c r="E2029" i="48"/>
  <c r="E2045" i="48"/>
  <c r="E2051" i="48"/>
  <c r="E2057" i="48"/>
  <c r="E2063" i="48"/>
  <c r="E2074" i="48"/>
  <c r="E2079" i="48"/>
  <c r="E2044" i="48"/>
  <c r="E2104" i="48" s="1"/>
  <c r="E2004" i="48"/>
  <c r="E2006" i="48"/>
  <c r="E2050" i="48"/>
  <c r="E2107" i="48" s="1"/>
  <c r="E2054" i="48"/>
  <c r="E2060" i="48"/>
  <c r="E2112" i="48" s="1"/>
  <c r="E2124" i="48"/>
  <c r="F2124" i="48" s="1"/>
  <c r="G2124" i="48" s="1"/>
  <c r="E2023" i="48"/>
  <c r="E2035" i="48"/>
  <c r="E1330" i="48"/>
  <c r="E609" i="48"/>
  <c r="E533" i="48"/>
  <c r="E1119" i="48" l="1"/>
  <c r="E1118" i="48"/>
  <c r="E1117" i="48"/>
  <c r="E957" i="48"/>
  <c r="E956" i="48"/>
  <c r="E955" i="48"/>
  <c r="G191" i="48"/>
  <c r="G354" i="48"/>
  <c r="D39" i="119"/>
  <c r="I101" i="129"/>
  <c r="J101" i="129" s="1"/>
  <c r="I101" i="145"/>
  <c r="J101" i="145" s="1"/>
  <c r="I103" i="144"/>
  <c r="J103" i="144" s="1"/>
  <c r="I102" i="129"/>
  <c r="J102" i="129" s="1"/>
  <c r="I107" i="143"/>
  <c r="J107" i="143" s="1"/>
  <c r="I105" i="143"/>
  <c r="J105" i="143" s="1"/>
  <c r="I106" i="144"/>
  <c r="J106" i="144" s="1"/>
  <c r="I104" i="129"/>
  <c r="J104" i="129" s="1"/>
  <c r="I102" i="142"/>
  <c r="J102" i="142" s="1"/>
  <c r="I104" i="142"/>
  <c r="J104" i="142" s="1"/>
  <c r="I101" i="142"/>
  <c r="J101" i="142" s="1"/>
  <c r="I102" i="143"/>
  <c r="J102" i="143" s="1"/>
  <c r="I104" i="144"/>
  <c r="J104" i="144" s="1"/>
  <c r="I106" i="129"/>
  <c r="J106" i="129" s="1"/>
  <c r="I103" i="129"/>
  <c r="J103" i="129" s="1"/>
  <c r="I106" i="142"/>
  <c r="J106" i="142" s="1"/>
  <c r="I104" i="143"/>
  <c r="J104" i="143" s="1"/>
  <c r="I101" i="144"/>
  <c r="J101" i="144" s="1"/>
  <c r="I103" i="145"/>
  <c r="J103" i="145" s="1"/>
  <c r="I106" i="145"/>
  <c r="J106" i="145" s="1"/>
  <c r="I103" i="142"/>
  <c r="J103" i="142" s="1"/>
  <c r="I103" i="143"/>
  <c r="J103" i="143" s="1"/>
  <c r="I102" i="144"/>
  <c r="J102" i="144" s="1"/>
  <c r="I102" i="145"/>
  <c r="J102" i="145" s="1"/>
  <c r="I104" i="145"/>
  <c r="J104" i="145" s="1"/>
  <c r="I99" i="131"/>
  <c r="J99" i="131" s="1"/>
  <c r="I99" i="130"/>
  <c r="J99" i="130" s="1"/>
  <c r="I102" i="130"/>
  <c r="J102" i="130" s="1"/>
  <c r="I100" i="130"/>
  <c r="J100" i="130" s="1"/>
  <c r="I101" i="130"/>
  <c r="J101" i="130" s="1"/>
  <c r="I104" i="130"/>
  <c r="J104" i="130" s="1"/>
  <c r="I104" i="128"/>
  <c r="J104" i="128" s="1"/>
  <c r="I102" i="128"/>
  <c r="J102" i="128" s="1"/>
  <c r="I100" i="128"/>
  <c r="J100" i="128" s="1"/>
  <c r="I101" i="128"/>
  <c r="J101" i="128" s="1"/>
  <c r="I99" i="128"/>
  <c r="J99" i="128" s="1"/>
  <c r="I100" i="126"/>
  <c r="J100" i="126" s="1"/>
  <c r="I99" i="126"/>
  <c r="J99" i="126" s="1"/>
  <c r="I103" i="126"/>
  <c r="J103" i="126" s="1"/>
  <c r="I102" i="126"/>
  <c r="J102" i="126" s="1"/>
  <c r="I101" i="126"/>
  <c r="J101" i="126" s="1"/>
  <c r="I109" i="127"/>
  <c r="J109" i="127" s="1"/>
  <c r="E1152" i="48"/>
  <c r="E1022" i="48"/>
  <c r="E1027" i="48"/>
  <c r="E1026" i="48"/>
  <c r="E1023" i="48"/>
  <c r="E1024" i="48"/>
  <c r="E1025" i="48"/>
  <c r="E1028" i="48"/>
  <c r="E1030" i="48"/>
  <c r="E1029" i="48"/>
  <c r="I106" i="127"/>
  <c r="J106" i="127" s="1"/>
  <c r="I111" i="127"/>
  <c r="J111" i="127" s="1"/>
  <c r="I108" i="127"/>
  <c r="J108" i="127" s="1"/>
  <c r="I107" i="127"/>
  <c r="J107" i="127" s="1"/>
  <c r="E990" i="48"/>
  <c r="E865" i="48"/>
  <c r="E861" i="48"/>
  <c r="E864" i="48"/>
  <c r="E860" i="48"/>
  <c r="E862" i="48"/>
  <c r="E863" i="48"/>
  <c r="E868" i="48"/>
  <c r="E867" i="48"/>
  <c r="E866" i="48"/>
  <c r="I100" i="119"/>
  <c r="J100" i="119" s="1"/>
  <c r="E644" i="48"/>
  <c r="E36" i="122"/>
  <c r="P36" i="114"/>
  <c r="D2877" i="48"/>
  <c r="D2553" i="48"/>
  <c r="D2229" i="48"/>
  <c r="D1905" i="48"/>
  <c r="D1581" i="48"/>
  <c r="D1256" i="48"/>
  <c r="D932" i="48"/>
  <c r="D608" i="48"/>
  <c r="D119" i="48"/>
  <c r="D3039" i="48"/>
  <c r="D2715" i="48"/>
  <c r="D2391" i="48"/>
  <c r="D2067" i="48"/>
  <c r="D1743" i="48"/>
  <c r="D1418" i="48"/>
  <c r="D1094" i="48"/>
  <c r="D770" i="48"/>
  <c r="D445" i="48"/>
  <c r="D282" i="48"/>
  <c r="P19" i="114"/>
  <c r="D2365" i="48"/>
  <c r="D1717" i="48"/>
  <c r="D93" i="48"/>
  <c r="D2689" i="48"/>
  <c r="D2041" i="48"/>
  <c r="D2851" i="48"/>
  <c r="D2527" i="48"/>
  <c r="D2203" i="48"/>
  <c r="D1879" i="48"/>
  <c r="D1555" i="48"/>
  <c r="F1555" i="48" s="1"/>
  <c r="G1555" i="48" s="1"/>
  <c r="D1230" i="48"/>
  <c r="F1230" i="48" s="1"/>
  <c r="G1230" i="48" s="1"/>
  <c r="D906" i="48"/>
  <c r="D582" i="48"/>
  <c r="D3013" i="48"/>
  <c r="D744" i="48"/>
  <c r="D1068" i="48"/>
  <c r="D256" i="48"/>
  <c r="D1392" i="48"/>
  <c r="D419" i="48"/>
  <c r="P17" i="114"/>
  <c r="D2847" i="48"/>
  <c r="D2523" i="48"/>
  <c r="D2199" i="48"/>
  <c r="D1875" i="48"/>
  <c r="D1551" i="48"/>
  <c r="D1226" i="48"/>
  <c r="D902" i="48"/>
  <c r="D578" i="48"/>
  <c r="D252" i="48"/>
  <c r="D89" i="48"/>
  <c r="D3009" i="48"/>
  <c r="D2685" i="48"/>
  <c r="D2361" i="48"/>
  <c r="D2037" i="48"/>
  <c r="D1713" i="48"/>
  <c r="F1713" i="48" s="1"/>
  <c r="G1713" i="48" s="1"/>
  <c r="D1388" i="48"/>
  <c r="F1388" i="48" s="1"/>
  <c r="G1388" i="48" s="1"/>
  <c r="D1064" i="48"/>
  <c r="D740" i="48"/>
  <c r="D415" i="48"/>
  <c r="D2843" i="48"/>
  <c r="D2195" i="48"/>
  <c r="D1547" i="48"/>
  <c r="F1547" i="48" s="1"/>
  <c r="G1547" i="48" s="1"/>
  <c r="D2519" i="48"/>
  <c r="F2519" i="48" s="1"/>
  <c r="G2519" i="48" s="1"/>
  <c r="D1871" i="48"/>
  <c r="F1871" i="48" s="1"/>
  <c r="G1871" i="48" s="1"/>
  <c r="D248" i="48"/>
  <c r="D3005" i="48"/>
  <c r="D2681" i="48"/>
  <c r="F2681" i="48" s="1"/>
  <c r="G2681" i="48" s="1"/>
  <c r="D2357" i="48"/>
  <c r="F2357" i="48" s="1"/>
  <c r="G2357" i="48" s="1"/>
  <c r="D2033" i="48"/>
  <c r="D1709" i="48"/>
  <c r="F1709" i="48" s="1"/>
  <c r="G1709" i="48" s="1"/>
  <c r="D1384" i="48"/>
  <c r="F1384" i="48" s="1"/>
  <c r="G1384" i="48" s="1"/>
  <c r="D1060" i="48"/>
  <c r="D736" i="48"/>
  <c r="D411" i="48"/>
  <c r="D574" i="48"/>
  <c r="F574" i="48" s="1"/>
  <c r="D1222" i="48"/>
  <c r="D898" i="48"/>
  <c r="P25" i="114"/>
  <c r="D3044" i="48"/>
  <c r="D2720" i="48"/>
  <c r="D2396" i="48"/>
  <c r="D2072" i="48"/>
  <c r="D1748" i="48"/>
  <c r="F1748" i="48" s="1"/>
  <c r="G1748" i="48" s="1"/>
  <c r="D1423" i="48"/>
  <c r="D1099" i="48"/>
  <c r="D775" i="48"/>
  <c r="D450" i="48"/>
  <c r="D2882" i="48"/>
  <c r="D1586" i="48"/>
  <c r="D1261" i="48"/>
  <c r="D937" i="48"/>
  <c r="D2558" i="48"/>
  <c r="D2234" i="48"/>
  <c r="D1910" i="48"/>
  <c r="D124" i="48"/>
  <c r="D287" i="48"/>
  <c r="D613" i="48"/>
  <c r="D2859" i="48"/>
  <c r="D2535" i="48"/>
  <c r="D1887" i="48"/>
  <c r="D2211" i="48"/>
  <c r="D1563" i="48"/>
  <c r="D264" i="48"/>
  <c r="D101" i="48"/>
  <c r="D3021" i="48"/>
  <c r="D2697" i="48"/>
  <c r="D2373" i="48"/>
  <c r="D2049" i="48"/>
  <c r="D1725" i="48"/>
  <c r="D1400" i="48"/>
  <c r="F1400" i="48" s="1"/>
  <c r="G1400" i="48" s="1"/>
  <c r="D1076" i="48"/>
  <c r="D752" i="48"/>
  <c r="D427" i="48"/>
  <c r="D1238" i="48"/>
  <c r="D914" i="48"/>
  <c r="D590" i="48"/>
  <c r="P35" i="114"/>
  <c r="D2875" i="48"/>
  <c r="D2227" i="48"/>
  <c r="D1579" i="48"/>
  <c r="D2551" i="48"/>
  <c r="D1903" i="48"/>
  <c r="D280" i="48"/>
  <c r="D117" i="48"/>
  <c r="D3037" i="48"/>
  <c r="D2713" i="48"/>
  <c r="D2389" i="48"/>
  <c r="D2065" i="48"/>
  <c r="D1741" i="48"/>
  <c r="D1416" i="48"/>
  <c r="D1092" i="48"/>
  <c r="D768" i="48"/>
  <c r="D443" i="48"/>
  <c r="D930" i="48"/>
  <c r="D606" i="48"/>
  <c r="D1254" i="48"/>
  <c r="P33" i="114"/>
  <c r="D3033" i="48"/>
  <c r="D2709" i="48"/>
  <c r="D2385" i="48"/>
  <c r="D2061" i="48"/>
  <c r="D1737" i="48"/>
  <c r="F1737" i="48" s="1"/>
  <c r="G1737" i="48" s="1"/>
  <c r="D1412" i="48"/>
  <c r="D1088" i="48"/>
  <c r="D764" i="48"/>
  <c r="D439" i="48"/>
  <c r="D2871" i="48"/>
  <c r="D2547" i="48"/>
  <c r="D2223" i="48"/>
  <c r="D1899" i="48"/>
  <c r="F1899" i="48" s="1"/>
  <c r="G1899" i="48" s="1"/>
  <c r="D1575" i="48"/>
  <c r="D1250" i="48"/>
  <c r="D926" i="48"/>
  <c r="D602" i="48"/>
  <c r="D276" i="48"/>
  <c r="D113" i="48"/>
  <c r="P22" i="114"/>
  <c r="D3017" i="48"/>
  <c r="D2693" i="48"/>
  <c r="D2369" i="48"/>
  <c r="D2045" i="48"/>
  <c r="D1721" i="48"/>
  <c r="D1396" i="48"/>
  <c r="D1072" i="48"/>
  <c r="D748" i="48"/>
  <c r="D423" i="48"/>
  <c r="D2855" i="48"/>
  <c r="D2531" i="48"/>
  <c r="D2207" i="48"/>
  <c r="D1883" i="48"/>
  <c r="D1559" i="48"/>
  <c r="D1234" i="48"/>
  <c r="D910" i="48"/>
  <c r="D586" i="48"/>
  <c r="D260" i="48"/>
  <c r="D97" i="48"/>
  <c r="P37" i="114"/>
  <c r="D2880" i="48"/>
  <c r="D2556" i="48"/>
  <c r="D2232" i="48"/>
  <c r="D1908" i="48"/>
  <c r="D1584" i="48"/>
  <c r="D1259" i="48"/>
  <c r="D935" i="48"/>
  <c r="D611" i="48"/>
  <c r="D285" i="48"/>
  <c r="D122" i="48"/>
  <c r="D3042" i="48"/>
  <c r="D2718" i="48"/>
  <c r="D2394" i="48"/>
  <c r="D2070" i="48"/>
  <c r="D1746" i="48"/>
  <c r="F1746" i="48" s="1"/>
  <c r="G1746" i="48" s="1"/>
  <c r="D1421" i="48"/>
  <c r="D1097" i="48"/>
  <c r="D773" i="48"/>
  <c r="D448" i="48"/>
  <c r="P13" i="114"/>
  <c r="D3001" i="48"/>
  <c r="D2677" i="48"/>
  <c r="D2353" i="48"/>
  <c r="D2029" i="48"/>
  <c r="D1705" i="48"/>
  <c r="D1380" i="48"/>
  <c r="D1056" i="48"/>
  <c r="D732" i="48"/>
  <c r="D407" i="48"/>
  <c r="D2839" i="48"/>
  <c r="D2515" i="48"/>
  <c r="D2191" i="48"/>
  <c r="D1867" i="48"/>
  <c r="D1543" i="48"/>
  <c r="D1218" i="48"/>
  <c r="D894" i="48"/>
  <c r="D570" i="48"/>
  <c r="D244" i="48"/>
  <c r="D81" i="48"/>
  <c r="P16" i="114"/>
  <c r="D2845" i="48"/>
  <c r="D2521" i="48"/>
  <c r="D2197" i="48"/>
  <c r="D1873" i="48"/>
  <c r="D1549" i="48"/>
  <c r="F1549" i="48" s="1"/>
  <c r="G1549" i="48" s="1"/>
  <c r="D1224" i="48"/>
  <c r="D900" i="48"/>
  <c r="D576" i="48"/>
  <c r="D87" i="48"/>
  <c r="D3007" i="48"/>
  <c r="D2683" i="48"/>
  <c r="D2359" i="48"/>
  <c r="D2035" i="48"/>
  <c r="D1711" i="48"/>
  <c r="F1711" i="48" s="1"/>
  <c r="G1711" i="48" s="1"/>
  <c r="D1386" i="48"/>
  <c r="D1062" i="48"/>
  <c r="D738" i="48"/>
  <c r="D413" i="48"/>
  <c r="D250" i="48"/>
  <c r="E28" i="130"/>
  <c r="G28" i="130" s="1"/>
  <c r="E1947" i="48"/>
  <c r="E22" i="129"/>
  <c r="E1773" i="48"/>
  <c r="E28" i="131"/>
  <c r="G28" i="131" s="1"/>
  <c r="E2109" i="48"/>
  <c r="E29" i="127"/>
  <c r="E1461" i="48"/>
  <c r="E24" i="122"/>
  <c r="G24" i="122" s="1"/>
  <c r="E91" i="122"/>
  <c r="E63" i="111"/>
  <c r="E24" i="126"/>
  <c r="E1288" i="48"/>
  <c r="E42" i="126"/>
  <c r="E1306" i="48"/>
  <c r="E22" i="119"/>
  <c r="E311" i="48"/>
  <c r="E23" i="119"/>
  <c r="E312" i="48"/>
  <c r="E35" i="119"/>
  <c r="E320" i="48"/>
  <c r="E81" i="122"/>
  <c r="E647" i="48"/>
  <c r="E88" i="122"/>
  <c r="E655" i="48"/>
  <c r="E64" i="122"/>
  <c r="G64" i="122" s="1"/>
  <c r="E645" i="48"/>
  <c r="F1356" i="48"/>
  <c r="G1356" i="48" s="1"/>
  <c r="E82" i="127"/>
  <c r="I82" i="127" s="1"/>
  <c r="J82" i="127" s="1"/>
  <c r="E379" i="48"/>
  <c r="E455" i="48"/>
  <c r="E498" i="48" s="1"/>
  <c r="E447" i="48"/>
  <c r="E494" i="48" s="1"/>
  <c r="E438" i="48"/>
  <c r="E430" i="48"/>
  <c r="E486" i="48" s="1"/>
  <c r="E422" i="48"/>
  <c r="E414" i="48"/>
  <c r="E478" i="48" s="1"/>
  <c r="E406" i="48"/>
  <c r="E380" i="48"/>
  <c r="E423" i="48"/>
  <c r="E377" i="48"/>
  <c r="E454" i="48"/>
  <c r="E445" i="48"/>
  <c r="E437" i="48"/>
  <c r="E429" i="48"/>
  <c r="E421" i="48"/>
  <c r="E413" i="48"/>
  <c r="E405" i="48"/>
  <c r="E439" i="48"/>
  <c r="E376" i="48"/>
  <c r="E453" i="48"/>
  <c r="E497" i="48" s="1"/>
  <c r="E444" i="48"/>
  <c r="E436" i="48"/>
  <c r="E428" i="48"/>
  <c r="E420" i="48"/>
  <c r="E481" i="48" s="1"/>
  <c r="E412" i="48"/>
  <c r="E477" i="48" s="1"/>
  <c r="E404" i="48"/>
  <c r="E431" i="48"/>
  <c r="E374" i="48"/>
  <c r="E452" i="48"/>
  <c r="E443" i="48"/>
  <c r="E435" i="48"/>
  <c r="E427" i="48"/>
  <c r="E419" i="48"/>
  <c r="E411" i="48"/>
  <c r="E403" i="48"/>
  <c r="E407" i="48"/>
  <c r="E373" i="48"/>
  <c r="E451" i="48"/>
  <c r="E496" i="48" s="1"/>
  <c r="E442" i="48"/>
  <c r="E492" i="48" s="1"/>
  <c r="E434" i="48"/>
  <c r="E488" i="48" s="1"/>
  <c r="E426" i="48"/>
  <c r="E484" i="48" s="1"/>
  <c r="E418" i="48"/>
  <c r="E480" i="48" s="1"/>
  <c r="E410" i="48"/>
  <c r="E476" i="48" s="1"/>
  <c r="E402" i="48"/>
  <c r="E472" i="48" s="1"/>
  <c r="E456" i="48"/>
  <c r="E450" i="48"/>
  <c r="E441" i="48"/>
  <c r="E433" i="48"/>
  <c r="E425" i="48"/>
  <c r="E417" i="48"/>
  <c r="E409" i="48"/>
  <c r="E401" i="48"/>
  <c r="E415" i="48"/>
  <c r="E449" i="48"/>
  <c r="E440" i="48"/>
  <c r="E491" i="48" s="1"/>
  <c r="E432" i="48"/>
  <c r="E487" i="48" s="1"/>
  <c r="E424" i="48"/>
  <c r="E483" i="48" s="1"/>
  <c r="E416" i="48"/>
  <c r="E479" i="48" s="1"/>
  <c r="E408" i="48"/>
  <c r="E475" i="48" s="1"/>
  <c r="E400" i="48"/>
  <c r="E448" i="48"/>
  <c r="E460" i="48"/>
  <c r="E361" i="48"/>
  <c r="E48" i="121" s="1"/>
  <c r="E457" i="48"/>
  <c r="F457" i="48" s="1"/>
  <c r="E357" i="48"/>
  <c r="E459" i="48"/>
  <c r="E368" i="48"/>
  <c r="F368" i="48" s="1"/>
  <c r="E360" i="48"/>
  <c r="E47" i="121" s="1"/>
  <c r="E358" i="48"/>
  <c r="E461" i="48"/>
  <c r="E458" i="48"/>
  <c r="E367" i="48"/>
  <c r="E57" i="121" s="1"/>
  <c r="E359" i="48"/>
  <c r="E46" i="121" s="1"/>
  <c r="E366" i="48"/>
  <c r="F366" i="48" s="1"/>
  <c r="E462" i="48"/>
  <c r="E362" i="48"/>
  <c r="E49" i="121" s="1"/>
  <c r="F52" i="48"/>
  <c r="E70" i="111"/>
  <c r="F541" i="48"/>
  <c r="E71" i="122"/>
  <c r="F703" i="48"/>
  <c r="E69" i="123"/>
  <c r="F214" i="48"/>
  <c r="E70" i="119"/>
  <c r="F51" i="48"/>
  <c r="E69" i="111"/>
  <c r="F1188" i="48"/>
  <c r="G1188" i="48" s="1"/>
  <c r="E69" i="126"/>
  <c r="F215" i="48"/>
  <c r="E71" i="119"/>
  <c r="F1189" i="48"/>
  <c r="G1189" i="48" s="1"/>
  <c r="E70" i="126"/>
  <c r="F540" i="48"/>
  <c r="E70" i="122"/>
  <c r="F702" i="48"/>
  <c r="E68" i="123"/>
  <c r="F706" i="48"/>
  <c r="E72" i="123"/>
  <c r="F544" i="48"/>
  <c r="E74" i="122"/>
  <c r="F212" i="48"/>
  <c r="E68" i="119"/>
  <c r="F700" i="48"/>
  <c r="E66" i="123"/>
  <c r="F55" i="48"/>
  <c r="E73" i="111"/>
  <c r="F49" i="48"/>
  <c r="E67" i="111"/>
  <c r="F538" i="48"/>
  <c r="E68" i="122"/>
  <c r="F218" i="48"/>
  <c r="E74" i="119"/>
  <c r="F1192" i="48"/>
  <c r="G1192" i="48" s="1"/>
  <c r="E73" i="126"/>
  <c r="F1186" i="48"/>
  <c r="G1186" i="48" s="1"/>
  <c r="E67" i="126"/>
  <c r="F536" i="48"/>
  <c r="E66" i="122"/>
  <c r="F211" i="48"/>
  <c r="E67" i="119"/>
  <c r="F50" i="48"/>
  <c r="E68" i="111"/>
  <c r="F537" i="48"/>
  <c r="E67" i="122"/>
  <c r="F542" i="48"/>
  <c r="E72" i="122"/>
  <c r="F210" i="48"/>
  <c r="E66" i="119"/>
  <c r="F698" i="48"/>
  <c r="E64" i="123"/>
  <c r="F1187" i="48"/>
  <c r="G1187" i="48" s="1"/>
  <c r="E68" i="126"/>
  <c r="F539" i="48"/>
  <c r="E69" i="122"/>
  <c r="F699" i="48"/>
  <c r="E65" i="123"/>
  <c r="F704" i="48"/>
  <c r="E70" i="123"/>
  <c r="F1190" i="48"/>
  <c r="G1190" i="48" s="1"/>
  <c r="E71" i="126"/>
  <c r="F216" i="48"/>
  <c r="E72" i="119"/>
  <c r="F54" i="48"/>
  <c r="E72" i="111"/>
  <c r="F213" i="48"/>
  <c r="E69" i="119"/>
  <c r="F1184" i="48"/>
  <c r="G1184" i="48" s="1"/>
  <c r="E65" i="126"/>
  <c r="F53" i="48"/>
  <c r="E71" i="111"/>
  <c r="F48" i="48"/>
  <c r="E66" i="111"/>
  <c r="F543" i="48"/>
  <c r="E73" i="122"/>
  <c r="F705" i="48"/>
  <c r="E71" i="123"/>
  <c r="F1185" i="48"/>
  <c r="G1185" i="48" s="1"/>
  <c r="E66" i="126"/>
  <c r="F701" i="48"/>
  <c r="E67" i="123"/>
  <c r="F47" i="48"/>
  <c r="E65" i="111"/>
  <c r="F217" i="48"/>
  <c r="E73" i="119"/>
  <c r="F1191" i="48"/>
  <c r="G1191" i="48" s="1"/>
  <c r="E72" i="126"/>
  <c r="E1041" i="48"/>
  <c r="E879" i="48"/>
  <c r="E375" i="48"/>
  <c r="E381" i="48"/>
  <c r="E378" i="48"/>
  <c r="E92" i="122"/>
  <c r="G92" i="122" s="1"/>
  <c r="J92" i="122" s="1"/>
  <c r="F1527" i="48"/>
  <c r="G1527" i="48" s="1"/>
  <c r="E398" i="48"/>
  <c r="E42" i="121" s="1"/>
  <c r="E394" i="48"/>
  <c r="E16" i="121" s="1"/>
  <c r="I16" i="121" s="1"/>
  <c r="J16" i="121" s="1"/>
  <c r="E390" i="48"/>
  <c r="E12" i="121" s="1"/>
  <c r="I12" i="121" s="1"/>
  <c r="J12" i="121" s="1"/>
  <c r="E386" i="48"/>
  <c r="E34" i="121" s="1"/>
  <c r="E382" i="48"/>
  <c r="E78" i="121" s="1"/>
  <c r="I78" i="121" s="1"/>
  <c r="J78" i="121" s="1"/>
  <c r="E396" i="48"/>
  <c r="F396" i="48" s="1"/>
  <c r="E392" i="48"/>
  <c r="E388" i="48"/>
  <c r="F388" i="48" s="1"/>
  <c r="E384" i="48"/>
  <c r="E80" i="121" s="1"/>
  <c r="I80" i="121" s="1"/>
  <c r="J80" i="121" s="1"/>
  <c r="E397" i="48"/>
  <c r="E41" i="121" s="1"/>
  <c r="E393" i="48"/>
  <c r="E15" i="121" s="1"/>
  <c r="I15" i="121" s="1"/>
  <c r="J15" i="121" s="1"/>
  <c r="E389" i="48"/>
  <c r="F389" i="48" s="1"/>
  <c r="E385" i="48"/>
  <c r="E33" i="121" s="1"/>
  <c r="E395" i="48"/>
  <c r="E17" i="121" s="1"/>
  <c r="I17" i="121" s="1"/>
  <c r="J17" i="121" s="1"/>
  <c r="E383" i="48"/>
  <c r="E79" i="121" s="1"/>
  <c r="I79" i="121" s="1"/>
  <c r="J79" i="121" s="1"/>
  <c r="E391" i="48"/>
  <c r="E13" i="121" s="1"/>
  <c r="I13" i="121" s="1"/>
  <c r="J13" i="121" s="1"/>
  <c r="E399" i="48"/>
  <c r="E53" i="121" s="1"/>
  <c r="E387" i="48"/>
  <c r="F387" i="48" s="1"/>
  <c r="I101" i="119"/>
  <c r="J101" i="119" s="1"/>
  <c r="I11" i="147"/>
  <c r="K11" i="147"/>
  <c r="AM60" i="114"/>
  <c r="AH65" i="114"/>
  <c r="AL53" i="114"/>
  <c r="O14" i="114"/>
  <c r="P15" i="114"/>
  <c r="AL69" i="114"/>
  <c r="O30" i="114"/>
  <c r="I52" i="128"/>
  <c r="J52" i="128" s="1"/>
  <c r="I42" i="119"/>
  <c r="J42" i="119" s="1"/>
  <c r="I41" i="122"/>
  <c r="J41" i="122" s="1"/>
  <c r="I40" i="130"/>
  <c r="J40" i="130" s="1"/>
  <c r="I41" i="129"/>
  <c r="J41" i="129" s="1"/>
  <c r="F623" i="48"/>
  <c r="E76" i="122"/>
  <c r="G76" i="122" s="1"/>
  <c r="J76" i="122" s="1"/>
  <c r="F625" i="48"/>
  <c r="E93" i="122"/>
  <c r="G93" i="122" s="1"/>
  <c r="J93" i="122" s="1"/>
  <c r="E75" i="122"/>
  <c r="G75" i="122" s="1"/>
  <c r="J75" i="122" s="1"/>
  <c r="I37" i="130"/>
  <c r="F576" i="48"/>
  <c r="F1705" i="48"/>
  <c r="G1705" i="48" s="1"/>
  <c r="J4" i="129"/>
  <c r="J5" i="129" s="1"/>
  <c r="E34" i="129"/>
  <c r="G34" i="129" s="1"/>
  <c r="E363" i="48"/>
  <c r="E50" i="121" s="1"/>
  <c r="F1526" i="48"/>
  <c r="G1526" i="48" s="1"/>
  <c r="F1521" i="48"/>
  <c r="G1521" i="48" s="1"/>
  <c r="F1489" i="48"/>
  <c r="F1490" i="48" s="1"/>
  <c r="G1490" i="48" s="1"/>
  <c r="E86" i="127"/>
  <c r="I86" i="127" s="1"/>
  <c r="J86" i="127" s="1"/>
  <c r="E85" i="127"/>
  <c r="I85" i="127" s="1"/>
  <c r="J85" i="127" s="1"/>
  <c r="E89" i="127"/>
  <c r="I89" i="127" s="1"/>
  <c r="J89" i="127" s="1"/>
  <c r="E84" i="127"/>
  <c r="I84" i="127" s="1"/>
  <c r="J84" i="127" s="1"/>
  <c r="E87" i="127"/>
  <c r="F1507" i="48"/>
  <c r="G1507" i="48" s="1"/>
  <c r="F1582" i="48"/>
  <c r="G1582" i="48" s="1"/>
  <c r="J4" i="128"/>
  <c r="J5" i="128" s="1"/>
  <c r="E370" i="48"/>
  <c r="E60" i="121" s="1"/>
  <c r="I32" i="128"/>
  <c r="J32" i="128" s="1"/>
  <c r="I33" i="128"/>
  <c r="J33" i="128" s="1"/>
  <c r="I32" i="130"/>
  <c r="J32" i="130" s="1"/>
  <c r="J4" i="127"/>
  <c r="I34" i="119"/>
  <c r="J34" i="119" s="1"/>
  <c r="L9" i="110"/>
  <c r="L8" i="110" s="1"/>
  <c r="E19" i="122"/>
  <c r="AM56" i="114"/>
  <c r="AL51" i="114"/>
  <c r="O19" i="114"/>
  <c r="O20" i="114"/>
  <c r="O17" i="114"/>
  <c r="O12" i="114"/>
  <c r="AL59" i="114"/>
  <c r="O22" i="114"/>
  <c r="AM73" i="114"/>
  <c r="F2195" i="48"/>
  <c r="G2195" i="48" s="1"/>
  <c r="AM61" i="114"/>
  <c r="AL57" i="114"/>
  <c r="AL60" i="114"/>
  <c r="AM64" i="114"/>
  <c r="AM55" i="114"/>
  <c r="AL49" i="114"/>
  <c r="AM63" i="114"/>
  <c r="AM49" i="114"/>
  <c r="O21" i="114"/>
  <c r="AL73" i="114"/>
  <c r="O25" i="114"/>
  <c r="AL66" i="114"/>
  <c r="O16" i="114"/>
  <c r="AM57" i="114"/>
  <c r="AM62" i="114"/>
  <c r="AM58" i="114"/>
  <c r="AM66" i="114"/>
  <c r="AL62" i="114"/>
  <c r="AM72" i="114"/>
  <c r="AM76" i="114"/>
  <c r="AM70" i="114"/>
  <c r="AL70" i="114"/>
  <c r="O33" i="114"/>
  <c r="O37" i="114"/>
  <c r="AH71" i="114"/>
  <c r="AM71" i="114" s="1"/>
  <c r="O11" i="114"/>
  <c r="AL50" i="114"/>
  <c r="AM75" i="114"/>
  <c r="O36" i="114"/>
  <c r="F248" i="48"/>
  <c r="F1883" i="48"/>
  <c r="G1883" i="48" s="1"/>
  <c r="P28" i="114"/>
  <c r="F1721" i="48"/>
  <c r="G1721" i="48" s="1"/>
  <c r="F1396" i="48"/>
  <c r="G1396" i="48" s="1"/>
  <c r="F1741" i="48"/>
  <c r="G1741" i="48" s="1"/>
  <c r="F1222" i="48"/>
  <c r="G1222" i="48" s="1"/>
  <c r="F2033" i="48"/>
  <c r="G2033" i="48" s="1"/>
  <c r="F736" i="48"/>
  <c r="D85" i="48"/>
  <c r="F85" i="48" s="1"/>
  <c r="AL63" i="114"/>
  <c r="O24" i="114"/>
  <c r="E57" i="128"/>
  <c r="F1522" i="48"/>
  <c r="G1522" i="48" s="1"/>
  <c r="E36" i="111"/>
  <c r="G36" i="111" s="1"/>
  <c r="E37" i="122"/>
  <c r="G37" i="122" s="1"/>
  <c r="E36" i="128"/>
  <c r="G36" i="128" s="1"/>
  <c r="E36" i="130"/>
  <c r="G36" i="130" s="1"/>
  <c r="E36" i="126"/>
  <c r="G36" i="126" s="1"/>
  <c r="E36" i="129"/>
  <c r="G36" i="129" s="1"/>
  <c r="E35" i="123"/>
  <c r="G35" i="123" s="1"/>
  <c r="E37" i="127"/>
  <c r="G37" i="127" s="1"/>
  <c r="E37" i="119"/>
  <c r="G37" i="119" s="1"/>
  <c r="G88" i="145"/>
  <c r="G88" i="144"/>
  <c r="G89" i="143"/>
  <c r="G88" i="142"/>
  <c r="E63" i="128"/>
  <c r="E53" i="128"/>
  <c r="E33" i="129"/>
  <c r="E14" i="128"/>
  <c r="I14" i="128" s="1"/>
  <c r="J14" i="128" s="1"/>
  <c r="E38" i="128"/>
  <c r="I37" i="128" s="1"/>
  <c r="N9" i="128" s="1"/>
  <c r="L9" i="128" s="1"/>
  <c r="E84" i="128"/>
  <c r="F1651" i="48"/>
  <c r="F1652" i="48" s="1"/>
  <c r="G1652" i="48" s="1"/>
  <c r="E23" i="130"/>
  <c r="J6" i="121"/>
  <c r="E22" i="128"/>
  <c r="G22" i="128" s="1"/>
  <c r="E21" i="130"/>
  <c r="E17" i="128"/>
  <c r="I17" i="128" s="1"/>
  <c r="J17" i="128" s="1"/>
  <c r="F1523" i="48"/>
  <c r="G1523" i="48" s="1"/>
  <c r="E10" i="128"/>
  <c r="I10" i="128" s="1"/>
  <c r="J10" i="128" s="1"/>
  <c r="E15" i="129"/>
  <c r="I15" i="129" s="1"/>
  <c r="J15" i="129" s="1"/>
  <c r="F1520" i="48"/>
  <c r="G1520" i="48" s="1"/>
  <c r="F1528" i="48"/>
  <c r="G1528" i="48" s="1"/>
  <c r="E42" i="128"/>
  <c r="E80" i="128"/>
  <c r="H6" i="94"/>
  <c r="D6" i="94"/>
  <c r="F1535" i="48"/>
  <c r="G1535" i="48" s="1"/>
  <c r="F1503" i="48"/>
  <c r="G1503" i="48" s="1"/>
  <c r="F1508" i="48"/>
  <c r="G1508" i="48" s="1"/>
  <c r="F1502" i="48"/>
  <c r="G1502" i="48" s="1"/>
  <c r="E59" i="128"/>
  <c r="E1092" i="48"/>
  <c r="E947" i="48"/>
  <c r="E75" i="124" s="1"/>
  <c r="F1494" i="48"/>
  <c r="G1494" i="48" s="1"/>
  <c r="F1505" i="48"/>
  <c r="G1505" i="48" s="1"/>
  <c r="J4" i="130"/>
  <c r="J5" i="130" s="1"/>
  <c r="E86" i="129"/>
  <c r="I86" i="129" s="1"/>
  <c r="F1680" i="48"/>
  <c r="G1680" i="48" s="1"/>
  <c r="J5" i="127"/>
  <c r="J4" i="126"/>
  <c r="J5" i="126" s="1"/>
  <c r="J4" i="111"/>
  <c r="J5" i="111" s="1"/>
  <c r="K12" i="94"/>
  <c r="K13" i="94" s="1"/>
  <c r="K20" i="94" s="1"/>
  <c r="K27" i="94" s="1"/>
  <c r="E35" i="129"/>
  <c r="E47" i="129"/>
  <c r="E38" i="129"/>
  <c r="E78" i="129"/>
  <c r="I78" i="129" s="1"/>
  <c r="J78" i="129" s="1"/>
  <c r="E12" i="129"/>
  <c r="I12" i="129" s="1"/>
  <c r="J12" i="129" s="1"/>
  <c r="F1693" i="48"/>
  <c r="G1693" i="48" s="1"/>
  <c r="F1667" i="48"/>
  <c r="G1667" i="48" s="1"/>
  <c r="E371" i="48"/>
  <c r="F371" i="48" s="1"/>
  <c r="E10" i="119"/>
  <c r="I10" i="119" s="1"/>
  <c r="E364" i="48"/>
  <c r="E51" i="121" s="1"/>
  <c r="E372" i="48"/>
  <c r="E62" i="121" s="1"/>
  <c r="E52" i="129"/>
  <c r="F1665" i="48"/>
  <c r="G1665" i="48" s="1"/>
  <c r="F1813" i="48"/>
  <c r="F1814" i="48" s="1"/>
  <c r="G1814" i="48" s="1"/>
  <c r="E79" i="129"/>
  <c r="I79" i="129" s="1"/>
  <c r="J79" i="129" s="1"/>
  <c r="E11" i="129"/>
  <c r="I11" i="129" s="1"/>
  <c r="J11" i="129" s="1"/>
  <c r="E21" i="129"/>
  <c r="G21" i="129" s="1"/>
  <c r="E62" i="129"/>
  <c r="I62" i="129" s="1"/>
  <c r="J62" i="129" s="1"/>
  <c r="E61" i="122"/>
  <c r="E40" i="129"/>
  <c r="E80" i="130"/>
  <c r="E50" i="129"/>
  <c r="E85" i="130"/>
  <c r="F1696" i="48"/>
  <c r="G1696" i="48" s="1"/>
  <c r="E22" i="130"/>
  <c r="E14" i="129"/>
  <c r="I14" i="129" s="1"/>
  <c r="J14" i="129" s="1"/>
  <c r="F1664" i="48"/>
  <c r="G1664" i="48" s="1"/>
  <c r="F1853" i="48"/>
  <c r="G1853" i="48" s="1"/>
  <c r="F1847" i="48"/>
  <c r="G1847" i="48" s="1"/>
  <c r="F1686" i="48"/>
  <c r="G1686" i="48" s="1"/>
  <c r="E19" i="129"/>
  <c r="E32" i="129"/>
  <c r="E84" i="129"/>
  <c r="E83" i="129"/>
  <c r="E42" i="129"/>
  <c r="G42" i="129" s="1"/>
  <c r="E46" i="129"/>
  <c r="F1744" i="48"/>
  <c r="G1744" i="48" s="1"/>
  <c r="F1669" i="48"/>
  <c r="G1669" i="48" s="1"/>
  <c r="F1826" i="48"/>
  <c r="G1826" i="48" s="1"/>
  <c r="F1690" i="48"/>
  <c r="G1690" i="48" s="1"/>
  <c r="J9" i="129"/>
  <c r="E34" i="130"/>
  <c r="F1668" i="48"/>
  <c r="G1668" i="48" s="1"/>
  <c r="F1657" i="48"/>
  <c r="G1657" i="48" s="1"/>
  <c r="F1661" i="48"/>
  <c r="G1661" i="48" s="1"/>
  <c r="G29" i="126"/>
  <c r="J29" i="126" s="1"/>
  <c r="E33" i="130"/>
  <c r="F1670" i="48"/>
  <c r="G1670" i="48" s="1"/>
  <c r="E10" i="129"/>
  <c r="I10" i="129" s="1"/>
  <c r="J10" i="129" s="1"/>
  <c r="E48" i="129"/>
  <c r="F1656" i="48"/>
  <c r="G1656" i="48" s="1"/>
  <c r="F560" i="48"/>
  <c r="F613" i="48" s="1"/>
  <c r="E30" i="126"/>
  <c r="G30" i="126" s="1"/>
  <c r="J30" i="126" s="1"/>
  <c r="E88" i="129"/>
  <c r="I88" i="129" s="1"/>
  <c r="F1694" i="48"/>
  <c r="G1694" i="48" s="1"/>
  <c r="E57" i="129"/>
  <c r="I54" i="129" s="1"/>
  <c r="N11" i="129" s="1"/>
  <c r="L11" i="129" s="1"/>
  <c r="F1822" i="48"/>
  <c r="G1822" i="48" s="1"/>
  <c r="E90" i="129"/>
  <c r="E25" i="129"/>
  <c r="E28" i="129"/>
  <c r="E18" i="129"/>
  <c r="E26" i="129"/>
  <c r="E20" i="129"/>
  <c r="E80" i="129"/>
  <c r="E23" i="129"/>
  <c r="E43" i="129"/>
  <c r="G43" i="129" s="1"/>
  <c r="E63" i="129"/>
  <c r="G63" i="129" s="1"/>
  <c r="E87" i="129"/>
  <c r="E81" i="129"/>
  <c r="E24" i="129"/>
  <c r="E53" i="129"/>
  <c r="E85" i="129"/>
  <c r="E82" i="129"/>
  <c r="F1845" i="48"/>
  <c r="G1845" i="48" s="1"/>
  <c r="H2143" i="48"/>
  <c r="F1817" i="48"/>
  <c r="G1817" i="48" s="1"/>
  <c r="E949" i="48"/>
  <c r="F949" i="48" s="1"/>
  <c r="F1821" i="48"/>
  <c r="G1821" i="48" s="1"/>
  <c r="E46" i="130"/>
  <c r="F1851" i="48"/>
  <c r="G1851" i="48" s="1"/>
  <c r="E58" i="130"/>
  <c r="F1818" i="48"/>
  <c r="G1818" i="48" s="1"/>
  <c r="F221" i="48"/>
  <c r="E43" i="130"/>
  <c r="F1825" i="48"/>
  <c r="G1825" i="48" s="1"/>
  <c r="F1830" i="48"/>
  <c r="G1830" i="48" s="1"/>
  <c r="F220" i="48"/>
  <c r="E20" i="127"/>
  <c r="F1850" i="48"/>
  <c r="G1850" i="48" s="1"/>
  <c r="F1855" i="48"/>
  <c r="G1855" i="48" s="1"/>
  <c r="E79" i="130"/>
  <c r="I79" i="130" s="1"/>
  <c r="J79" i="130" s="1"/>
  <c r="F1857" i="48"/>
  <c r="G1857" i="48" s="1"/>
  <c r="F1903" i="48"/>
  <c r="G1903" i="48" s="1"/>
  <c r="F1819" i="48"/>
  <c r="G1819" i="48" s="1"/>
  <c r="E45" i="130"/>
  <c r="F1828" i="48"/>
  <c r="G1828" i="48" s="1"/>
  <c r="E57" i="130"/>
  <c r="F1823" i="48"/>
  <c r="G1823" i="48" s="1"/>
  <c r="E49" i="130"/>
  <c r="E81" i="130"/>
  <c r="F1827" i="48"/>
  <c r="G1827" i="48" s="1"/>
  <c r="E56" i="130"/>
  <c r="F1832" i="48"/>
  <c r="G1832" i="48" s="1"/>
  <c r="E61" i="130"/>
  <c r="E88" i="130"/>
  <c r="F1848" i="48"/>
  <c r="G1848" i="48" s="1"/>
  <c r="E9" i="130"/>
  <c r="I9" i="130" s="1"/>
  <c r="E24" i="130"/>
  <c r="F1852" i="48"/>
  <c r="G1852" i="48" s="1"/>
  <c r="E13" i="130"/>
  <c r="I13" i="130" s="1"/>
  <c r="J13" i="130" s="1"/>
  <c r="E18" i="130"/>
  <c r="E19" i="130"/>
  <c r="F1843" i="48"/>
  <c r="G1843" i="48" s="1"/>
  <c r="E78" i="130"/>
  <c r="I78" i="130" s="1"/>
  <c r="J78" i="130" s="1"/>
  <c r="F1854" i="48"/>
  <c r="G1854" i="48" s="1"/>
  <c r="F1831" i="48"/>
  <c r="G1831" i="48" s="1"/>
  <c r="E82" i="130"/>
  <c r="F1856" i="48"/>
  <c r="G1856" i="48" s="1"/>
  <c r="E17" i="130"/>
  <c r="I17" i="130" s="1"/>
  <c r="J17" i="130" s="1"/>
  <c r="E26" i="130"/>
  <c r="E35" i="130"/>
  <c r="F1859" i="48"/>
  <c r="G1859" i="48" s="1"/>
  <c r="E52" i="130"/>
  <c r="E86" i="130"/>
  <c r="E90" i="130"/>
  <c r="F1842" i="48"/>
  <c r="G1842" i="48" s="1"/>
  <c r="E77" i="130"/>
  <c r="I77" i="130" s="1"/>
  <c r="J77" i="130" s="1"/>
  <c r="E83" i="130"/>
  <c r="E84" i="130"/>
  <c r="E20" i="130"/>
  <c r="E42" i="130"/>
  <c r="F1849" i="48"/>
  <c r="G1849" i="48" s="1"/>
  <c r="E25" i="130"/>
  <c r="F1858" i="48"/>
  <c r="G1858" i="48" s="1"/>
  <c r="E41" i="130"/>
  <c r="E53" i="130"/>
  <c r="F1824" i="48"/>
  <c r="G1824" i="48" s="1"/>
  <c r="E50" i="130"/>
  <c r="E63" i="130"/>
  <c r="F1906" i="48"/>
  <c r="G1906" i="48" s="1"/>
  <c r="E89" i="130"/>
  <c r="E91" i="126"/>
  <c r="G91" i="126" s="1"/>
  <c r="J91" i="126" s="1"/>
  <c r="F787" i="48"/>
  <c r="E92" i="123"/>
  <c r="G92" i="123" s="1"/>
  <c r="J92" i="123" s="1"/>
  <c r="F785" i="48"/>
  <c r="E74" i="123"/>
  <c r="G74" i="123" s="1"/>
  <c r="J74" i="123" s="1"/>
  <c r="B2780" i="48"/>
  <c r="B4" i="140"/>
  <c r="E75" i="126"/>
  <c r="G75" i="126" s="1"/>
  <c r="J75" i="126" s="1"/>
  <c r="F1273" i="48"/>
  <c r="G1273" i="48" s="1"/>
  <c r="E92" i="126"/>
  <c r="G92" i="126" s="1"/>
  <c r="J92" i="126" s="1"/>
  <c r="F1268" i="48"/>
  <c r="G1268" i="48" s="1"/>
  <c r="E17" i="126"/>
  <c r="I17" i="126" s="1"/>
  <c r="J17" i="126" s="1"/>
  <c r="F1164" i="48"/>
  <c r="F1165" i="48" s="1"/>
  <c r="G1165" i="48" s="1"/>
  <c r="F1431" i="48"/>
  <c r="G1431" i="48" s="1"/>
  <c r="E75" i="129"/>
  <c r="G75" i="129" s="1"/>
  <c r="J75" i="129" s="1"/>
  <c r="E35" i="128"/>
  <c r="F1325" i="48"/>
  <c r="E40" i="127"/>
  <c r="E948" i="48"/>
  <c r="E91" i="124" s="1"/>
  <c r="G91" i="124" s="1"/>
  <c r="J91" i="124" s="1"/>
  <c r="E53" i="119"/>
  <c r="F516" i="48"/>
  <c r="E365" i="48"/>
  <c r="E52" i="121" s="1"/>
  <c r="F622" i="48"/>
  <c r="E17" i="122"/>
  <c r="I17" i="122" s="1"/>
  <c r="J17" i="122" s="1"/>
  <c r="E31" i="122"/>
  <c r="G31" i="122" s="1"/>
  <c r="J31" i="122" s="1"/>
  <c r="F515" i="48"/>
  <c r="F621" i="48"/>
  <c r="B4" i="131"/>
  <c r="F27" i="48"/>
  <c r="F28" i="48" s="1"/>
  <c r="B1970" i="48"/>
  <c r="E12" i="127"/>
  <c r="I12" i="127" s="1"/>
  <c r="J12" i="127" s="1"/>
  <c r="E28" i="127"/>
  <c r="E92" i="128"/>
  <c r="G92" i="128" s="1"/>
  <c r="J92" i="128" s="1"/>
  <c r="E47" i="126"/>
  <c r="E501" i="48"/>
  <c r="F501" i="48" s="1"/>
  <c r="I104" i="121" s="1"/>
  <c r="J104" i="121" s="1"/>
  <c r="F1326" i="48"/>
  <c r="E502" i="48"/>
  <c r="F502" i="48" s="1"/>
  <c r="I107" i="121" s="1"/>
  <c r="J107" i="121" s="1"/>
  <c r="E499" i="48"/>
  <c r="F499" i="48" s="1"/>
  <c r="I102" i="121" s="1"/>
  <c r="J102" i="121" s="1"/>
  <c r="E91" i="127"/>
  <c r="F223" i="48"/>
  <c r="G91" i="123"/>
  <c r="J91" i="123" s="1"/>
  <c r="E15" i="122"/>
  <c r="I15" i="122" s="1"/>
  <c r="J15" i="122" s="1"/>
  <c r="E30" i="129"/>
  <c r="G30" i="129" s="1"/>
  <c r="J30" i="129" s="1"/>
  <c r="E500" i="48"/>
  <c r="F500" i="48" s="1"/>
  <c r="I103" i="121" s="1"/>
  <c r="J103" i="121" s="1"/>
  <c r="E51" i="126"/>
  <c r="F1272" i="48"/>
  <c r="G1272" i="48" s="1"/>
  <c r="F235" i="48"/>
  <c r="E10" i="126"/>
  <c r="I10" i="126" s="1"/>
  <c r="J10" i="126" s="1"/>
  <c r="F1758" i="48"/>
  <c r="G1758" i="48" s="1"/>
  <c r="E84" i="126"/>
  <c r="E87" i="119"/>
  <c r="E54" i="127"/>
  <c r="E34" i="122"/>
  <c r="E61" i="126"/>
  <c r="E52" i="122"/>
  <c r="E33" i="122"/>
  <c r="F545" i="48"/>
  <c r="E504" i="48"/>
  <c r="F504" i="48" s="1"/>
  <c r="I105" i="121" s="1"/>
  <c r="J105" i="121" s="1"/>
  <c r="E83" i="122"/>
  <c r="G83" i="122" s="1"/>
  <c r="E81" i="126"/>
  <c r="E1051" i="48"/>
  <c r="E1121" i="48" s="1"/>
  <c r="E1153" i="48"/>
  <c r="F1153" i="48" s="1"/>
  <c r="I102" i="125" s="1"/>
  <c r="J102" i="125" s="1"/>
  <c r="E1069" i="48"/>
  <c r="E1042" i="48"/>
  <c r="F1042" i="48" s="1"/>
  <c r="E1063" i="48"/>
  <c r="E1127" i="48" s="1"/>
  <c r="E1065" i="48"/>
  <c r="E1128" i="48" s="1"/>
  <c r="E1056" i="48"/>
  <c r="E1043" i="48"/>
  <c r="F1043" i="48" s="1"/>
  <c r="E1083" i="48"/>
  <c r="E1085" i="48"/>
  <c r="E1084" i="48"/>
  <c r="E1013" i="48"/>
  <c r="E50" i="125" s="1"/>
  <c r="E1151" i="48"/>
  <c r="F1151" i="48" s="1"/>
  <c r="I104" i="125" s="1"/>
  <c r="J104" i="125" s="1"/>
  <c r="E1079" i="48"/>
  <c r="E1135" i="48" s="1"/>
  <c r="E1070" i="48"/>
  <c r="E1047" i="48"/>
  <c r="E41" i="125" s="1"/>
  <c r="E1098" i="48"/>
  <c r="E1144" i="48" s="1"/>
  <c r="E1100" i="48"/>
  <c r="E1145" i="48" s="1"/>
  <c r="E1016" i="48"/>
  <c r="F1016" i="48" s="1"/>
  <c r="E1039" i="48"/>
  <c r="F1039" i="48" s="1"/>
  <c r="E1093" i="48"/>
  <c r="E1011" i="48"/>
  <c r="E48" i="125" s="1"/>
  <c r="E1044" i="48"/>
  <c r="E16" i="125" s="1"/>
  <c r="I16" i="125" s="1"/>
  <c r="J16" i="125" s="1"/>
  <c r="E1053" i="48"/>
  <c r="E1122" i="48" s="1"/>
  <c r="E1066" i="48"/>
  <c r="E1046" i="48"/>
  <c r="F1046" i="48" s="1"/>
  <c r="E1148" i="48"/>
  <c r="F1148" i="48" s="1"/>
  <c r="I99" i="125" s="1"/>
  <c r="J99" i="125" s="1"/>
  <c r="E1058" i="48"/>
  <c r="E1060" i="48"/>
  <c r="E1059" i="48"/>
  <c r="E1125" i="48" s="1"/>
  <c r="E1082" i="48"/>
  <c r="E1010" i="48"/>
  <c r="F1010" i="48" s="1"/>
  <c r="E1007" i="48"/>
  <c r="F1007" i="48" s="1"/>
  <c r="E1072" i="48"/>
  <c r="E1074" i="48"/>
  <c r="E1101" i="48"/>
  <c r="E1071" i="48"/>
  <c r="E1131" i="48" s="1"/>
  <c r="E946" i="48"/>
  <c r="E74" i="124" s="1"/>
  <c r="E850" i="48"/>
  <c r="E889" i="48"/>
  <c r="E959" i="48" s="1"/>
  <c r="E905" i="48"/>
  <c r="E967" i="48" s="1"/>
  <c r="E921" i="48"/>
  <c r="E975" i="48" s="1"/>
  <c r="E938" i="48"/>
  <c r="E983" i="48" s="1"/>
  <c r="E875" i="48"/>
  <c r="E883" i="48"/>
  <c r="E869" i="48"/>
  <c r="E885" i="48"/>
  <c r="E855" i="48"/>
  <c r="E859" i="48"/>
  <c r="E912" i="48"/>
  <c r="E928" i="48"/>
  <c r="E941" i="48"/>
  <c r="E851" i="48"/>
  <c r="E891" i="48"/>
  <c r="E960" i="48" s="1"/>
  <c r="E907" i="48"/>
  <c r="E968" i="48" s="1"/>
  <c r="E923" i="48"/>
  <c r="E976" i="48" s="1"/>
  <c r="E940" i="48"/>
  <c r="E984" i="48" s="1"/>
  <c r="E888" i="48"/>
  <c r="E900" i="48"/>
  <c r="E914" i="48"/>
  <c r="E930" i="48"/>
  <c r="E852" i="48"/>
  <c r="E893" i="48"/>
  <c r="E961" i="48" s="1"/>
  <c r="E909" i="48"/>
  <c r="E969" i="48" s="1"/>
  <c r="E925" i="48"/>
  <c r="E977" i="48" s="1"/>
  <c r="E943" i="48"/>
  <c r="E988" i="48"/>
  <c r="F988" i="48" s="1"/>
  <c r="I101" i="124" s="1"/>
  <c r="J101" i="124" s="1"/>
  <c r="E876" i="48"/>
  <c r="E880" i="48"/>
  <c r="E874" i="48"/>
  <c r="E870" i="48"/>
  <c r="E886" i="48"/>
  <c r="E856" i="48"/>
  <c r="E890" i="48"/>
  <c r="E916" i="48"/>
  <c r="E932" i="48"/>
  <c r="E942" i="48"/>
  <c r="E985" i="48" s="1"/>
  <c r="E895" i="48"/>
  <c r="E962" i="48" s="1"/>
  <c r="E911" i="48"/>
  <c r="E970" i="48" s="1"/>
  <c r="E927" i="48"/>
  <c r="E978" i="48" s="1"/>
  <c r="E892" i="48"/>
  <c r="E902" i="48"/>
  <c r="E918" i="48"/>
  <c r="E933" i="48"/>
  <c r="E846" i="48"/>
  <c r="E897" i="48"/>
  <c r="E963" i="48" s="1"/>
  <c r="E913" i="48"/>
  <c r="E971" i="48" s="1"/>
  <c r="E929" i="48"/>
  <c r="E979" i="48" s="1"/>
  <c r="E989" i="48"/>
  <c r="F989" i="48" s="1"/>
  <c r="I104" i="124" s="1"/>
  <c r="J104" i="124" s="1"/>
  <c r="E877" i="48"/>
  <c r="E881" i="48"/>
  <c r="E873" i="48"/>
  <c r="E871" i="48"/>
  <c r="E844" i="48"/>
  <c r="E853" i="48"/>
  <c r="E857" i="48"/>
  <c r="E904" i="48"/>
  <c r="E920" i="48"/>
  <c r="E840" i="48"/>
  <c r="E847" i="48"/>
  <c r="E899" i="48"/>
  <c r="E964" i="48" s="1"/>
  <c r="E915" i="48"/>
  <c r="E972" i="48" s="1"/>
  <c r="E931" i="48"/>
  <c r="E980" i="48" s="1"/>
  <c r="E986" i="48"/>
  <c r="F986" i="48" s="1"/>
  <c r="I99" i="124" s="1"/>
  <c r="J99" i="124" s="1"/>
  <c r="E894" i="48"/>
  <c r="E906" i="48"/>
  <c r="E922" i="48"/>
  <c r="E935" i="48"/>
  <c r="E848" i="48"/>
  <c r="E901" i="48"/>
  <c r="E965" i="48" s="1"/>
  <c r="E917" i="48"/>
  <c r="E973" i="48" s="1"/>
  <c r="E934" i="48"/>
  <c r="E981" i="48" s="1"/>
  <c r="E991" i="48"/>
  <c r="F991" i="48" s="1"/>
  <c r="I102" i="124" s="1"/>
  <c r="J102" i="124" s="1"/>
  <c r="E878" i="48"/>
  <c r="E882" i="48"/>
  <c r="E872" i="48"/>
  <c r="E884" i="48"/>
  <c r="E845" i="48"/>
  <c r="E854" i="48"/>
  <c r="E858" i="48"/>
  <c r="E896" i="48"/>
  <c r="E908" i="48"/>
  <c r="E924" i="48"/>
  <c r="E937" i="48"/>
  <c r="E849" i="48"/>
  <c r="E887" i="48"/>
  <c r="E958" i="48" s="1"/>
  <c r="E903" i="48"/>
  <c r="E966" i="48" s="1"/>
  <c r="E919" i="48"/>
  <c r="E974" i="48" s="1"/>
  <c r="E936" i="48"/>
  <c r="E982" i="48" s="1"/>
  <c r="E987" i="48"/>
  <c r="F987" i="48" s="1"/>
  <c r="I100" i="124" s="1"/>
  <c r="J100" i="124" s="1"/>
  <c r="E898" i="48"/>
  <c r="E910" i="48"/>
  <c r="E926" i="48"/>
  <c r="E939" i="48"/>
  <c r="E1107" i="48"/>
  <c r="E30" i="125" s="1"/>
  <c r="G30" i="125" s="1"/>
  <c r="J30" i="125" s="1"/>
  <c r="E1075" i="48"/>
  <c r="E1095" i="48"/>
  <c r="E89" i="125" s="1"/>
  <c r="E1020" i="48"/>
  <c r="E60" i="125" s="1"/>
  <c r="E1014" i="48"/>
  <c r="E51" i="125" s="1"/>
  <c r="E1088" i="48"/>
  <c r="E1103" i="48"/>
  <c r="E945" i="48"/>
  <c r="E1110" i="48"/>
  <c r="E1106" i="48"/>
  <c r="E29" i="125" s="1"/>
  <c r="E1089" i="48"/>
  <c r="E1104" i="48"/>
  <c r="E1147" i="48" s="1"/>
  <c r="E1017" i="48"/>
  <c r="F1017" i="48" s="1"/>
  <c r="E1057" i="48"/>
  <c r="E1124" i="48" s="1"/>
  <c r="E1099" i="48"/>
  <c r="E944" i="48"/>
  <c r="E1048" i="48"/>
  <c r="F1048" i="48" s="1"/>
  <c r="E1102" i="48"/>
  <c r="E1146" i="48" s="1"/>
  <c r="E1012" i="48"/>
  <c r="E49" i="125" s="1"/>
  <c r="F1041" i="48"/>
  <c r="E1049" i="48"/>
  <c r="E1077" i="48"/>
  <c r="E1134" i="48" s="1"/>
  <c r="E1054" i="48"/>
  <c r="E1036" i="48"/>
  <c r="F1036" i="48" s="1"/>
  <c r="E1002" i="48"/>
  <c r="E1081" i="48"/>
  <c r="E1136" i="48" s="1"/>
  <c r="E1086" i="48"/>
  <c r="E1040" i="48"/>
  <c r="F1040" i="48" s="1"/>
  <c r="G74" i="126"/>
  <c r="J74" i="126" s="1"/>
  <c r="E1015" i="48"/>
  <c r="E55" i="125" s="1"/>
  <c r="E369" i="48"/>
  <c r="E1009" i="48"/>
  <c r="F1009" i="48" s="1"/>
  <c r="E1061" i="48"/>
  <c r="E1052" i="48"/>
  <c r="E1091" i="48"/>
  <c r="E1141" i="48" s="1"/>
  <c r="E1068" i="48"/>
  <c r="E1111" i="48"/>
  <c r="E1031" i="48"/>
  <c r="F1031" i="48" s="1"/>
  <c r="E62" i="127"/>
  <c r="E1096" i="48"/>
  <c r="E1097" i="48"/>
  <c r="E34" i="127"/>
  <c r="E1035" i="48"/>
  <c r="F1035" i="48" s="1"/>
  <c r="E1108" i="48"/>
  <c r="E74" i="125" s="1"/>
  <c r="E1018" i="48"/>
  <c r="E58" i="125" s="1"/>
  <c r="E16" i="127"/>
  <c r="I16" i="127" s="1"/>
  <c r="J16" i="127" s="1"/>
  <c r="F283" i="48"/>
  <c r="E90" i="119"/>
  <c r="E446" i="48"/>
  <c r="F446" i="48" s="1"/>
  <c r="F1421" i="48"/>
  <c r="G1421" i="48" s="1"/>
  <c r="E79" i="127"/>
  <c r="G79" i="127" s="1"/>
  <c r="F1370" i="48"/>
  <c r="G1370" i="48" s="1"/>
  <c r="E41" i="127"/>
  <c r="E19" i="127"/>
  <c r="F1338" i="48"/>
  <c r="G1338" i="48" s="1"/>
  <c r="E52" i="127"/>
  <c r="E97" i="127"/>
  <c r="E22" i="126"/>
  <c r="F1170" i="48"/>
  <c r="G1170" i="48" s="1"/>
  <c r="E45" i="126"/>
  <c r="E19" i="126"/>
  <c r="F1173" i="48"/>
  <c r="G1173" i="48" s="1"/>
  <c r="E48" i="126"/>
  <c r="E63" i="126"/>
  <c r="E53" i="126"/>
  <c r="E28" i="126"/>
  <c r="F1341" i="48"/>
  <c r="G1341" i="48" s="1"/>
  <c r="E58" i="127"/>
  <c r="E24" i="127"/>
  <c r="F1371" i="48"/>
  <c r="G1371" i="48" s="1"/>
  <c r="E42" i="127"/>
  <c r="E93" i="127"/>
  <c r="F1168" i="48"/>
  <c r="G1168" i="48" s="1"/>
  <c r="E38" i="126"/>
  <c r="F1360" i="48"/>
  <c r="G1360" i="48" s="1"/>
  <c r="E63" i="127"/>
  <c r="I63" i="127" s="1"/>
  <c r="J63" i="127" s="1"/>
  <c r="E76" i="127"/>
  <c r="G76" i="127" s="1"/>
  <c r="J76" i="127" s="1"/>
  <c r="F1433" i="48"/>
  <c r="G1433" i="48" s="1"/>
  <c r="E80" i="127"/>
  <c r="E43" i="126"/>
  <c r="F1169" i="48"/>
  <c r="G1169" i="48" s="1"/>
  <c r="E39" i="126"/>
  <c r="E83" i="126"/>
  <c r="E35" i="126"/>
  <c r="F1355" i="48"/>
  <c r="G1355" i="48" s="1"/>
  <c r="E81" i="127"/>
  <c r="I81" i="127" s="1"/>
  <c r="J81" i="127" s="1"/>
  <c r="E44" i="127"/>
  <c r="E94" i="127"/>
  <c r="E35" i="127"/>
  <c r="E92" i="127"/>
  <c r="E47" i="127"/>
  <c r="F1333" i="48"/>
  <c r="G1333" i="48" s="1"/>
  <c r="F1366" i="48"/>
  <c r="G1366" i="48" s="1"/>
  <c r="E15" i="127"/>
  <c r="I15" i="127" s="1"/>
  <c r="J15" i="127" s="1"/>
  <c r="E25" i="127"/>
  <c r="E88" i="126"/>
  <c r="E86" i="126"/>
  <c r="E80" i="126"/>
  <c r="F1206" i="48"/>
  <c r="G1206" i="48" s="1"/>
  <c r="E16" i="126"/>
  <c r="I16" i="126" s="1"/>
  <c r="J16" i="126" s="1"/>
  <c r="F1369" i="48"/>
  <c r="G1369" i="48" s="1"/>
  <c r="E18" i="127"/>
  <c r="I18" i="127" s="1"/>
  <c r="J18" i="127" s="1"/>
  <c r="E30" i="127"/>
  <c r="F1430" i="48"/>
  <c r="G1430" i="48" s="1"/>
  <c r="E78" i="127"/>
  <c r="G78" i="127" s="1"/>
  <c r="F1344" i="48"/>
  <c r="G1344" i="48" s="1"/>
  <c r="E61" i="127"/>
  <c r="E22" i="127"/>
  <c r="E36" i="127"/>
  <c r="F1343" i="48"/>
  <c r="G1343" i="48" s="1"/>
  <c r="E60" i="127"/>
  <c r="F1362" i="48"/>
  <c r="G1362" i="48" s="1"/>
  <c r="E11" i="127"/>
  <c r="I11" i="127" s="1"/>
  <c r="J11" i="127" s="1"/>
  <c r="F1182" i="48"/>
  <c r="G1182" i="48" s="1"/>
  <c r="E60" i="126"/>
  <c r="F1195" i="48"/>
  <c r="G1195" i="48" s="1"/>
  <c r="E79" i="126"/>
  <c r="I79" i="126" s="1"/>
  <c r="J79" i="126" s="1"/>
  <c r="F1257" i="48"/>
  <c r="G1257" i="48" s="1"/>
  <c r="E89" i="126"/>
  <c r="F1196" i="48"/>
  <c r="G1196" i="48" s="1"/>
  <c r="E32" i="126"/>
  <c r="E21" i="126"/>
  <c r="F1197" i="48"/>
  <c r="G1197" i="48" s="1"/>
  <c r="E33" i="126"/>
  <c r="E23" i="126"/>
  <c r="F1365" i="48"/>
  <c r="G1365" i="48" s="1"/>
  <c r="E14" i="127"/>
  <c r="I14" i="127" s="1"/>
  <c r="J14" i="127" s="1"/>
  <c r="E23" i="127"/>
  <c r="F1340" i="48"/>
  <c r="G1340" i="48" s="1"/>
  <c r="E57" i="127"/>
  <c r="E50" i="127"/>
  <c r="F1336" i="48"/>
  <c r="G1336" i="48" s="1"/>
  <c r="E21" i="127"/>
  <c r="F1339" i="48"/>
  <c r="G1339" i="48" s="1"/>
  <c r="E56" i="127"/>
  <c r="E75" i="127"/>
  <c r="G75" i="127" s="1"/>
  <c r="J75" i="127" s="1"/>
  <c r="F1432" i="48"/>
  <c r="G1432" i="48" s="1"/>
  <c r="F1210" i="48"/>
  <c r="G1210" i="48" s="1"/>
  <c r="E52" i="126"/>
  <c r="E34" i="126"/>
  <c r="F1181" i="48"/>
  <c r="G1181" i="48" s="1"/>
  <c r="E59" i="126"/>
  <c r="E15" i="126"/>
  <c r="I15" i="126" s="1"/>
  <c r="J15" i="126" s="1"/>
  <c r="F1205" i="48"/>
  <c r="G1205" i="48" s="1"/>
  <c r="F1180" i="48"/>
  <c r="G1180" i="48" s="1"/>
  <c r="E58" i="126"/>
  <c r="F1204" i="48"/>
  <c r="G1204" i="48" s="1"/>
  <c r="E14" i="126"/>
  <c r="I14" i="126" s="1"/>
  <c r="J14" i="126" s="1"/>
  <c r="F1179" i="48"/>
  <c r="G1179" i="48" s="1"/>
  <c r="E57" i="126"/>
  <c r="E20" i="126"/>
  <c r="E1109" i="48"/>
  <c r="E75" i="125" s="1"/>
  <c r="E1064" i="48"/>
  <c r="E1150" i="48"/>
  <c r="F1150" i="48" s="1"/>
  <c r="I101" i="125" s="1"/>
  <c r="J101" i="125" s="1"/>
  <c r="E1019" i="48"/>
  <c r="E1080" i="48"/>
  <c r="E1073" i="48"/>
  <c r="E1132" i="48" s="1"/>
  <c r="E1034" i="48"/>
  <c r="E1094" i="48"/>
  <c r="E1087" i="48"/>
  <c r="E1139" i="48" s="1"/>
  <c r="E1006" i="48"/>
  <c r="E1105" i="48"/>
  <c r="E1038" i="48"/>
  <c r="E1045" i="48"/>
  <c r="E1033" i="48"/>
  <c r="E1050" i="48"/>
  <c r="F1361" i="48"/>
  <c r="G1361" i="48" s="1"/>
  <c r="E10" i="127"/>
  <c r="I10" i="127" s="1"/>
  <c r="E51" i="127"/>
  <c r="F1337" i="48"/>
  <c r="G1337" i="48" s="1"/>
  <c r="F1358" i="48"/>
  <c r="G1358" i="48" s="1"/>
  <c r="E33" i="127"/>
  <c r="E49" i="127"/>
  <c r="F1335" i="48"/>
  <c r="G1335" i="48" s="1"/>
  <c r="E48" i="127"/>
  <c r="F1334" i="48"/>
  <c r="G1334" i="48" s="1"/>
  <c r="F1357" i="48"/>
  <c r="G1357" i="48" s="1"/>
  <c r="E43" i="127"/>
  <c r="E90" i="126"/>
  <c r="F1198" i="48"/>
  <c r="G1198" i="48" s="1"/>
  <c r="E62" i="126"/>
  <c r="I62" i="126" s="1"/>
  <c r="J62" i="126" s="1"/>
  <c r="E87" i="126"/>
  <c r="E13" i="126"/>
  <c r="I13" i="126" s="1"/>
  <c r="J13" i="126" s="1"/>
  <c r="F1203" i="48"/>
  <c r="G1203" i="48" s="1"/>
  <c r="E41" i="126"/>
  <c r="F1209" i="48"/>
  <c r="G1209" i="48" s="1"/>
  <c r="F1202" i="48"/>
  <c r="G1202" i="48" s="1"/>
  <c r="E12" i="126"/>
  <c r="I12" i="126" s="1"/>
  <c r="J12" i="126" s="1"/>
  <c r="F1175" i="48"/>
  <c r="G1175" i="48" s="1"/>
  <c r="E50" i="126"/>
  <c r="F1199" i="48"/>
  <c r="G1199" i="48" s="1"/>
  <c r="E9" i="126"/>
  <c r="I9" i="126" s="1"/>
  <c r="F1332" i="48"/>
  <c r="G1332" i="48" s="1"/>
  <c r="E1055" i="48"/>
  <c r="E1123" i="48" s="1"/>
  <c r="E1021" i="48"/>
  <c r="F1021" i="48" s="1"/>
  <c r="E1032" i="48"/>
  <c r="F1032" i="48" s="1"/>
  <c r="E1149" i="48"/>
  <c r="F1149" i="48" s="1"/>
  <c r="I100" i="125" s="1"/>
  <c r="J100" i="125" s="1"/>
  <c r="E1076" i="48"/>
  <c r="E1062" i="48"/>
  <c r="F1368" i="48"/>
  <c r="G1368" i="48" s="1"/>
  <c r="E17" i="127"/>
  <c r="I17" i="127" s="1"/>
  <c r="J17" i="127" s="1"/>
  <c r="E90" i="127"/>
  <c r="F1193" i="48"/>
  <c r="G1193" i="48" s="1"/>
  <c r="E77" i="126"/>
  <c r="I77" i="126" s="1"/>
  <c r="J77" i="126" s="1"/>
  <c r="F1178" i="48"/>
  <c r="G1178" i="48" s="1"/>
  <c r="E56" i="126"/>
  <c r="F1201" i="48"/>
  <c r="G1201" i="48" s="1"/>
  <c r="E11" i="126"/>
  <c r="I11" i="126" s="1"/>
  <c r="J11" i="126" s="1"/>
  <c r="E82" i="126"/>
  <c r="E85" i="126"/>
  <c r="E26" i="126"/>
  <c r="F1171" i="48"/>
  <c r="G1171" i="48" s="1"/>
  <c r="E46" i="126"/>
  <c r="F1270" i="48"/>
  <c r="G1270" i="48" s="1"/>
  <c r="F532" i="48"/>
  <c r="E1067" i="48"/>
  <c r="E1129" i="48" s="1"/>
  <c r="E1008" i="48"/>
  <c r="E45" i="125" s="1"/>
  <c r="E1037" i="48"/>
  <c r="F1037" i="48" s="1"/>
  <c r="E1090" i="48"/>
  <c r="E1078" i="48"/>
  <c r="E95" i="127"/>
  <c r="F1364" i="48"/>
  <c r="G1364" i="48" s="1"/>
  <c r="E13" i="127"/>
  <c r="I13" i="127" s="1"/>
  <c r="J13" i="127" s="1"/>
  <c r="F1419" i="48"/>
  <c r="G1419" i="48" s="1"/>
  <c r="E96" i="127"/>
  <c r="E27" i="127"/>
  <c r="F1342" i="48"/>
  <c r="G1342" i="48" s="1"/>
  <c r="E59" i="127"/>
  <c r="E26" i="127"/>
  <c r="F1372" i="48"/>
  <c r="G1372" i="48" s="1"/>
  <c r="E53" i="127"/>
  <c r="I53" i="127" s="1"/>
  <c r="E25" i="126"/>
  <c r="F1174" i="48"/>
  <c r="G1174" i="48" s="1"/>
  <c r="E49" i="126"/>
  <c r="E27" i="126"/>
  <c r="F1177" i="48"/>
  <c r="G1177" i="48" s="1"/>
  <c r="E55" i="126"/>
  <c r="F1194" i="48"/>
  <c r="G1194" i="48" s="1"/>
  <c r="E78" i="126"/>
  <c r="I78" i="126" s="1"/>
  <c r="J78" i="126" s="1"/>
  <c r="E18" i="126"/>
  <c r="F1208" i="48"/>
  <c r="G1208" i="48" s="1"/>
  <c r="E40" i="126"/>
  <c r="E79" i="122"/>
  <c r="I79" i="122" s="1"/>
  <c r="J79" i="122" s="1"/>
  <c r="E30" i="111"/>
  <c r="G30" i="111" s="1"/>
  <c r="J30" i="111" s="1"/>
  <c r="F611" i="48"/>
  <c r="E60" i="119"/>
  <c r="F207" i="48"/>
  <c r="C8" i="94"/>
  <c r="C16" i="94"/>
  <c r="C23" i="94" s="1"/>
  <c r="E43" i="128"/>
  <c r="E90" i="128"/>
  <c r="E50" i="128"/>
  <c r="F1500" i="48"/>
  <c r="G1500" i="48" s="1"/>
  <c r="E49" i="128"/>
  <c r="F1499" i="48"/>
  <c r="G1499" i="48" s="1"/>
  <c r="E46" i="128"/>
  <c r="F1496" i="48"/>
  <c r="G1496" i="48" s="1"/>
  <c r="F60" i="48"/>
  <c r="E33" i="111"/>
  <c r="F131" i="48"/>
  <c r="E29" i="111"/>
  <c r="E43" i="111"/>
  <c r="F56" i="48"/>
  <c r="E77" i="111"/>
  <c r="I77" i="111" s="1"/>
  <c r="J77" i="111" s="1"/>
  <c r="F771" i="48"/>
  <c r="E89" i="123"/>
  <c r="E84" i="123"/>
  <c r="F678" i="48"/>
  <c r="F679" i="48" s="1"/>
  <c r="G679" i="48" s="1"/>
  <c r="I4" i="123"/>
  <c r="F696" i="48"/>
  <c r="E59" i="123"/>
  <c r="F713" i="48"/>
  <c r="E9" i="123"/>
  <c r="I9" i="123" s="1"/>
  <c r="F712" i="48"/>
  <c r="E61" i="123"/>
  <c r="I61" i="123" s="1"/>
  <c r="J61" i="123" s="1"/>
  <c r="E26" i="123"/>
  <c r="F711" i="48"/>
  <c r="E32" i="123"/>
  <c r="F720" i="48"/>
  <c r="E16" i="123"/>
  <c r="I16" i="123" s="1"/>
  <c r="J16" i="123" s="1"/>
  <c r="E85" i="128"/>
  <c r="E83" i="128"/>
  <c r="F1531" i="48"/>
  <c r="G1531" i="48" s="1"/>
  <c r="E16" i="128"/>
  <c r="I16" i="128" s="1"/>
  <c r="J16" i="128" s="1"/>
  <c r="E87" i="128"/>
  <c r="F44" i="48"/>
  <c r="E59" i="111"/>
  <c r="F71" i="48"/>
  <c r="E40" i="111"/>
  <c r="E53" i="111"/>
  <c r="E21" i="111"/>
  <c r="F59" i="48"/>
  <c r="E32" i="111"/>
  <c r="E35" i="111"/>
  <c r="F69" i="48"/>
  <c r="E16" i="111"/>
  <c r="I16" i="111" s="1"/>
  <c r="J16" i="111" s="1"/>
  <c r="F45" i="48"/>
  <c r="E60" i="111"/>
  <c r="E82" i="123"/>
  <c r="F692" i="48"/>
  <c r="E55" i="123"/>
  <c r="E42" i="123"/>
  <c r="E87" i="123"/>
  <c r="E24" i="123"/>
  <c r="F714" i="48"/>
  <c r="E10" i="123"/>
  <c r="I10" i="123" s="1"/>
  <c r="J10" i="123" s="1"/>
  <c r="F715" i="48"/>
  <c r="E11" i="123"/>
  <c r="I11" i="123" s="1"/>
  <c r="J11" i="123" s="1"/>
  <c r="E62" i="122"/>
  <c r="F535" i="48"/>
  <c r="E34" i="128"/>
  <c r="F1524" i="48"/>
  <c r="G1524" i="48" s="1"/>
  <c r="E9" i="128"/>
  <c r="I9" i="128" s="1"/>
  <c r="E25" i="128"/>
  <c r="F57" i="48"/>
  <c r="E78" i="111"/>
  <c r="I78" i="111" s="1"/>
  <c r="J78" i="111" s="1"/>
  <c r="F43" i="48"/>
  <c r="E58" i="111"/>
  <c r="E25" i="111"/>
  <c r="F135" i="48"/>
  <c r="E91" i="111"/>
  <c r="G91" i="111" s="1"/>
  <c r="J91" i="111" s="1"/>
  <c r="F36" i="48"/>
  <c r="E48" i="111"/>
  <c r="F689" i="48"/>
  <c r="E49" i="123"/>
  <c r="E80" i="123"/>
  <c r="F685" i="48"/>
  <c r="E45" i="123"/>
  <c r="E18" i="123"/>
  <c r="E86" i="123"/>
  <c r="E22" i="123"/>
  <c r="E52" i="123"/>
  <c r="E41" i="123"/>
  <c r="E23" i="128"/>
  <c r="E21" i="128"/>
  <c r="G21" i="128" s="1"/>
  <c r="E19" i="128"/>
  <c r="E86" i="128"/>
  <c r="E22" i="111"/>
  <c r="F35" i="48"/>
  <c r="E47" i="111"/>
  <c r="F68" i="48"/>
  <c r="F89" i="48" s="1"/>
  <c r="E15" i="111"/>
  <c r="I15" i="111" s="1"/>
  <c r="J15" i="111" s="1"/>
  <c r="E34" i="111"/>
  <c r="F40" i="48"/>
  <c r="E55" i="111"/>
  <c r="E84" i="111"/>
  <c r="J4" i="122"/>
  <c r="J6" i="122" s="1"/>
  <c r="F710" i="48"/>
  <c r="E31" i="123"/>
  <c r="E62" i="123"/>
  <c r="F682" i="48"/>
  <c r="E37" i="123"/>
  <c r="F708" i="48"/>
  <c r="E77" i="123"/>
  <c r="I77" i="123" s="1"/>
  <c r="J77" i="123" s="1"/>
  <c r="E83" i="123"/>
  <c r="E20" i="123"/>
  <c r="E29" i="123"/>
  <c r="G29" i="123" s="1"/>
  <c r="J29" i="123" s="1"/>
  <c r="G73" i="123"/>
  <c r="J73" i="123" s="1"/>
  <c r="F783" i="48"/>
  <c r="F697" i="48"/>
  <c r="E60" i="123"/>
  <c r="E19" i="123"/>
  <c r="E92" i="119"/>
  <c r="G92" i="119" s="1"/>
  <c r="J92" i="119" s="1"/>
  <c r="E99" i="127"/>
  <c r="G99" i="127" s="1"/>
  <c r="J99" i="127" s="1"/>
  <c r="F1435" i="48"/>
  <c r="G1435" i="48" s="1"/>
  <c r="E48" i="119"/>
  <c r="F198" i="48"/>
  <c r="C18" i="94"/>
  <c r="C25" i="94" s="1"/>
  <c r="C12" i="94"/>
  <c r="E45" i="128"/>
  <c r="F1495" i="48"/>
  <c r="G1495" i="48" s="1"/>
  <c r="E51" i="128"/>
  <c r="F1501" i="48"/>
  <c r="G1501" i="48" s="1"/>
  <c r="E88" i="128"/>
  <c r="E48" i="128"/>
  <c r="F1498" i="48"/>
  <c r="G1498" i="48" s="1"/>
  <c r="E81" i="128"/>
  <c r="F63" i="48"/>
  <c r="E10" i="111"/>
  <c r="I10" i="111" s="1"/>
  <c r="J10" i="111" s="1"/>
  <c r="F41" i="48"/>
  <c r="E56" i="111"/>
  <c r="F70" i="48"/>
  <c r="E17" i="111"/>
  <c r="I17" i="111" s="1"/>
  <c r="J17" i="111" s="1"/>
  <c r="F39" i="48"/>
  <c r="E51" i="111"/>
  <c r="E42" i="111"/>
  <c r="E24" i="111"/>
  <c r="F716" i="48"/>
  <c r="F732" i="48" s="1"/>
  <c r="E12" i="123"/>
  <c r="I12" i="123" s="1"/>
  <c r="J12" i="123" s="1"/>
  <c r="E25" i="123"/>
  <c r="F722" i="48"/>
  <c r="E39" i="123"/>
  <c r="F717" i="48"/>
  <c r="E13" i="123"/>
  <c r="I13" i="123" s="1"/>
  <c r="J13" i="123" s="1"/>
  <c r="F695" i="48"/>
  <c r="E58" i="123"/>
  <c r="E81" i="123"/>
  <c r="F693" i="48"/>
  <c r="E56" i="123"/>
  <c r="E27" i="123"/>
  <c r="E29" i="128"/>
  <c r="F1593" i="48"/>
  <c r="G1593" i="48" s="1"/>
  <c r="F1596" i="48"/>
  <c r="G1596" i="48" s="1"/>
  <c r="E75" i="128"/>
  <c r="G75" i="128" s="1"/>
  <c r="J75" i="128" s="1"/>
  <c r="E82" i="128"/>
  <c r="F1534" i="48"/>
  <c r="G1534" i="48" s="1"/>
  <c r="E41" i="128"/>
  <c r="E24" i="128"/>
  <c r="E91" i="129"/>
  <c r="G91" i="129" s="1"/>
  <c r="J91" i="129" s="1"/>
  <c r="F1759" i="48"/>
  <c r="G1759" i="48" s="1"/>
  <c r="E85" i="111"/>
  <c r="F120" i="48"/>
  <c r="E89" i="111"/>
  <c r="E18" i="111"/>
  <c r="F33" i="48"/>
  <c r="E45" i="111"/>
  <c r="F64" i="48"/>
  <c r="E11" i="111"/>
  <c r="I11" i="111" s="1"/>
  <c r="J11" i="111" s="1"/>
  <c r="E88" i="111"/>
  <c r="F134" i="48"/>
  <c r="E75" i="111"/>
  <c r="G75" i="111" s="1"/>
  <c r="J75" i="111" s="1"/>
  <c r="F31" i="48"/>
  <c r="E38" i="111"/>
  <c r="F58" i="48"/>
  <c r="E79" i="111"/>
  <c r="I79" i="111" s="1"/>
  <c r="J79" i="111" s="1"/>
  <c r="E86" i="111"/>
  <c r="E19" i="111"/>
  <c r="E90" i="123"/>
  <c r="E23" i="123"/>
  <c r="F721" i="48"/>
  <c r="E17" i="123"/>
  <c r="I17" i="123" s="1"/>
  <c r="J17" i="123" s="1"/>
  <c r="F688" i="48"/>
  <c r="E48" i="123"/>
  <c r="F691" i="48"/>
  <c r="E54" i="123"/>
  <c r="E79" i="123"/>
  <c r="F694" i="48"/>
  <c r="E57" i="123"/>
  <c r="F786" i="48"/>
  <c r="F686" i="48"/>
  <c r="E46" i="123"/>
  <c r="F784" i="48"/>
  <c r="F557" i="48"/>
  <c r="E98" i="127"/>
  <c r="G98" i="127" s="1"/>
  <c r="J98" i="127" s="1"/>
  <c r="F1434" i="48"/>
  <c r="G1434" i="48" s="1"/>
  <c r="E47" i="122"/>
  <c r="F523" i="48"/>
  <c r="F1533" i="48"/>
  <c r="G1533" i="48" s="1"/>
  <c r="E40" i="128"/>
  <c r="E30" i="128"/>
  <c r="G30" i="128" s="1"/>
  <c r="J30" i="128" s="1"/>
  <c r="F1594" i="48"/>
  <c r="G1594" i="48" s="1"/>
  <c r="E28" i="128"/>
  <c r="E26" i="128"/>
  <c r="E78" i="128"/>
  <c r="I78" i="128" s="1"/>
  <c r="J78" i="128" s="1"/>
  <c r="F1519" i="48"/>
  <c r="G1519" i="48" s="1"/>
  <c r="E18" i="128"/>
  <c r="E27" i="129"/>
  <c r="F66" i="48"/>
  <c r="E13" i="111"/>
  <c r="I13" i="111" s="1"/>
  <c r="J13" i="111" s="1"/>
  <c r="E28" i="111"/>
  <c r="E26" i="111"/>
  <c r="E81" i="111"/>
  <c r="E88" i="123"/>
  <c r="E21" i="123"/>
  <c r="F718" i="48"/>
  <c r="F738" i="48" s="1"/>
  <c r="E14" i="123"/>
  <c r="I14" i="123" s="1"/>
  <c r="J14" i="123" s="1"/>
  <c r="F707" i="48"/>
  <c r="E76" i="123"/>
  <c r="I76" i="123" s="1"/>
  <c r="J76" i="123" s="1"/>
  <c r="F684" i="48"/>
  <c r="E44" i="123"/>
  <c r="E33" i="123"/>
  <c r="F687" i="48"/>
  <c r="E47" i="123"/>
  <c r="F683" i="48"/>
  <c r="E38" i="123"/>
  <c r="K15" i="94"/>
  <c r="K22" i="94" s="1"/>
  <c r="K7" i="94"/>
  <c r="K14" i="94" s="1"/>
  <c r="K21" i="94" s="1"/>
  <c r="F1518" i="48"/>
  <c r="G1518" i="48" s="1"/>
  <c r="E27" i="128"/>
  <c r="E20" i="128"/>
  <c r="F1530" i="48"/>
  <c r="G1530" i="48" s="1"/>
  <c r="E15" i="128"/>
  <c r="I15" i="128" s="1"/>
  <c r="J15" i="128" s="1"/>
  <c r="E47" i="128"/>
  <c r="F1497" i="48"/>
  <c r="G1497" i="48" s="1"/>
  <c r="F136" i="48"/>
  <c r="E92" i="111"/>
  <c r="G92" i="111" s="1"/>
  <c r="J92" i="111" s="1"/>
  <c r="F32" i="48"/>
  <c r="E39" i="111"/>
  <c r="E87" i="111"/>
  <c r="F65" i="48"/>
  <c r="E12" i="111"/>
  <c r="I12" i="111" s="1"/>
  <c r="J12" i="111" s="1"/>
  <c r="F37" i="48"/>
  <c r="E49" i="111"/>
  <c r="E20" i="111"/>
  <c r="E85" i="123"/>
  <c r="E28" i="123"/>
  <c r="F782" i="48"/>
  <c r="F719" i="48"/>
  <c r="F740" i="48" s="1"/>
  <c r="E15" i="123"/>
  <c r="I15" i="123" s="1"/>
  <c r="J15" i="123" s="1"/>
  <c r="F723" i="48"/>
  <c r="E40" i="123"/>
  <c r="E34" i="123"/>
  <c r="F709" i="48"/>
  <c r="F690" i="48"/>
  <c r="E50" i="123"/>
  <c r="F724" i="48"/>
  <c r="E51" i="123"/>
  <c r="E82" i="119"/>
  <c r="E44" i="122"/>
  <c r="E47" i="119"/>
  <c r="F197" i="48"/>
  <c r="E20" i="122"/>
  <c r="V9" i="110" s="1"/>
  <c r="E22" i="122"/>
  <c r="E14" i="122"/>
  <c r="I14" i="122" s="1"/>
  <c r="J14" i="122" s="1"/>
  <c r="F555" i="48"/>
  <c r="F554" i="48"/>
  <c r="F570" i="48" s="1"/>
  <c r="F232" i="48"/>
  <c r="E17" i="119"/>
  <c r="I17" i="119" s="1"/>
  <c r="J17" i="119" s="1"/>
  <c r="F522" i="48"/>
  <c r="E46" i="122"/>
  <c r="E51" i="119"/>
  <c r="F201" i="48"/>
  <c r="E84" i="122"/>
  <c r="F224" i="48"/>
  <c r="E63" i="119"/>
  <c r="I63" i="119" s="1"/>
  <c r="J63" i="119" s="1"/>
  <c r="E20" i="119"/>
  <c r="U9" i="110" s="1"/>
  <c r="E33" i="119"/>
  <c r="F222" i="48"/>
  <c r="F531" i="48"/>
  <c r="E58" i="122"/>
  <c r="E64" i="119"/>
  <c r="U14" i="110" s="1"/>
  <c r="E83" i="119"/>
  <c r="E50" i="119"/>
  <c r="F200" i="48"/>
  <c r="F61" i="48"/>
  <c r="E62" i="111"/>
  <c r="I62" i="111" s="1"/>
  <c r="J62" i="111" s="1"/>
  <c r="F67" i="48"/>
  <c r="F87" i="48" s="1"/>
  <c r="E14" i="111"/>
  <c r="I14" i="111" s="1"/>
  <c r="J14" i="111" s="1"/>
  <c r="F1919" i="48"/>
  <c r="G1919" i="48" s="1"/>
  <c r="E74" i="130"/>
  <c r="G74" i="130" s="1"/>
  <c r="J74" i="130" s="1"/>
  <c r="E57" i="119"/>
  <c r="F204" i="48"/>
  <c r="E14" i="119"/>
  <c r="I14" i="119" s="1"/>
  <c r="J14" i="119" s="1"/>
  <c r="F229" i="48"/>
  <c r="E57" i="122"/>
  <c r="F530" i="48"/>
  <c r="E25" i="119"/>
  <c r="U10" i="110" s="1"/>
  <c r="E76" i="119"/>
  <c r="G76" i="119" s="1"/>
  <c r="J76" i="119" s="1"/>
  <c r="F297" i="48"/>
  <c r="E59" i="119"/>
  <c r="F206" i="48"/>
  <c r="E56" i="119"/>
  <c r="F203" i="48"/>
  <c r="F62" i="48"/>
  <c r="E9" i="111"/>
  <c r="I9" i="111" s="1"/>
  <c r="F1760" i="48"/>
  <c r="G1760" i="48" s="1"/>
  <c r="E92" i="129"/>
  <c r="G92" i="129" s="1"/>
  <c r="J92" i="129" s="1"/>
  <c r="E91" i="130"/>
  <c r="G91" i="130" s="1"/>
  <c r="J91" i="130" s="1"/>
  <c r="F1921" i="48"/>
  <c r="G1921" i="48" s="1"/>
  <c r="E84" i="119"/>
  <c r="E48" i="122"/>
  <c r="F524" i="48"/>
  <c r="E12" i="122"/>
  <c r="I12" i="122" s="1"/>
  <c r="J12" i="122" s="1"/>
  <c r="F553" i="48"/>
  <c r="F561" i="48"/>
  <c r="E42" i="122"/>
  <c r="E81" i="119"/>
  <c r="E12" i="119"/>
  <c r="I12" i="119" s="1"/>
  <c r="J12" i="119" s="1"/>
  <c r="F227" i="48"/>
  <c r="E62" i="119"/>
  <c r="F209" i="48"/>
  <c r="E74" i="111"/>
  <c r="G74" i="111" s="1"/>
  <c r="J74" i="111" s="1"/>
  <c r="F133" i="48"/>
  <c r="F72" i="48"/>
  <c r="E41" i="111"/>
  <c r="F1920" i="48"/>
  <c r="G1920" i="48" s="1"/>
  <c r="E75" i="130"/>
  <c r="G75" i="130" s="1"/>
  <c r="J75" i="130" s="1"/>
  <c r="E89" i="119"/>
  <c r="E75" i="119"/>
  <c r="G75" i="119" s="1"/>
  <c r="J75" i="119" s="1"/>
  <c r="F296" i="48"/>
  <c r="E30" i="122"/>
  <c r="F620" i="48"/>
  <c r="E46" i="119"/>
  <c r="F196" i="48"/>
  <c r="E28" i="122"/>
  <c r="E86" i="119"/>
  <c r="E29" i="119"/>
  <c r="F46" i="48"/>
  <c r="E61" i="111"/>
  <c r="E23" i="111"/>
  <c r="E64" i="127"/>
  <c r="E92" i="130"/>
  <c r="G92" i="130" s="1"/>
  <c r="J92" i="130" s="1"/>
  <c r="F1922" i="48"/>
  <c r="G1922" i="48" s="1"/>
  <c r="F226" i="48"/>
  <c r="E11" i="119"/>
  <c r="I11" i="119" s="1"/>
  <c r="J11" i="119" s="1"/>
  <c r="E31" i="119"/>
  <c r="G31" i="119" s="1"/>
  <c r="J31" i="119" s="1"/>
  <c r="F295" i="48"/>
  <c r="E28" i="119"/>
  <c r="U12" i="110" s="1"/>
  <c r="F624" i="48"/>
  <c r="E44" i="119"/>
  <c r="E86" i="122"/>
  <c r="E16" i="119"/>
  <c r="I16" i="119" s="1"/>
  <c r="J16" i="119" s="1"/>
  <c r="F231" i="48"/>
  <c r="F252" i="48" s="1"/>
  <c r="E24" i="119"/>
  <c r="E88" i="119"/>
  <c r="E90" i="111"/>
  <c r="F42" i="48"/>
  <c r="E57" i="111"/>
  <c r="E83" i="111"/>
  <c r="E27" i="130"/>
  <c r="F230" i="48"/>
  <c r="F250" i="48" s="1"/>
  <c r="E15" i="119"/>
  <c r="I15" i="119" s="1"/>
  <c r="J15" i="119" s="1"/>
  <c r="E10" i="122"/>
  <c r="I10" i="122" s="1"/>
  <c r="F551" i="48"/>
  <c r="E43" i="119"/>
  <c r="U15" i="110" s="1"/>
  <c r="E26" i="122"/>
  <c r="E36" i="119"/>
  <c r="U13" i="110" s="1"/>
  <c r="E49" i="119"/>
  <c r="F199" i="48"/>
  <c r="E13" i="119"/>
  <c r="I13" i="119" s="1"/>
  <c r="J13" i="119" s="1"/>
  <c r="F228" i="48"/>
  <c r="F38" i="48"/>
  <c r="E50" i="111"/>
  <c r="E82" i="111"/>
  <c r="G74" i="129"/>
  <c r="J74" i="129" s="1"/>
  <c r="F1757" i="48"/>
  <c r="G1757" i="48" s="1"/>
  <c r="E91" i="128"/>
  <c r="G91" i="128" s="1"/>
  <c r="J91" i="128" s="1"/>
  <c r="F1597" i="48"/>
  <c r="G1597" i="48" s="1"/>
  <c r="F1918" i="48"/>
  <c r="G1918" i="48" s="1"/>
  <c r="E30" i="130"/>
  <c r="G30" i="130" s="1"/>
  <c r="J30" i="130" s="1"/>
  <c r="J6" i="119"/>
  <c r="F233" i="48"/>
  <c r="E18" i="119"/>
  <c r="I18" i="119" s="1"/>
  <c r="J18" i="119" s="1"/>
  <c r="E93" i="119"/>
  <c r="G93" i="119" s="1"/>
  <c r="J93" i="119" s="1"/>
  <c r="F299" i="48"/>
  <c r="E18" i="122"/>
  <c r="I18" i="122" s="1"/>
  <c r="J18" i="122" s="1"/>
  <c r="F559" i="48"/>
  <c r="F582" i="48" s="1"/>
  <c r="E52" i="119"/>
  <c r="F202" i="48"/>
  <c r="E85" i="119"/>
  <c r="E51" i="122"/>
  <c r="F527" i="48"/>
  <c r="E21" i="119"/>
  <c r="E78" i="119"/>
  <c r="I78" i="119" s="1"/>
  <c r="J78" i="119" s="1"/>
  <c r="F219" i="48"/>
  <c r="E54" i="119"/>
  <c r="U16" i="110" s="1"/>
  <c r="E27" i="119"/>
  <c r="U11" i="110" s="1"/>
  <c r="E30" i="119"/>
  <c r="F294" i="48"/>
  <c r="F34" i="48"/>
  <c r="E46" i="111"/>
  <c r="E80" i="111"/>
  <c r="E74" i="128"/>
  <c r="G74" i="128" s="1"/>
  <c r="F1595" i="48"/>
  <c r="G1595" i="48" s="1"/>
  <c r="F234" i="48"/>
  <c r="E41" i="119"/>
  <c r="E58" i="119"/>
  <c r="F205" i="48"/>
  <c r="E50" i="122"/>
  <c r="F526" i="48"/>
  <c r="F521" i="48"/>
  <c r="E40" i="122"/>
  <c r="E91" i="119"/>
  <c r="E26" i="119"/>
  <c r="E61" i="119"/>
  <c r="F208" i="48"/>
  <c r="E40" i="119"/>
  <c r="F195" i="48"/>
  <c r="F73" i="48"/>
  <c r="E52" i="111"/>
  <c r="E27" i="111"/>
  <c r="E29" i="129"/>
  <c r="F1755" i="48"/>
  <c r="G1755" i="48" s="1"/>
  <c r="E29" i="130"/>
  <c r="F1917" i="48"/>
  <c r="G1917" i="48" s="1"/>
  <c r="E2892" i="48"/>
  <c r="E75" i="140" s="1"/>
  <c r="G75" i="140" s="1"/>
  <c r="J75" i="140" s="1"/>
  <c r="E2838" i="48"/>
  <c r="E2846" i="48"/>
  <c r="E2854" i="48"/>
  <c r="E2914" i="48" s="1"/>
  <c r="E2862" i="48"/>
  <c r="E2918" i="48" s="1"/>
  <c r="E2870" i="48"/>
  <c r="E2922" i="48" s="1"/>
  <c r="E2879" i="48"/>
  <c r="E2926" i="48" s="1"/>
  <c r="E2888" i="48"/>
  <c r="E2934" i="48"/>
  <c r="F2934" i="48" s="1"/>
  <c r="G2934" i="48" s="1"/>
  <c r="E2826" i="48"/>
  <c r="E2816" i="48"/>
  <c r="E79" i="140" s="1"/>
  <c r="E2797" i="48"/>
  <c r="E2841" i="48"/>
  <c r="E2857" i="48"/>
  <c r="E2873" i="48"/>
  <c r="E2878" i="48"/>
  <c r="E2894" i="48"/>
  <c r="E2821" i="48"/>
  <c r="E2819" i="48"/>
  <c r="E2831" i="48"/>
  <c r="E2792" i="48"/>
  <c r="E2800" i="48"/>
  <c r="E57" i="140" s="1"/>
  <c r="E2847" i="48"/>
  <c r="E2863" i="48"/>
  <c r="E2891" i="48"/>
  <c r="E74" i="140" s="1"/>
  <c r="G74" i="140" s="1"/>
  <c r="J74" i="140" s="1"/>
  <c r="E2890" i="48"/>
  <c r="E30" i="140" s="1"/>
  <c r="G30" i="140" s="1"/>
  <c r="J30" i="140" s="1"/>
  <c r="E2832" i="48"/>
  <c r="E2903" i="48" s="1"/>
  <c r="E2840" i="48"/>
  <c r="E2848" i="48"/>
  <c r="E2856" i="48"/>
  <c r="E2915" i="48" s="1"/>
  <c r="E2864" i="48"/>
  <c r="E2919" i="48" s="1"/>
  <c r="E2872" i="48"/>
  <c r="E2923" i="48" s="1"/>
  <c r="E2881" i="48"/>
  <c r="E2927" i="48" s="1"/>
  <c r="E2932" i="48"/>
  <c r="F2932" i="48" s="1"/>
  <c r="G2932" i="48" s="1"/>
  <c r="E2814" i="48"/>
  <c r="E2795" i="48"/>
  <c r="E2803" i="48"/>
  <c r="E60" i="140" s="1"/>
  <c r="E2837" i="48"/>
  <c r="E2843" i="48"/>
  <c r="E2853" i="48"/>
  <c r="E2869" i="48"/>
  <c r="E2884" i="48"/>
  <c r="E2936" i="48"/>
  <c r="F2936" i="48" s="1"/>
  <c r="G2936" i="48" s="1"/>
  <c r="E2827" i="48"/>
  <c r="E2829" i="48"/>
  <c r="E2790" i="48"/>
  <c r="E2798" i="48"/>
  <c r="E2859" i="48"/>
  <c r="E2875" i="48"/>
  <c r="E2785" i="48"/>
  <c r="E2893" i="48"/>
  <c r="E91" i="140" s="1"/>
  <c r="G91" i="140" s="1"/>
  <c r="J91" i="140" s="1"/>
  <c r="E2834" i="48"/>
  <c r="E2842" i="48"/>
  <c r="E2850" i="48"/>
  <c r="E2858" i="48"/>
  <c r="E2916" i="48" s="1"/>
  <c r="E2866" i="48"/>
  <c r="E2920" i="48" s="1"/>
  <c r="E2874" i="48"/>
  <c r="E2924" i="48" s="1"/>
  <c r="E2883" i="48"/>
  <c r="E2928" i="48" s="1"/>
  <c r="E2822" i="48"/>
  <c r="E2818" i="48"/>
  <c r="E2887" i="48"/>
  <c r="E2930" i="48" s="1"/>
  <c r="E2793" i="48"/>
  <c r="E2801" i="48"/>
  <c r="E58" i="140" s="1"/>
  <c r="E2833" i="48"/>
  <c r="E2849" i="48"/>
  <c r="E2865" i="48"/>
  <c r="E2880" i="48"/>
  <c r="E2933" i="48"/>
  <c r="F2933" i="48" s="1"/>
  <c r="G2933" i="48" s="1"/>
  <c r="E2825" i="48"/>
  <c r="E2815" i="48"/>
  <c r="E78" i="140" s="1"/>
  <c r="E2789" i="48"/>
  <c r="E2796" i="48"/>
  <c r="E2839" i="48"/>
  <c r="E2855" i="48"/>
  <c r="E2871" i="48"/>
  <c r="E2886" i="48"/>
  <c r="E2836" i="48"/>
  <c r="E2844" i="48"/>
  <c r="E2852" i="48"/>
  <c r="E2913" i="48" s="1"/>
  <c r="E2860" i="48"/>
  <c r="E2917" i="48" s="1"/>
  <c r="E2868" i="48"/>
  <c r="E2921" i="48" s="1"/>
  <c r="E2876" i="48"/>
  <c r="E2925" i="48" s="1"/>
  <c r="E2885" i="48"/>
  <c r="E2929" i="48" s="1"/>
  <c r="E2820" i="48"/>
  <c r="E2828" i="48"/>
  <c r="E2830" i="48"/>
  <c r="E2791" i="48"/>
  <c r="E2799" i="48"/>
  <c r="E56" i="140" s="1"/>
  <c r="E2804" i="48"/>
  <c r="E61" i="140" s="1"/>
  <c r="E2845" i="48"/>
  <c r="E2861" i="48"/>
  <c r="E2877" i="48"/>
  <c r="E2889" i="48"/>
  <c r="E29" i="140" s="1"/>
  <c r="E2931" i="48"/>
  <c r="F2931" i="48" s="1"/>
  <c r="G2931" i="48" s="1"/>
  <c r="E2823" i="48"/>
  <c r="E2817" i="48"/>
  <c r="E2794" i="48"/>
  <c r="E2802" i="48"/>
  <c r="E59" i="140" s="1"/>
  <c r="E2835" i="48"/>
  <c r="E2851" i="48"/>
  <c r="E2867" i="48"/>
  <c r="E2882" i="48"/>
  <c r="E77" i="131"/>
  <c r="I77" i="131" s="1"/>
  <c r="J77" i="131" s="1"/>
  <c r="F2004" i="48"/>
  <c r="G2004" i="48" s="1"/>
  <c r="F1987" i="48"/>
  <c r="G1987" i="48" s="1"/>
  <c r="E51" i="131"/>
  <c r="E19" i="131"/>
  <c r="E42" i="131"/>
  <c r="E62" i="131"/>
  <c r="I62" i="131" s="1"/>
  <c r="J62" i="131" s="1"/>
  <c r="F2009" i="48"/>
  <c r="G2009" i="48" s="1"/>
  <c r="F2012" i="48"/>
  <c r="G2012" i="48" s="1"/>
  <c r="E11" i="131"/>
  <c r="I11" i="131" s="1"/>
  <c r="J11" i="131" s="1"/>
  <c r="E43" i="131"/>
  <c r="F1992" i="48"/>
  <c r="G1992" i="48" s="1"/>
  <c r="E59" i="131"/>
  <c r="F2007" i="48"/>
  <c r="G2007" i="48" s="1"/>
  <c r="E32" i="131"/>
  <c r="F2019" i="48"/>
  <c r="G2019" i="48" s="1"/>
  <c r="E40" i="131"/>
  <c r="I40" i="131" s="1"/>
  <c r="E39" i="131"/>
  <c r="F1980" i="48"/>
  <c r="G1980" i="48" s="1"/>
  <c r="F2010" i="48"/>
  <c r="G2010" i="48" s="1"/>
  <c r="E9" i="131"/>
  <c r="I9" i="131" s="1"/>
  <c r="F2084" i="48"/>
  <c r="G2084" i="48" s="1"/>
  <c r="E92" i="131"/>
  <c r="G92" i="131" s="1"/>
  <c r="J92" i="131" s="1"/>
  <c r="F1990" i="48"/>
  <c r="G1990" i="48" s="1"/>
  <c r="E57" i="131"/>
  <c r="E21" i="131"/>
  <c r="E63" i="131"/>
  <c r="F1981" i="48"/>
  <c r="G1981" i="48" s="1"/>
  <c r="E45" i="131"/>
  <c r="E91" i="131"/>
  <c r="G91" i="131" s="1"/>
  <c r="J91" i="131" s="1"/>
  <c r="F2083" i="48"/>
  <c r="G2083" i="48" s="1"/>
  <c r="I101" i="131"/>
  <c r="J101" i="131" s="1"/>
  <c r="E33" i="131"/>
  <c r="F2008" i="48"/>
  <c r="G2008" i="48" s="1"/>
  <c r="E86" i="131"/>
  <c r="I102" i="131"/>
  <c r="J102" i="131" s="1"/>
  <c r="E55" i="131"/>
  <c r="F1988" i="48"/>
  <c r="G1988" i="48" s="1"/>
  <c r="I100" i="131"/>
  <c r="J100" i="131" s="1"/>
  <c r="E18" i="131"/>
  <c r="I104" i="131"/>
  <c r="J104" i="131" s="1"/>
  <c r="E29" i="131"/>
  <c r="F2079" i="48"/>
  <c r="G2079" i="48" s="1"/>
  <c r="F1982" i="48"/>
  <c r="G1982" i="48" s="1"/>
  <c r="E46" i="131"/>
  <c r="E74" i="131"/>
  <c r="G74" i="131" s="1"/>
  <c r="J74" i="131" s="1"/>
  <c r="F2081" i="48"/>
  <c r="G2081" i="48" s="1"/>
  <c r="E30" i="131"/>
  <c r="G30" i="131" s="1"/>
  <c r="J30" i="131" s="1"/>
  <c r="F2080" i="48"/>
  <c r="G2080" i="48" s="1"/>
  <c r="E83" i="131"/>
  <c r="E90" i="131"/>
  <c r="E53" i="131"/>
  <c r="E87" i="131"/>
  <c r="F2017" i="48"/>
  <c r="G2017" i="48" s="1"/>
  <c r="E16" i="131"/>
  <c r="I16" i="131" s="1"/>
  <c r="J16" i="131" s="1"/>
  <c r="E84" i="131"/>
  <c r="F2020" i="48"/>
  <c r="G2020" i="48" s="1"/>
  <c r="E41" i="131"/>
  <c r="I41" i="131" s="1"/>
  <c r="E60" i="131"/>
  <c r="F1993" i="48"/>
  <c r="G1993" i="48" s="1"/>
  <c r="E20" i="131"/>
  <c r="E27" i="131"/>
  <c r="E35" i="131"/>
  <c r="F1984" i="48"/>
  <c r="G1984" i="48" s="1"/>
  <c r="E48" i="131"/>
  <c r="E26" i="131"/>
  <c r="F1991" i="48"/>
  <c r="G1991" i="48" s="1"/>
  <c r="E58" i="131"/>
  <c r="F2068" i="48"/>
  <c r="G2068" i="48" s="1"/>
  <c r="E89" i="131"/>
  <c r="F2018" i="48"/>
  <c r="G2018" i="48" s="1"/>
  <c r="E17" i="131"/>
  <c r="I17" i="131" s="1"/>
  <c r="J17" i="131" s="1"/>
  <c r="E80" i="131"/>
  <c r="E25" i="131"/>
  <c r="E36" i="131"/>
  <c r="E12" i="131"/>
  <c r="I12" i="131" s="1"/>
  <c r="J12" i="131" s="1"/>
  <c r="F2013" i="48"/>
  <c r="G2013" i="48" s="1"/>
  <c r="E85" i="131"/>
  <c r="F1983" i="48"/>
  <c r="G1983" i="48" s="1"/>
  <c r="E47" i="131"/>
  <c r="E82" i="131"/>
  <c r="F2015" i="48"/>
  <c r="G2015" i="48" s="1"/>
  <c r="E14" i="131"/>
  <c r="I14" i="131" s="1"/>
  <c r="J14" i="131" s="1"/>
  <c r="E81" i="131"/>
  <c r="F1985" i="48"/>
  <c r="G1985" i="48" s="1"/>
  <c r="E49" i="131"/>
  <c r="E24" i="131"/>
  <c r="F1989" i="48"/>
  <c r="G1989" i="48" s="1"/>
  <c r="E56" i="131"/>
  <c r="E88" i="131"/>
  <c r="E15" i="131"/>
  <c r="I15" i="131" s="1"/>
  <c r="J15" i="131" s="1"/>
  <c r="F2016" i="48"/>
  <c r="G2016" i="48" s="1"/>
  <c r="F2005" i="48"/>
  <c r="G2005" i="48" s="1"/>
  <c r="E78" i="131"/>
  <c r="I78" i="131" s="1"/>
  <c r="J78" i="131" s="1"/>
  <c r="E23" i="131"/>
  <c r="F1979" i="48"/>
  <c r="G1979" i="48" s="1"/>
  <c r="E38" i="131"/>
  <c r="F2011" i="48"/>
  <c r="G2011" i="48" s="1"/>
  <c r="E10" i="131"/>
  <c r="I10" i="131" s="1"/>
  <c r="J10" i="131" s="1"/>
  <c r="F2006" i="48"/>
  <c r="G2006" i="48" s="1"/>
  <c r="E79" i="131"/>
  <c r="I79" i="131" s="1"/>
  <c r="J79" i="131" s="1"/>
  <c r="F1986" i="48"/>
  <c r="G1986" i="48" s="1"/>
  <c r="E50" i="131"/>
  <c r="E22" i="131"/>
  <c r="E52" i="131"/>
  <c r="I52" i="131" s="1"/>
  <c r="F2021" i="48"/>
  <c r="G2021" i="48" s="1"/>
  <c r="F2014" i="48"/>
  <c r="G2014" i="48" s="1"/>
  <c r="E13" i="131"/>
  <c r="I13" i="131" s="1"/>
  <c r="J13" i="131" s="1"/>
  <c r="F2082" i="48"/>
  <c r="G2082" i="48" s="1"/>
  <c r="E75" i="131"/>
  <c r="G75" i="131" s="1"/>
  <c r="J75" i="131" s="1"/>
  <c r="E61" i="131"/>
  <c r="F1994" i="48"/>
  <c r="G1994" i="48" s="1"/>
  <c r="E34" i="131"/>
  <c r="F1975" i="48"/>
  <c r="F1976" i="48" s="1"/>
  <c r="G1976" i="48" s="1"/>
  <c r="I4" i="131"/>
  <c r="F1330" i="48"/>
  <c r="G1330" i="48" s="1"/>
  <c r="E39" i="127"/>
  <c r="E25" i="122"/>
  <c r="E89" i="122"/>
  <c r="E27" i="122"/>
  <c r="E43" i="122"/>
  <c r="E54" i="122"/>
  <c r="E35" i="122"/>
  <c r="F552" i="48"/>
  <c r="E11" i="122"/>
  <c r="I11" i="122" s="1"/>
  <c r="E49" i="122"/>
  <c r="F525" i="48"/>
  <c r="E56" i="122"/>
  <c r="F529" i="48"/>
  <c r="E29" i="122"/>
  <c r="E60" i="122"/>
  <c r="F533" i="48"/>
  <c r="E53" i="122"/>
  <c r="F562" i="48"/>
  <c r="E82" i="122"/>
  <c r="E21" i="122"/>
  <c r="E85" i="122"/>
  <c r="F550" i="48"/>
  <c r="E63" i="122"/>
  <c r="I63" i="122" s="1"/>
  <c r="J63" i="122" s="1"/>
  <c r="E90" i="122"/>
  <c r="F609" i="48"/>
  <c r="E23" i="122"/>
  <c r="E87" i="122"/>
  <c r="F547" i="48"/>
  <c r="E80" i="122"/>
  <c r="I80" i="122" s="1"/>
  <c r="J80" i="122" s="1"/>
  <c r="F748" i="48" l="1"/>
  <c r="F256" i="48"/>
  <c r="F775" i="48"/>
  <c r="F744" i="48"/>
  <c r="I38" i="119"/>
  <c r="J38" i="119" s="1"/>
  <c r="G28" i="48"/>
  <c r="J104" i="126"/>
  <c r="E22" i="133"/>
  <c r="F1717" i="48"/>
  <c r="G1717" i="48" s="1"/>
  <c r="I99" i="140"/>
  <c r="J99" i="140" s="1"/>
  <c r="I101" i="140"/>
  <c r="J101" i="140" s="1"/>
  <c r="I102" i="140"/>
  <c r="J102" i="140" s="1"/>
  <c r="I100" i="140"/>
  <c r="J100" i="140" s="1"/>
  <c r="I104" i="140"/>
  <c r="J104" i="140" s="1"/>
  <c r="F1875" i="48"/>
  <c r="G1875" i="48" s="1"/>
  <c r="F1867" i="48"/>
  <c r="G1867" i="48" s="1"/>
  <c r="F1910" i="48"/>
  <c r="G1910" i="48" s="1"/>
  <c r="F1551" i="48"/>
  <c r="G1551" i="48" s="1"/>
  <c r="F1586" i="48"/>
  <c r="G1586" i="48" s="1"/>
  <c r="F1559" i="48"/>
  <c r="G1559" i="48" s="1"/>
  <c r="F1218" i="48"/>
  <c r="G1218" i="48" s="1"/>
  <c r="F1224" i="48"/>
  <c r="G1224" i="48" s="1"/>
  <c r="F1234" i="48"/>
  <c r="G1234" i="48" s="1"/>
  <c r="F1261" i="48"/>
  <c r="G1261" i="48" s="1"/>
  <c r="F1226" i="48"/>
  <c r="G1226" i="48" s="1"/>
  <c r="N12" i="123"/>
  <c r="L12" i="123" s="1"/>
  <c r="F287" i="48"/>
  <c r="F1380" i="48"/>
  <c r="G1380" i="48" s="1"/>
  <c r="F1579" i="48"/>
  <c r="G1579" i="48" s="1"/>
  <c r="F1392" i="48"/>
  <c r="G1392" i="48" s="1"/>
  <c r="F1386" i="48"/>
  <c r="G1386" i="48" s="1"/>
  <c r="F1423" i="48"/>
  <c r="G1423" i="48" s="1"/>
  <c r="F578" i="48"/>
  <c r="F81" i="48"/>
  <c r="I63" i="123"/>
  <c r="N12" i="129"/>
  <c r="L12" i="129" s="1"/>
  <c r="N12" i="111"/>
  <c r="L12" i="111" s="1"/>
  <c r="N13" i="119"/>
  <c r="L13" i="119" s="1"/>
  <c r="N13" i="122"/>
  <c r="L13" i="122" s="1"/>
  <c r="N12" i="131"/>
  <c r="L12" i="131" s="1"/>
  <c r="N12" i="130"/>
  <c r="L12" i="130" s="1"/>
  <c r="N12" i="128"/>
  <c r="L12" i="128" s="1"/>
  <c r="N13" i="127"/>
  <c r="L13" i="127" s="1"/>
  <c r="N12" i="126"/>
  <c r="L12" i="126" s="1"/>
  <c r="I64" i="111"/>
  <c r="I64" i="126"/>
  <c r="I65" i="119"/>
  <c r="I65" i="122"/>
  <c r="E24" i="121"/>
  <c r="G24" i="121" s="1"/>
  <c r="F124" i="48"/>
  <c r="F93" i="48"/>
  <c r="F1879" i="48"/>
  <c r="G1879" i="48" s="1"/>
  <c r="F1873" i="48"/>
  <c r="G1873" i="48" s="1"/>
  <c r="F1543" i="48"/>
  <c r="G1543" i="48" s="1"/>
  <c r="P30" i="114"/>
  <c r="D2863" i="48"/>
  <c r="D2539" i="48"/>
  <c r="D2215" i="48"/>
  <c r="F2215" i="48" s="1"/>
  <c r="G2215" i="48" s="1"/>
  <c r="D1891" i="48"/>
  <c r="D1567" i="48"/>
  <c r="D1242" i="48"/>
  <c r="D918" i="48"/>
  <c r="D594" i="48"/>
  <c r="F594" i="48" s="1"/>
  <c r="D268" i="48"/>
  <c r="D105" i="48"/>
  <c r="D3025" i="48"/>
  <c r="D2701" i="48"/>
  <c r="D2377" i="48"/>
  <c r="D2053" i="48"/>
  <c r="D1729" i="48"/>
  <c r="F1729" i="48" s="1"/>
  <c r="G1729" i="48" s="1"/>
  <c r="D1404" i="48"/>
  <c r="F1404" i="48" s="1"/>
  <c r="G1404" i="48" s="1"/>
  <c r="D1080" i="48"/>
  <c r="D756" i="48"/>
  <c r="D431" i="48"/>
  <c r="P23" i="114"/>
  <c r="D2857" i="48"/>
  <c r="D2533" i="48"/>
  <c r="F2533" i="48" s="1"/>
  <c r="G2533" i="48" s="1"/>
  <c r="D2209" i="48"/>
  <c r="F2209" i="48" s="1"/>
  <c r="G2209" i="48" s="1"/>
  <c r="D1885" i="48"/>
  <c r="F1885" i="48" s="1"/>
  <c r="G1885" i="48" s="1"/>
  <c r="D1561" i="48"/>
  <c r="D1236" i="48"/>
  <c r="D912" i="48"/>
  <c r="D588" i="48"/>
  <c r="D2695" i="48"/>
  <c r="D2371" i="48"/>
  <c r="D262" i="48"/>
  <c r="D2047" i="48"/>
  <c r="D3019" i="48"/>
  <c r="D1398" i="48"/>
  <c r="D1074" i="48"/>
  <c r="D750" i="48"/>
  <c r="D99" i="48"/>
  <c r="D1723" i="48"/>
  <c r="D425" i="48"/>
  <c r="P34" i="114"/>
  <c r="D2873" i="48"/>
  <c r="D2549" i="48"/>
  <c r="D2225" i="48"/>
  <c r="F2225" i="48" s="1"/>
  <c r="G2225" i="48" s="1"/>
  <c r="D1901" i="48"/>
  <c r="D1577" i="48"/>
  <c r="F1577" i="48" s="1"/>
  <c r="G1577" i="48" s="1"/>
  <c r="D1252" i="48"/>
  <c r="F1252" i="48" s="1"/>
  <c r="G1252" i="48" s="1"/>
  <c r="D928" i="48"/>
  <c r="D604" i="48"/>
  <c r="F604" i="48" s="1"/>
  <c r="D1414" i="48"/>
  <c r="F1414" i="48" s="1"/>
  <c r="G1414" i="48" s="1"/>
  <c r="D278" i="48"/>
  <c r="D2387" i="48"/>
  <c r="F2387" i="48" s="1"/>
  <c r="G2387" i="48" s="1"/>
  <c r="D766" i="48"/>
  <c r="D1739" i="48"/>
  <c r="F1739" i="48" s="1"/>
  <c r="G1739" i="48" s="1"/>
  <c r="D115" i="48"/>
  <c r="F115" i="48" s="1"/>
  <c r="D3035" i="48"/>
  <c r="D2711" i="48"/>
  <c r="F2711" i="48" s="1"/>
  <c r="G2711" i="48" s="1"/>
  <c r="D2063" i="48"/>
  <c r="F2063" i="48" s="1"/>
  <c r="G2063" i="48" s="1"/>
  <c r="D1090" i="48"/>
  <c r="D441" i="48"/>
  <c r="P12" i="114"/>
  <c r="D2999" i="48"/>
  <c r="D2675" i="48"/>
  <c r="F2675" i="48" s="1"/>
  <c r="G2675" i="48" s="1"/>
  <c r="D2351" i="48"/>
  <c r="F2351" i="48" s="1"/>
  <c r="G2351" i="48" s="1"/>
  <c r="D2027" i="48"/>
  <c r="D1703" i="48"/>
  <c r="D1378" i="48"/>
  <c r="D1054" i="48"/>
  <c r="F1054" i="48" s="1"/>
  <c r="D730" i="48"/>
  <c r="D405" i="48"/>
  <c r="D2837" i="48"/>
  <c r="D2513" i="48"/>
  <c r="F2513" i="48" s="1"/>
  <c r="G2513" i="48" s="1"/>
  <c r="D2189" i="48"/>
  <c r="F2189" i="48" s="1"/>
  <c r="G2189" i="48" s="1"/>
  <c r="D1865" i="48"/>
  <c r="D1541" i="48"/>
  <c r="D1216" i="48"/>
  <c r="F1216" i="48" s="1"/>
  <c r="G1216" i="48" s="1"/>
  <c r="D892" i="48"/>
  <c r="D568" i="48"/>
  <c r="F568" i="48" s="1"/>
  <c r="D242" i="48"/>
  <c r="F242" i="48" s="1"/>
  <c r="D79" i="48"/>
  <c r="D3050" i="48"/>
  <c r="D2726" i="48"/>
  <c r="D2402" i="48"/>
  <c r="D2078" i="48"/>
  <c r="D1754" i="48"/>
  <c r="D1429" i="48"/>
  <c r="F1429" i="48" s="1"/>
  <c r="G1429" i="48" s="1"/>
  <c r="D1105" i="48"/>
  <c r="D781" i="48"/>
  <c r="F781" i="48" s="1"/>
  <c r="D456" i="48"/>
  <c r="F456" i="48" s="1"/>
  <c r="D2888" i="48"/>
  <c r="D2564" i="48"/>
  <c r="D2240" i="48"/>
  <c r="F2240" i="48" s="1"/>
  <c r="G2240" i="48" s="1"/>
  <c r="D1916" i="48"/>
  <c r="D1592" i="48"/>
  <c r="D1267" i="48"/>
  <c r="D943" i="48"/>
  <c r="F943" i="48" s="1"/>
  <c r="D619" i="48"/>
  <c r="D293" i="48"/>
  <c r="P31" i="114"/>
  <c r="D2705" i="48"/>
  <c r="F2705" i="48" s="1"/>
  <c r="G2705" i="48" s="1"/>
  <c r="D2057" i="48"/>
  <c r="D109" i="48"/>
  <c r="D2381" i="48"/>
  <c r="F2381" i="48" s="1"/>
  <c r="G2381" i="48" s="1"/>
  <c r="D1733" i="48"/>
  <c r="D3029" i="48"/>
  <c r="D2867" i="48"/>
  <c r="D2543" i="48"/>
  <c r="D2219" i="48"/>
  <c r="F2219" i="48" s="1"/>
  <c r="G2219" i="48" s="1"/>
  <c r="D1895" i="48"/>
  <c r="D1571" i="48"/>
  <c r="D1246" i="48"/>
  <c r="D922" i="48"/>
  <c r="D598" i="48"/>
  <c r="F598" i="48" s="1"/>
  <c r="D1084" i="48"/>
  <c r="D435" i="48"/>
  <c r="D1408" i="48"/>
  <c r="F1408" i="48" s="1"/>
  <c r="G1408" i="48" s="1"/>
  <c r="D272" i="48"/>
  <c r="D760" i="48"/>
  <c r="P21" i="114"/>
  <c r="D95" i="48"/>
  <c r="D3015" i="48"/>
  <c r="D2691" i="48"/>
  <c r="D2367" i="48"/>
  <c r="D2043" i="48"/>
  <c r="F2043" i="48" s="1"/>
  <c r="G2043" i="48" s="1"/>
  <c r="D1719" i="48"/>
  <c r="D1394" i="48"/>
  <c r="F1394" i="48" s="1"/>
  <c r="G1394" i="48" s="1"/>
  <c r="D1070" i="48"/>
  <c r="F1070" i="48" s="1"/>
  <c r="D746" i="48"/>
  <c r="F746" i="48" s="1"/>
  <c r="D421" i="48"/>
  <c r="F421" i="48" s="1"/>
  <c r="D2853" i="48"/>
  <c r="D2529" i="48"/>
  <c r="D2205" i="48"/>
  <c r="F2205" i="48" s="1"/>
  <c r="G2205" i="48" s="1"/>
  <c r="D1881" i="48"/>
  <c r="D1557" i="48"/>
  <c r="D1232" i="48"/>
  <c r="D908" i="48"/>
  <c r="D584" i="48"/>
  <c r="F584" i="48" s="1"/>
  <c r="D258" i="48"/>
  <c r="D270" i="48"/>
  <c r="D3027" i="48"/>
  <c r="D2703" i="48"/>
  <c r="D2379" i="48"/>
  <c r="D2055" i="48"/>
  <c r="F2055" i="48" s="1"/>
  <c r="G2055" i="48" s="1"/>
  <c r="D1731" i="48"/>
  <c r="D1406" i="48"/>
  <c r="D1082" i="48"/>
  <c r="D758" i="48"/>
  <c r="D433" i="48"/>
  <c r="D2865" i="48"/>
  <c r="D2217" i="48"/>
  <c r="F2217" i="48" s="1"/>
  <c r="G2217" i="48" s="1"/>
  <c r="D1244" i="48"/>
  <c r="F1244" i="48" s="1"/>
  <c r="G1244" i="48" s="1"/>
  <c r="D1569" i="48"/>
  <c r="F1569" i="48" s="1"/>
  <c r="G1569" i="48" s="1"/>
  <c r="D920" i="48"/>
  <c r="D2541" i="48"/>
  <c r="D1893" i="48"/>
  <c r="D107" i="48"/>
  <c r="F107" i="48" s="1"/>
  <c r="D596" i="48"/>
  <c r="P18" i="114"/>
  <c r="D254" i="48"/>
  <c r="F254" i="48" s="1"/>
  <c r="D3011" i="48"/>
  <c r="D2687" i="48"/>
  <c r="D2363" i="48"/>
  <c r="D2039" i="48"/>
  <c r="D1715" i="48"/>
  <c r="F1715" i="48" s="1"/>
  <c r="G1715" i="48" s="1"/>
  <c r="D1390" i="48"/>
  <c r="D1066" i="48"/>
  <c r="D742" i="48"/>
  <c r="F742" i="48" s="1"/>
  <c r="D417" i="48"/>
  <c r="D2525" i="48"/>
  <c r="F2525" i="48" s="1"/>
  <c r="G2525" i="48" s="1"/>
  <c r="D2201" i="48"/>
  <c r="D2849" i="48"/>
  <c r="D1877" i="48"/>
  <c r="F1877" i="48" s="1"/>
  <c r="G1877" i="48" s="1"/>
  <c r="D1228" i="48"/>
  <c r="D1553" i="48"/>
  <c r="F1553" i="48" s="1"/>
  <c r="G1553" i="48" s="1"/>
  <c r="D904" i="48"/>
  <c r="D91" i="48"/>
  <c r="F91" i="48" s="1"/>
  <c r="D580" i="48"/>
  <c r="F580" i="48" s="1"/>
  <c r="P14" i="114"/>
  <c r="D2841" i="48"/>
  <c r="D2517" i="48"/>
  <c r="F2517" i="48" s="1"/>
  <c r="G2517" i="48" s="1"/>
  <c r="D2193" i="48"/>
  <c r="D1869" i="48"/>
  <c r="F1869" i="48" s="1"/>
  <c r="G1869" i="48" s="1"/>
  <c r="D1545" i="48"/>
  <c r="F1545" i="48" s="1"/>
  <c r="G1545" i="48" s="1"/>
  <c r="D1220" i="48"/>
  <c r="F1220" i="48" s="1"/>
  <c r="G1220" i="48" s="1"/>
  <c r="D896" i="48"/>
  <c r="D572" i="48"/>
  <c r="F572" i="48" s="1"/>
  <c r="D2031" i="48"/>
  <c r="D246" i="48"/>
  <c r="F246" i="48" s="1"/>
  <c r="D3003" i="48"/>
  <c r="D1707" i="48"/>
  <c r="F1707" i="48" s="1"/>
  <c r="G1707" i="48" s="1"/>
  <c r="D1058" i="48"/>
  <c r="F1058" i="48" s="1"/>
  <c r="D83" i="48"/>
  <c r="F83" i="48" s="1"/>
  <c r="D2679" i="48"/>
  <c r="F2679" i="48" s="1"/>
  <c r="G2679" i="48" s="1"/>
  <c r="D2355" i="48"/>
  <c r="D1382" i="48"/>
  <c r="F1382" i="48" s="1"/>
  <c r="G1382" i="48" s="1"/>
  <c r="D734" i="48"/>
  <c r="F734" i="48" s="1"/>
  <c r="D409" i="48"/>
  <c r="P11" i="114"/>
  <c r="D77" i="48"/>
  <c r="F77" i="48" s="1"/>
  <c r="D2673" i="48"/>
  <c r="F2673" i="48" s="1"/>
  <c r="G2673" i="48" s="1"/>
  <c r="D2025" i="48"/>
  <c r="F2025" i="48" s="1"/>
  <c r="G2025" i="48" s="1"/>
  <c r="D2997" i="48"/>
  <c r="D2349" i="48"/>
  <c r="D1701" i="48"/>
  <c r="F1701" i="48" s="1"/>
  <c r="G1701" i="48" s="1"/>
  <c r="D2835" i="48"/>
  <c r="D2511" i="48"/>
  <c r="D2187" i="48"/>
  <c r="F2187" i="48" s="1"/>
  <c r="G2187" i="48" s="1"/>
  <c r="D1863" i="48"/>
  <c r="F1863" i="48" s="1"/>
  <c r="G1863" i="48" s="1"/>
  <c r="D1539" i="48"/>
  <c r="F1539" i="48" s="1"/>
  <c r="G1539" i="48" s="1"/>
  <c r="D1214" i="48"/>
  <c r="D890" i="48"/>
  <c r="D566" i="48"/>
  <c r="D403" i="48"/>
  <c r="D240" i="48"/>
  <c r="D1052" i="48"/>
  <c r="D728" i="48"/>
  <c r="F728" i="48" s="1"/>
  <c r="D1376" i="48"/>
  <c r="P27" i="114"/>
  <c r="D3048" i="48"/>
  <c r="D2724" i="48"/>
  <c r="D2400" i="48"/>
  <c r="F2400" i="48" s="1"/>
  <c r="G2400" i="48" s="1"/>
  <c r="D2076" i="48"/>
  <c r="D1752" i="48"/>
  <c r="F1752" i="48" s="1"/>
  <c r="G1752" i="48" s="1"/>
  <c r="D1427" i="48"/>
  <c r="F1427" i="48" s="1"/>
  <c r="G1427" i="48" s="1"/>
  <c r="D1103" i="48"/>
  <c r="D779" i="48"/>
  <c r="F779" i="48" s="1"/>
  <c r="D454" i="48"/>
  <c r="D128" i="48"/>
  <c r="F128" i="48" s="1"/>
  <c r="D2886" i="48"/>
  <c r="D2562" i="48"/>
  <c r="F2562" i="48" s="1"/>
  <c r="G2562" i="48" s="1"/>
  <c r="D2238" i="48"/>
  <c r="D1914" i="48"/>
  <c r="F1914" i="48" s="1"/>
  <c r="G1914" i="48" s="1"/>
  <c r="D1590" i="48"/>
  <c r="D1265" i="48"/>
  <c r="D941" i="48"/>
  <c r="D617" i="48"/>
  <c r="F617" i="48" s="1"/>
  <c r="D291" i="48"/>
  <c r="P10" i="114"/>
  <c r="D238" i="48"/>
  <c r="D75" i="48"/>
  <c r="F75" i="48" s="1"/>
  <c r="D2995" i="48"/>
  <c r="D2671" i="48"/>
  <c r="D2347" i="48"/>
  <c r="D2023" i="48"/>
  <c r="F2023" i="48" s="1"/>
  <c r="G2023" i="48" s="1"/>
  <c r="D1699" i="48"/>
  <c r="F1699" i="48" s="1"/>
  <c r="G1699" i="48" s="1"/>
  <c r="D1374" i="48"/>
  <c r="F1374" i="48" s="1"/>
  <c r="G1374" i="48" s="1"/>
  <c r="D1050" i="48"/>
  <c r="D726" i="48"/>
  <c r="F726" i="48" s="1"/>
  <c r="D401" i="48"/>
  <c r="D1861" i="48"/>
  <c r="F1861" i="48" s="1"/>
  <c r="G1861" i="48" s="1"/>
  <c r="D1212" i="48"/>
  <c r="F1212" i="48" s="1"/>
  <c r="G1212" i="48" s="1"/>
  <c r="D888" i="48"/>
  <c r="D2833" i="48"/>
  <c r="D1537" i="48"/>
  <c r="F1537" i="48" s="1"/>
  <c r="G1537" i="48" s="1"/>
  <c r="D2509" i="48"/>
  <c r="D2185" i="48"/>
  <c r="F2185" i="48" s="1"/>
  <c r="G2185" i="48" s="1"/>
  <c r="D564" i="48"/>
  <c r="F564" i="48" s="1"/>
  <c r="E88" i="125"/>
  <c r="I88" i="125" s="1"/>
  <c r="E1142" i="48"/>
  <c r="E18" i="125"/>
  <c r="G18" i="125" s="1"/>
  <c r="E1120" i="48"/>
  <c r="E35" i="125"/>
  <c r="G35" i="125" s="1"/>
  <c r="E1130" i="48"/>
  <c r="E84" i="125"/>
  <c r="E1138" i="48"/>
  <c r="E86" i="125"/>
  <c r="I86" i="125" s="1"/>
  <c r="E1140" i="48"/>
  <c r="E83" i="125"/>
  <c r="E1137" i="48"/>
  <c r="E80" i="125"/>
  <c r="E1133" i="48"/>
  <c r="E24" i="125"/>
  <c r="G24" i="125" s="1"/>
  <c r="E1126" i="48"/>
  <c r="E90" i="125"/>
  <c r="E1143" i="48"/>
  <c r="E24" i="140"/>
  <c r="E2909" i="48"/>
  <c r="E27" i="140"/>
  <c r="E2912" i="48"/>
  <c r="E20" i="140"/>
  <c r="E2905" i="48"/>
  <c r="E23" i="140"/>
  <c r="E2908" i="48"/>
  <c r="E26" i="140"/>
  <c r="E2911" i="48"/>
  <c r="E19" i="140"/>
  <c r="E2904" i="48"/>
  <c r="E22" i="140"/>
  <c r="E2907" i="48"/>
  <c r="E25" i="140"/>
  <c r="E2910" i="48"/>
  <c r="E21" i="140"/>
  <c r="E2906" i="48"/>
  <c r="E91" i="121"/>
  <c r="E81" i="121"/>
  <c r="E82" i="121"/>
  <c r="E485" i="48"/>
  <c r="E22" i="121"/>
  <c r="G22" i="121" s="1"/>
  <c r="E474" i="48"/>
  <c r="E43" i="121"/>
  <c r="E495" i="48"/>
  <c r="E85" i="121"/>
  <c r="E489" i="48"/>
  <c r="E89" i="121"/>
  <c r="I89" i="121" s="1"/>
  <c r="E493" i="48"/>
  <c r="E64" i="121"/>
  <c r="G64" i="121" s="1"/>
  <c r="E482" i="48"/>
  <c r="E35" i="121"/>
  <c r="G35" i="121" s="1"/>
  <c r="E19" i="121"/>
  <c r="G19" i="121" s="1"/>
  <c r="E471" i="48"/>
  <c r="E37" i="121"/>
  <c r="G37" i="121" s="1"/>
  <c r="E86" i="121"/>
  <c r="E490" i="48"/>
  <c r="E21" i="121"/>
  <c r="G21" i="121" s="1"/>
  <c r="E473" i="48"/>
  <c r="G64" i="111"/>
  <c r="F1027" i="48"/>
  <c r="E70" i="125"/>
  <c r="F1026" i="48"/>
  <c r="E69" i="125"/>
  <c r="F378" i="48"/>
  <c r="E71" i="121"/>
  <c r="F864" i="48"/>
  <c r="E69" i="124"/>
  <c r="F377" i="48"/>
  <c r="E70" i="121"/>
  <c r="F865" i="48"/>
  <c r="E70" i="124"/>
  <c r="F381" i="48"/>
  <c r="E74" i="121"/>
  <c r="F862" i="48"/>
  <c r="E67" i="124"/>
  <c r="F1024" i="48"/>
  <c r="E67" i="125"/>
  <c r="F375" i="48"/>
  <c r="E68" i="121"/>
  <c r="F868" i="48"/>
  <c r="E73" i="124"/>
  <c r="F1030" i="48"/>
  <c r="E73" i="125"/>
  <c r="G65" i="122"/>
  <c r="F1029" i="48"/>
  <c r="E72" i="125"/>
  <c r="F861" i="48"/>
  <c r="E66" i="124"/>
  <c r="F1022" i="48"/>
  <c r="E65" i="125"/>
  <c r="F1023" i="48"/>
  <c r="E66" i="125"/>
  <c r="F380" i="48"/>
  <c r="E73" i="121"/>
  <c r="F863" i="48"/>
  <c r="E68" i="124"/>
  <c r="F866" i="48"/>
  <c r="E71" i="124"/>
  <c r="F860" i="48"/>
  <c r="E65" i="124"/>
  <c r="G63" i="123"/>
  <c r="G65" i="119"/>
  <c r="F373" i="48"/>
  <c r="E66" i="121"/>
  <c r="F374" i="48"/>
  <c r="E67" i="121"/>
  <c r="F1028" i="48"/>
  <c r="E71" i="125"/>
  <c r="G64" i="126"/>
  <c r="F379" i="48"/>
  <c r="E72" i="121"/>
  <c r="F867" i="48"/>
  <c r="E72" i="124"/>
  <c r="F376" i="48"/>
  <c r="E69" i="121"/>
  <c r="F1025" i="48"/>
  <c r="E68" i="125"/>
  <c r="I37" i="131"/>
  <c r="N9" i="131" s="1"/>
  <c r="L9" i="131" s="1"/>
  <c r="F2238" i="48"/>
  <c r="G2238" i="48" s="1"/>
  <c r="I38" i="127"/>
  <c r="N10" i="127" s="1"/>
  <c r="L10" i="127" s="1"/>
  <c r="E56" i="121"/>
  <c r="J37" i="130"/>
  <c r="N9" i="130"/>
  <c r="L9" i="130" s="1"/>
  <c r="I45" i="127"/>
  <c r="N11" i="127" s="1"/>
  <c r="L11" i="127" s="1"/>
  <c r="I55" i="122"/>
  <c r="N12" i="122" s="1"/>
  <c r="L12" i="122" s="1"/>
  <c r="I53" i="123"/>
  <c r="N11" i="123" s="1"/>
  <c r="L11" i="123" s="1"/>
  <c r="I37" i="111"/>
  <c r="N9" i="111" s="1"/>
  <c r="L9" i="111" s="1"/>
  <c r="I55" i="127"/>
  <c r="N12" i="127" s="1"/>
  <c r="L12" i="127" s="1"/>
  <c r="I44" i="111"/>
  <c r="N10" i="111" s="1"/>
  <c r="L10" i="111" s="1"/>
  <c r="I42" i="127"/>
  <c r="J42" i="127" s="1"/>
  <c r="I41" i="119"/>
  <c r="J41" i="119" s="1"/>
  <c r="I55" i="119"/>
  <c r="N12" i="119" s="1"/>
  <c r="L12" i="119" s="1"/>
  <c r="I45" i="122"/>
  <c r="N11" i="122" s="1"/>
  <c r="L11" i="122" s="1"/>
  <c r="I41" i="128"/>
  <c r="J41" i="128" s="1"/>
  <c r="I41" i="130"/>
  <c r="J41" i="130" s="1"/>
  <c r="I54" i="111"/>
  <c r="N11" i="111" s="1"/>
  <c r="L11" i="111" s="1"/>
  <c r="J53" i="127"/>
  <c r="I41" i="126"/>
  <c r="J41" i="126" s="1"/>
  <c r="F520" i="48"/>
  <c r="E39" i="122"/>
  <c r="I38" i="122" s="1"/>
  <c r="I42" i="121"/>
  <c r="J42" i="121" s="1"/>
  <c r="J52" i="131"/>
  <c r="J40" i="131"/>
  <c r="I52" i="111"/>
  <c r="J52" i="111" s="1"/>
  <c r="I45" i="119"/>
  <c r="I41" i="111"/>
  <c r="J41" i="111" s="1"/>
  <c r="I40" i="111"/>
  <c r="J40" i="111" s="1"/>
  <c r="I52" i="126"/>
  <c r="J52" i="126" s="1"/>
  <c r="I54" i="126"/>
  <c r="N11" i="126" s="1"/>
  <c r="L11" i="126" s="1"/>
  <c r="E36" i="121"/>
  <c r="I53" i="122"/>
  <c r="J53" i="122" s="1"/>
  <c r="I37" i="126"/>
  <c r="I52" i="130"/>
  <c r="J52" i="130" s="1"/>
  <c r="I54" i="130"/>
  <c r="I44" i="129"/>
  <c r="N10" i="129" s="1"/>
  <c r="L10" i="129" s="1"/>
  <c r="J41" i="131"/>
  <c r="I42" i="122"/>
  <c r="J42" i="122" s="1"/>
  <c r="I41" i="127"/>
  <c r="J41" i="127" s="1"/>
  <c r="F357" i="48"/>
  <c r="E39" i="121"/>
  <c r="I41" i="121"/>
  <c r="J41" i="121" s="1"/>
  <c r="I54" i="131"/>
  <c r="N11" i="131" s="1"/>
  <c r="L11" i="131" s="1"/>
  <c r="I44" i="131"/>
  <c r="N10" i="131" s="1"/>
  <c r="L10" i="131" s="1"/>
  <c r="I40" i="128"/>
  <c r="J40" i="128" s="1"/>
  <c r="I40" i="126"/>
  <c r="J40" i="126" s="1"/>
  <c r="I44" i="126"/>
  <c r="N10" i="126" s="1"/>
  <c r="L10" i="126" s="1"/>
  <c r="I53" i="119"/>
  <c r="J53" i="119" s="1"/>
  <c r="I53" i="121"/>
  <c r="J53" i="121" s="1"/>
  <c r="I37" i="129"/>
  <c r="N9" i="129" s="1"/>
  <c r="L9" i="129" s="1"/>
  <c r="I52" i="129"/>
  <c r="J52" i="129" s="1"/>
  <c r="I40" i="129"/>
  <c r="J40" i="129" s="1"/>
  <c r="I41" i="125"/>
  <c r="J41" i="125" s="1"/>
  <c r="I43" i="123"/>
  <c r="N10" i="123" s="1"/>
  <c r="L10" i="123" s="1"/>
  <c r="I39" i="123"/>
  <c r="J39" i="123" s="1"/>
  <c r="I40" i="123"/>
  <c r="J40" i="123" s="1"/>
  <c r="I51" i="123"/>
  <c r="J51" i="123" s="1"/>
  <c r="I36" i="123"/>
  <c r="F460" i="48"/>
  <c r="E76" i="121"/>
  <c r="G76" i="121" s="1"/>
  <c r="J76" i="121" s="1"/>
  <c r="F462" i="48"/>
  <c r="E93" i="121"/>
  <c r="G93" i="121" s="1"/>
  <c r="J93" i="121" s="1"/>
  <c r="E75" i="121"/>
  <c r="G75" i="121" s="1"/>
  <c r="J75" i="121" s="1"/>
  <c r="E92" i="121"/>
  <c r="G92" i="121" s="1"/>
  <c r="J92" i="121" s="1"/>
  <c r="I44" i="128"/>
  <c r="I54" i="128"/>
  <c r="I44" i="130"/>
  <c r="I45" i="121"/>
  <c r="N11" i="121" s="1"/>
  <c r="L11" i="121" s="1"/>
  <c r="F363" i="48"/>
  <c r="F399" i="48"/>
  <c r="F454" i="48" s="1"/>
  <c r="F397" i="48"/>
  <c r="F450" i="48" s="1"/>
  <c r="F367" i="48"/>
  <c r="E11" i="121"/>
  <c r="I11" i="121" s="1"/>
  <c r="J11" i="121" s="1"/>
  <c r="K19" i="94"/>
  <c r="K26" i="94" s="1"/>
  <c r="E27" i="121"/>
  <c r="G27" i="121" s="1"/>
  <c r="F359" i="48"/>
  <c r="F385" i="48"/>
  <c r="F425" i="48" s="1"/>
  <c r="F1050" i="48"/>
  <c r="F1265" i="48"/>
  <c r="G1265" i="48" s="1"/>
  <c r="F1390" i="48"/>
  <c r="G1390" i="48" s="1"/>
  <c r="F1228" i="48"/>
  <c r="G1228" i="48" s="1"/>
  <c r="F258" i="48"/>
  <c r="F1731" i="48"/>
  <c r="G1731" i="48" s="1"/>
  <c r="F2843" i="48"/>
  <c r="G2843" i="48" s="1"/>
  <c r="F2367" i="48"/>
  <c r="G2367" i="48" s="1"/>
  <c r="O26" i="114"/>
  <c r="AL65" i="114"/>
  <c r="AM65" i="114"/>
  <c r="E20" i="121"/>
  <c r="W9" i="110" s="1"/>
  <c r="L16" i="110"/>
  <c r="L23" i="110" s="1"/>
  <c r="L10" i="110"/>
  <c r="L17" i="110" s="1"/>
  <c r="L24" i="110" s="1"/>
  <c r="E54" i="121"/>
  <c r="W16" i="110" s="1"/>
  <c r="F2201" i="48"/>
  <c r="G2201" i="48" s="1"/>
  <c r="F1060" i="48"/>
  <c r="F2691" i="48"/>
  <c r="G2691" i="48" s="1"/>
  <c r="I87" i="127"/>
  <c r="J87" i="127" s="1"/>
  <c r="D1436" i="48" s="1"/>
  <c r="F1436" i="48" s="1"/>
  <c r="G1436" i="48" s="1"/>
  <c r="F1103" i="48"/>
  <c r="I31" i="123"/>
  <c r="J31" i="123" s="1"/>
  <c r="I32" i="126"/>
  <c r="J32" i="126" s="1"/>
  <c r="I33" i="126"/>
  <c r="J33" i="126" s="1"/>
  <c r="I32" i="123"/>
  <c r="J32" i="123" s="1"/>
  <c r="F2509" i="48"/>
  <c r="G2509" i="48" s="1"/>
  <c r="G53" i="128"/>
  <c r="F401" i="48"/>
  <c r="F390" i="48"/>
  <c r="F405" i="48" s="1"/>
  <c r="F360" i="48"/>
  <c r="F370" i="48"/>
  <c r="E63" i="121"/>
  <c r="I63" i="121" s="1"/>
  <c r="J63" i="121" s="1"/>
  <c r="F361" i="48"/>
  <c r="F270" i="48"/>
  <c r="F1232" i="48"/>
  <c r="G1232" i="48" s="1"/>
  <c r="F2529" i="48"/>
  <c r="G2529" i="48" s="1"/>
  <c r="F1881" i="48"/>
  <c r="G1881" i="48" s="1"/>
  <c r="F2703" i="48"/>
  <c r="G2703" i="48" s="1"/>
  <c r="F2363" i="48"/>
  <c r="G2363" i="48" s="1"/>
  <c r="F2549" i="48"/>
  <c r="G2549" i="48" s="1"/>
  <c r="F240" i="48"/>
  <c r="F79" i="48"/>
  <c r="F1376" i="48"/>
  <c r="G1376" i="48" s="1"/>
  <c r="F411" i="48"/>
  <c r="F2349" i="48"/>
  <c r="G2349" i="48" s="1"/>
  <c r="J37" i="128"/>
  <c r="J6" i="127"/>
  <c r="I33" i="130"/>
  <c r="J33" i="130" s="1"/>
  <c r="I33" i="131"/>
  <c r="J33" i="131" s="1"/>
  <c r="I32" i="131"/>
  <c r="J32" i="131" s="1"/>
  <c r="P20" i="114"/>
  <c r="F898" i="48"/>
  <c r="F1703" i="48"/>
  <c r="G1703" i="48" s="1"/>
  <c r="F1378" i="48"/>
  <c r="G1378" i="48" s="1"/>
  <c r="F1865" i="48"/>
  <c r="G1865" i="48" s="1"/>
  <c r="F291" i="48"/>
  <c r="F730" i="48"/>
  <c r="I33" i="129"/>
  <c r="J33" i="129" s="1"/>
  <c r="I32" i="129"/>
  <c r="G26" i="127"/>
  <c r="F1893" i="48"/>
  <c r="G1893" i="48" s="1"/>
  <c r="F2541" i="48"/>
  <c r="G2541" i="48" s="1"/>
  <c r="F2671" i="48"/>
  <c r="G2671" i="48" s="1"/>
  <c r="F2229" i="48"/>
  <c r="G2229" i="48" s="1"/>
  <c r="I34" i="127"/>
  <c r="J34" i="127" s="1"/>
  <c r="I33" i="127"/>
  <c r="J33" i="127" s="1"/>
  <c r="I34" i="121"/>
  <c r="J34" i="121" s="1"/>
  <c r="I34" i="122"/>
  <c r="J34" i="122" s="1"/>
  <c r="I33" i="119"/>
  <c r="I33" i="121"/>
  <c r="J33" i="121" s="1"/>
  <c r="I33" i="122"/>
  <c r="J33" i="122" s="1"/>
  <c r="I33" i="111"/>
  <c r="J33" i="111" s="1"/>
  <c r="I32" i="111"/>
  <c r="J32" i="111" s="1"/>
  <c r="G64" i="127"/>
  <c r="F372" i="48"/>
  <c r="F393" i="48"/>
  <c r="F413" i="48" s="1"/>
  <c r="F2553" i="48"/>
  <c r="G2553" i="48" s="1"/>
  <c r="F2391" i="48"/>
  <c r="G2391" i="48" s="1"/>
  <c r="F2511" i="48"/>
  <c r="G2511" i="48" s="1"/>
  <c r="F2724" i="48"/>
  <c r="G2724" i="48" s="1"/>
  <c r="F1541" i="48"/>
  <c r="G1541" i="48" s="1"/>
  <c r="AL71" i="114"/>
  <c r="O32" i="114"/>
  <c r="F588" i="48"/>
  <c r="G63" i="128"/>
  <c r="F1719" i="48"/>
  <c r="G1719" i="48" s="1"/>
  <c r="F2347" i="48"/>
  <c r="G2347" i="48" s="1"/>
  <c r="F2687" i="48"/>
  <c r="G2687" i="48" s="1"/>
  <c r="F1557" i="48"/>
  <c r="G1557" i="48" s="1"/>
  <c r="Q10" i="88"/>
  <c r="Q8" i="88"/>
  <c r="Q6" i="88"/>
  <c r="R10" i="88"/>
  <c r="R8" i="88"/>
  <c r="R6" i="88"/>
  <c r="F2543" i="48"/>
  <c r="G2543" i="48" s="1"/>
  <c r="F2695" i="48"/>
  <c r="G2695" i="48" s="1"/>
  <c r="F1561" i="48"/>
  <c r="G1561" i="48" s="1"/>
  <c r="F2371" i="48"/>
  <c r="G2371" i="48" s="1"/>
  <c r="F1723" i="48"/>
  <c r="G1723" i="48" s="1"/>
  <c r="F1214" i="48"/>
  <c r="G1214" i="48" s="1"/>
  <c r="F586" i="48"/>
  <c r="F2402" i="48"/>
  <c r="G2402" i="48" s="1"/>
  <c r="D130" i="48"/>
  <c r="F130" i="48" s="1"/>
  <c r="F2564" i="48"/>
  <c r="G2564" i="48" s="1"/>
  <c r="F1105" i="48"/>
  <c r="F1267" i="48"/>
  <c r="G1267" i="48" s="1"/>
  <c r="F2888" i="48"/>
  <c r="G2888" i="48" s="1"/>
  <c r="F2726" i="48"/>
  <c r="G2726" i="48" s="1"/>
  <c r="P24" i="114"/>
  <c r="F293" i="48"/>
  <c r="F1754" i="48"/>
  <c r="G1754" i="48" s="1"/>
  <c r="F1916" i="48"/>
  <c r="G1916" i="48" s="1"/>
  <c r="F619" i="48"/>
  <c r="F1592" i="48"/>
  <c r="G1592" i="48" s="1"/>
  <c r="F2078" i="48"/>
  <c r="G2078" i="48" s="1"/>
  <c r="F2199" i="48"/>
  <c r="G2199" i="48" s="1"/>
  <c r="G25" i="142"/>
  <c r="F2365" i="48"/>
  <c r="G2365" i="48" s="1"/>
  <c r="G27" i="143"/>
  <c r="G20" i="144"/>
  <c r="F2685" i="48"/>
  <c r="G2685" i="48" s="1"/>
  <c r="G25" i="145"/>
  <c r="F2193" i="48"/>
  <c r="G2193" i="48" s="1"/>
  <c r="G22" i="142"/>
  <c r="F2355" i="48"/>
  <c r="G2355" i="48" s="1"/>
  <c r="G22" i="143"/>
  <c r="F2369" i="48"/>
  <c r="G2369" i="48" s="1"/>
  <c r="G63" i="143"/>
  <c r="F2693" i="48"/>
  <c r="G2693" i="48" s="1"/>
  <c r="G63" i="145"/>
  <c r="G35" i="145"/>
  <c r="F608" i="48"/>
  <c r="F2207" i="48"/>
  <c r="G2207" i="48" s="1"/>
  <c r="G63" i="142"/>
  <c r="F2527" i="48"/>
  <c r="G2527" i="48" s="1"/>
  <c r="G27" i="144"/>
  <c r="F2689" i="48"/>
  <c r="G2689" i="48" s="1"/>
  <c r="G27" i="145"/>
  <c r="G22" i="145"/>
  <c r="G20" i="145"/>
  <c r="G42" i="126"/>
  <c r="E36" i="125"/>
  <c r="G36" i="125" s="1"/>
  <c r="E36" i="124"/>
  <c r="G36" i="124" s="1"/>
  <c r="F2197" i="48"/>
  <c r="G2197" i="48" s="1"/>
  <c r="G24" i="142"/>
  <c r="G26" i="142"/>
  <c r="F2521" i="48"/>
  <c r="G2521" i="48" s="1"/>
  <c r="G24" i="144"/>
  <c r="G26" i="144"/>
  <c r="E36" i="140"/>
  <c r="G36" i="140" s="1"/>
  <c r="G24" i="126"/>
  <c r="F2203" i="48"/>
  <c r="G2203" i="48" s="1"/>
  <c r="G27" i="142"/>
  <c r="G20" i="142"/>
  <c r="G35" i="142"/>
  <c r="G26" i="143"/>
  <c r="F2359" i="48"/>
  <c r="G2359" i="48" s="1"/>
  <c r="G24" i="143"/>
  <c r="F2531" i="48"/>
  <c r="G2531" i="48" s="1"/>
  <c r="G63" i="144"/>
  <c r="F2683" i="48"/>
  <c r="G2683" i="48" s="1"/>
  <c r="G24" i="145"/>
  <c r="G26" i="145"/>
  <c r="G22" i="129"/>
  <c r="F244" i="48"/>
  <c r="G22" i="119"/>
  <c r="F2361" i="48"/>
  <c r="G2361" i="48" s="1"/>
  <c r="G25" i="143"/>
  <c r="G35" i="143"/>
  <c r="G42" i="128"/>
  <c r="G63" i="111"/>
  <c r="F95" i="48"/>
  <c r="F2523" i="48"/>
  <c r="G2523" i="48" s="1"/>
  <c r="G25" i="144"/>
  <c r="G35" i="144"/>
  <c r="G23" i="119"/>
  <c r="G36" i="122"/>
  <c r="F1418" i="48"/>
  <c r="G1418" i="48" s="1"/>
  <c r="G20" i="143"/>
  <c r="G22" i="144"/>
  <c r="G19" i="122"/>
  <c r="F119" i="48"/>
  <c r="F2715" i="48"/>
  <c r="G2715" i="48" s="1"/>
  <c r="F2067" i="48"/>
  <c r="G2067" i="48" s="1"/>
  <c r="G85" i="130"/>
  <c r="F1905" i="48"/>
  <c r="G1905" i="48" s="1"/>
  <c r="F1725" i="48"/>
  <c r="G1725" i="48" s="1"/>
  <c r="F1743" i="48"/>
  <c r="G1743" i="48" s="1"/>
  <c r="F1581" i="48"/>
  <c r="G1581" i="48" s="1"/>
  <c r="F1256" i="48"/>
  <c r="G1256" i="48" s="1"/>
  <c r="F770" i="48"/>
  <c r="G91" i="122"/>
  <c r="F282" i="48"/>
  <c r="F2713" i="48"/>
  <c r="G2713" i="48" s="1"/>
  <c r="G87" i="145"/>
  <c r="F2718" i="48"/>
  <c r="G2718" i="48" s="1"/>
  <c r="G90" i="145"/>
  <c r="F2699" i="48"/>
  <c r="G2699" i="48" s="1"/>
  <c r="G81" i="145"/>
  <c r="F2697" i="48"/>
  <c r="G2697" i="48" s="1"/>
  <c r="G80" i="145"/>
  <c r="G86" i="145"/>
  <c r="F2709" i="48"/>
  <c r="G2709" i="48" s="1"/>
  <c r="G85" i="145"/>
  <c r="G28" i="145"/>
  <c r="F2701" i="48"/>
  <c r="G2701" i="48" s="1"/>
  <c r="G82" i="145"/>
  <c r="F2551" i="48"/>
  <c r="G2551" i="48" s="1"/>
  <c r="G87" i="144"/>
  <c r="F2537" i="48"/>
  <c r="G2537" i="48" s="1"/>
  <c r="G81" i="144"/>
  <c r="F2556" i="48"/>
  <c r="G2556" i="48" s="1"/>
  <c r="G90" i="144"/>
  <c r="F2539" i="48"/>
  <c r="G2539" i="48" s="1"/>
  <c r="G82" i="144"/>
  <c r="F2535" i="48"/>
  <c r="G2535" i="48" s="1"/>
  <c r="G80" i="144"/>
  <c r="G86" i="144"/>
  <c r="F2547" i="48"/>
  <c r="G2547" i="48" s="1"/>
  <c r="G85" i="144"/>
  <c r="G28" i="144"/>
  <c r="F2375" i="48"/>
  <c r="G2375" i="48" s="1"/>
  <c r="G82" i="143"/>
  <c r="F2389" i="48"/>
  <c r="G2389" i="48" s="1"/>
  <c r="G88" i="143"/>
  <c r="F2373" i="48"/>
  <c r="G2373" i="48" s="1"/>
  <c r="G81" i="143"/>
  <c r="G87" i="143"/>
  <c r="F2377" i="48"/>
  <c r="G2377" i="48" s="1"/>
  <c r="G83" i="143"/>
  <c r="F2379" i="48"/>
  <c r="G2379" i="48" s="1"/>
  <c r="G28" i="143"/>
  <c r="F2394" i="48"/>
  <c r="G2394" i="48" s="1"/>
  <c r="G91" i="143"/>
  <c r="F2385" i="48"/>
  <c r="G2385" i="48" s="1"/>
  <c r="G86" i="143"/>
  <c r="F2223" i="48"/>
  <c r="G2223" i="48" s="1"/>
  <c r="G85" i="142"/>
  <c r="F2213" i="48"/>
  <c r="G2213" i="48" s="1"/>
  <c r="G81" i="142"/>
  <c r="G28" i="142"/>
  <c r="F2211" i="48"/>
  <c r="G2211" i="48" s="1"/>
  <c r="G80" i="142"/>
  <c r="G82" i="142"/>
  <c r="G86" i="142"/>
  <c r="F2232" i="48"/>
  <c r="G2232" i="48" s="1"/>
  <c r="G90" i="142"/>
  <c r="F2227" i="48"/>
  <c r="G2227" i="48" s="1"/>
  <c r="G87" i="142"/>
  <c r="G87" i="130"/>
  <c r="F947" i="48"/>
  <c r="E58" i="121"/>
  <c r="G23" i="130"/>
  <c r="E84" i="121"/>
  <c r="E30" i="121"/>
  <c r="J10" i="119"/>
  <c r="F1575" i="48"/>
  <c r="G1575" i="48" s="1"/>
  <c r="F1727" i="48"/>
  <c r="G1727" i="48" s="1"/>
  <c r="F1733" i="48"/>
  <c r="G1733" i="48" s="1"/>
  <c r="F280" i="48"/>
  <c r="F276" i="48"/>
  <c r="F383" i="48"/>
  <c r="E25" i="121"/>
  <c r="F364" i="48"/>
  <c r="I87" i="119"/>
  <c r="E23" i="121"/>
  <c r="E28" i="121"/>
  <c r="G28" i="121" s="1"/>
  <c r="J54" i="129"/>
  <c r="J4" i="123"/>
  <c r="J5" i="123" s="1"/>
  <c r="F365" i="48"/>
  <c r="F395" i="48"/>
  <c r="E61" i="121"/>
  <c r="F362" i="48"/>
  <c r="E29" i="121"/>
  <c r="F948" i="48"/>
  <c r="F1015" i="48"/>
  <c r="E18" i="121"/>
  <c r="I18" i="121" s="1"/>
  <c r="J18" i="121" s="1"/>
  <c r="E10" i="121"/>
  <c r="I10" i="121" s="1"/>
  <c r="F285" i="48"/>
  <c r="F398" i="48"/>
  <c r="F458" i="48"/>
  <c r="F391" i="48"/>
  <c r="F407" i="48" s="1"/>
  <c r="F394" i="48"/>
  <c r="F415" i="48" s="1"/>
  <c r="F268" i="48"/>
  <c r="G80" i="127"/>
  <c r="F386" i="48"/>
  <c r="F423" i="48" s="1"/>
  <c r="F1018" i="48"/>
  <c r="G42" i="130"/>
  <c r="G18" i="129"/>
  <c r="F1327" i="48"/>
  <c r="G1327" i="48" s="1"/>
  <c r="G21" i="130"/>
  <c r="G22" i="130"/>
  <c r="J10" i="122"/>
  <c r="J9" i="130"/>
  <c r="J9" i="131"/>
  <c r="J9" i="128"/>
  <c r="J10" i="127"/>
  <c r="G29" i="140"/>
  <c r="J29" i="140" s="1"/>
  <c r="G83" i="145"/>
  <c r="G84" i="145"/>
  <c r="F2720" i="48"/>
  <c r="G2720" i="48" s="1"/>
  <c r="G42" i="145"/>
  <c r="G34" i="145"/>
  <c r="G19" i="145"/>
  <c r="G18" i="145"/>
  <c r="F2677" i="48"/>
  <c r="G2677" i="48" s="1"/>
  <c r="G21" i="145"/>
  <c r="G53" i="145"/>
  <c r="G34" i="144"/>
  <c r="G83" i="144"/>
  <c r="G53" i="144"/>
  <c r="F2558" i="48"/>
  <c r="G2558" i="48" s="1"/>
  <c r="G42" i="144"/>
  <c r="G84" i="144"/>
  <c r="F2515" i="48"/>
  <c r="G2515" i="48" s="1"/>
  <c r="G21" i="144"/>
  <c r="G18" i="144"/>
  <c r="G19" i="144"/>
  <c r="G34" i="142"/>
  <c r="G84" i="142"/>
  <c r="G53" i="142"/>
  <c r="F2191" i="48"/>
  <c r="G2191" i="48" s="1"/>
  <c r="G21" i="142"/>
  <c r="G19" i="142"/>
  <c r="G83" i="142"/>
  <c r="G18" i="142"/>
  <c r="F2234" i="48"/>
  <c r="G2234" i="48" s="1"/>
  <c r="G42" i="142"/>
  <c r="G18" i="143"/>
  <c r="G53" i="143"/>
  <c r="F2396" i="48"/>
  <c r="G2396" i="48" s="1"/>
  <c r="G42" i="143"/>
  <c r="G85" i="143"/>
  <c r="F2353" i="48"/>
  <c r="G2353" i="48" s="1"/>
  <c r="G21" i="143"/>
  <c r="G19" i="143"/>
  <c r="G84" i="143"/>
  <c r="G34" i="143"/>
  <c r="G29" i="131"/>
  <c r="G29" i="130"/>
  <c r="J29" i="130" s="1"/>
  <c r="G18" i="130"/>
  <c r="G29" i="129"/>
  <c r="J29" i="129" s="1"/>
  <c r="G29" i="128"/>
  <c r="J29" i="128" s="1"/>
  <c r="G30" i="127"/>
  <c r="J30" i="127" s="1"/>
  <c r="G29" i="125"/>
  <c r="J29" i="125" s="1"/>
  <c r="G28" i="123"/>
  <c r="J28" i="123" s="1"/>
  <c r="E26" i="121"/>
  <c r="F459" i="48"/>
  <c r="F517" i="48"/>
  <c r="G30" i="119"/>
  <c r="J30" i="119" s="1"/>
  <c r="G30" i="122"/>
  <c r="J30" i="122" s="1"/>
  <c r="G29" i="111"/>
  <c r="J29" i="111" s="1"/>
  <c r="E44" i="121"/>
  <c r="G44" i="121" s="1"/>
  <c r="F419" i="48"/>
  <c r="G85" i="129"/>
  <c r="G53" i="129"/>
  <c r="G28" i="129"/>
  <c r="G80" i="129"/>
  <c r="G24" i="129"/>
  <c r="G82" i="129"/>
  <c r="G20" i="129"/>
  <c r="G25" i="129"/>
  <c r="G81" i="129"/>
  <c r="G87" i="129"/>
  <c r="G23" i="129"/>
  <c r="G90" i="129"/>
  <c r="E83" i="121"/>
  <c r="E92" i="124"/>
  <c r="G92" i="124" s="1"/>
  <c r="J92" i="124" s="1"/>
  <c r="F1011" i="48"/>
  <c r="G43" i="130"/>
  <c r="E14" i="125"/>
  <c r="I14" i="125" s="1"/>
  <c r="J14" i="125" s="1"/>
  <c r="G63" i="130"/>
  <c r="G25" i="130"/>
  <c r="G35" i="130"/>
  <c r="G88" i="130"/>
  <c r="I88" i="130"/>
  <c r="F1095" i="48"/>
  <c r="F1901" i="48"/>
  <c r="G1901" i="48" s="1"/>
  <c r="F1887" i="48"/>
  <c r="G1887" i="48" s="1"/>
  <c r="F1889" i="48"/>
  <c r="G1889" i="48" s="1"/>
  <c r="G20" i="130"/>
  <c r="G90" i="130"/>
  <c r="G26" i="130"/>
  <c r="G24" i="130"/>
  <c r="F1891" i="48"/>
  <c r="G1891" i="48" s="1"/>
  <c r="F1908" i="48"/>
  <c r="G1908" i="48" s="1"/>
  <c r="I86" i="130"/>
  <c r="E35" i="140"/>
  <c r="F1111" i="48"/>
  <c r="E92" i="125"/>
  <c r="G92" i="125" s="1"/>
  <c r="J92" i="125" s="1"/>
  <c r="E91" i="125"/>
  <c r="G91" i="125" s="1"/>
  <c r="J91" i="125" s="1"/>
  <c r="E88" i="121"/>
  <c r="E31" i="121"/>
  <c r="G31" i="121" s="1"/>
  <c r="J31" i="121" s="1"/>
  <c r="F1044" i="48"/>
  <c r="F1066" i="48" s="1"/>
  <c r="E15" i="125"/>
  <c r="I15" i="125" s="1"/>
  <c r="J15" i="125" s="1"/>
  <c r="E26" i="125"/>
  <c r="G26" i="125" s="1"/>
  <c r="F1012" i="48"/>
  <c r="E23" i="125"/>
  <c r="G23" i="125" s="1"/>
  <c r="F1020" i="48"/>
  <c r="E19" i="125"/>
  <c r="E20" i="125"/>
  <c r="G20" i="125" s="1"/>
  <c r="F1047" i="48"/>
  <c r="E87" i="125"/>
  <c r="F1107" i="48"/>
  <c r="F1110" i="48"/>
  <c r="F1106" i="48"/>
  <c r="E43" i="125"/>
  <c r="E47" i="125"/>
  <c r="E42" i="125"/>
  <c r="G42" i="125" s="1"/>
  <c r="G74" i="125"/>
  <c r="J74" i="125" s="1"/>
  <c r="H1981" i="48"/>
  <c r="F2076" i="48"/>
  <c r="G2076" i="48" s="1"/>
  <c r="F2041" i="48"/>
  <c r="G2041" i="48" s="1"/>
  <c r="F2029" i="48"/>
  <c r="G2029" i="48" s="1"/>
  <c r="F2035" i="48"/>
  <c r="G2035" i="48" s="1"/>
  <c r="F2027" i="48"/>
  <c r="G2027" i="48" s="1"/>
  <c r="F2037" i="48"/>
  <c r="G2037" i="48" s="1"/>
  <c r="F2039" i="48"/>
  <c r="G2039" i="48" s="1"/>
  <c r="F2031" i="48"/>
  <c r="G2031" i="48" s="1"/>
  <c r="F2072" i="48"/>
  <c r="G2072" i="48" s="1"/>
  <c r="E92" i="140"/>
  <c r="G92" i="140" s="1"/>
  <c r="J92" i="140" s="1"/>
  <c r="F2823" i="48"/>
  <c r="G2823" i="48" s="1"/>
  <c r="E12" i="140"/>
  <c r="I12" i="140" s="1"/>
  <c r="J12" i="140" s="1"/>
  <c r="F2799" i="48"/>
  <c r="G2799" i="48" s="1"/>
  <c r="E81" i="140"/>
  <c r="E43" i="140"/>
  <c r="G43" i="140" s="1"/>
  <c r="F2785" i="48"/>
  <c r="F2786" i="48" s="1"/>
  <c r="G2786" i="48" s="1"/>
  <c r="I4" i="140"/>
  <c r="F2795" i="48"/>
  <c r="G2795" i="48" s="1"/>
  <c r="E49" i="140"/>
  <c r="F2800" i="48"/>
  <c r="G2800" i="48" s="1"/>
  <c r="E90" i="140"/>
  <c r="F2791" i="48"/>
  <c r="G2791" i="48" s="1"/>
  <c r="E45" i="140"/>
  <c r="F2796" i="48"/>
  <c r="G2796" i="48" s="1"/>
  <c r="E50" i="140"/>
  <c r="E87" i="140"/>
  <c r="F2814" i="48"/>
  <c r="G2814" i="48" s="1"/>
  <c r="E77" i="140"/>
  <c r="I77" i="140" s="1"/>
  <c r="J77" i="140" s="1"/>
  <c r="F2792" i="48"/>
  <c r="G2792" i="48" s="1"/>
  <c r="E46" i="140"/>
  <c r="E85" i="140"/>
  <c r="F2830" i="48"/>
  <c r="G2830" i="48" s="1"/>
  <c r="E41" i="140"/>
  <c r="F2789" i="48"/>
  <c r="G2789" i="48" s="1"/>
  <c r="E38" i="140"/>
  <c r="E83" i="140"/>
  <c r="F2824" i="48"/>
  <c r="G2824" i="48" s="1"/>
  <c r="E13" i="140"/>
  <c r="I13" i="140" s="1"/>
  <c r="J13" i="140" s="1"/>
  <c r="E18" i="140"/>
  <c r="F2831" i="48"/>
  <c r="G2831" i="48" s="1"/>
  <c r="E52" i="140"/>
  <c r="E82" i="140"/>
  <c r="F2828" i="48"/>
  <c r="G2828" i="48" s="1"/>
  <c r="E17" i="140"/>
  <c r="I17" i="140" s="1"/>
  <c r="J17" i="140" s="1"/>
  <c r="F2815" i="48"/>
  <c r="G2815" i="48" s="1"/>
  <c r="I78" i="140"/>
  <c r="J78" i="140" s="1"/>
  <c r="F2801" i="48"/>
  <c r="G2801" i="48" s="1"/>
  <c r="E80" i="140"/>
  <c r="F2798" i="48"/>
  <c r="G2798" i="48" s="1"/>
  <c r="E55" i="140"/>
  <c r="I54" i="140" s="1"/>
  <c r="N11" i="140" s="1"/>
  <c r="L11" i="140" s="1"/>
  <c r="F2819" i="48"/>
  <c r="G2819" i="48" s="1"/>
  <c r="E62" i="140"/>
  <c r="I62" i="140" s="1"/>
  <c r="J62" i="140" s="1"/>
  <c r="F2797" i="48"/>
  <c r="G2797" i="48" s="1"/>
  <c r="E51" i="140"/>
  <c r="E63" i="140"/>
  <c r="F2820" i="48"/>
  <c r="G2820" i="48" s="1"/>
  <c r="E9" i="140"/>
  <c r="I9" i="140" s="1"/>
  <c r="F2825" i="48"/>
  <c r="G2825" i="48" s="1"/>
  <c r="E14" i="140"/>
  <c r="I14" i="140" s="1"/>
  <c r="J14" i="140" s="1"/>
  <c r="F2793" i="48"/>
  <c r="G2793" i="48" s="1"/>
  <c r="E47" i="140"/>
  <c r="F2790" i="48"/>
  <c r="G2790" i="48" s="1"/>
  <c r="E39" i="140"/>
  <c r="E42" i="140"/>
  <c r="F2821" i="48"/>
  <c r="G2821" i="48" s="1"/>
  <c r="E10" i="140"/>
  <c r="I10" i="140" s="1"/>
  <c r="J10" i="140" s="1"/>
  <c r="F2816" i="48"/>
  <c r="G2816" i="48" s="1"/>
  <c r="I79" i="140"/>
  <c r="J79" i="140" s="1"/>
  <c r="F2802" i="48"/>
  <c r="G2802" i="48" s="1"/>
  <c r="E53" i="140"/>
  <c r="F2829" i="48"/>
  <c r="G2829" i="48" s="1"/>
  <c r="E40" i="140"/>
  <c r="E86" i="140"/>
  <c r="F2826" i="48"/>
  <c r="G2826" i="48" s="1"/>
  <c r="E15" i="140"/>
  <c r="I15" i="140" s="1"/>
  <c r="J15" i="140" s="1"/>
  <c r="F2794" i="48"/>
  <c r="G2794" i="48" s="1"/>
  <c r="E48" i="140"/>
  <c r="E88" i="140"/>
  <c r="I88" i="140" s="1"/>
  <c r="F2818" i="48"/>
  <c r="G2818" i="48" s="1"/>
  <c r="E33" i="140"/>
  <c r="I33" i="140" s="1"/>
  <c r="F2827" i="48"/>
  <c r="G2827" i="48" s="1"/>
  <c r="E16" i="140"/>
  <c r="I16" i="140" s="1"/>
  <c r="J16" i="140" s="1"/>
  <c r="E28" i="140"/>
  <c r="F2878" i="48"/>
  <c r="G2878" i="48" s="1"/>
  <c r="E89" i="140"/>
  <c r="F2817" i="48"/>
  <c r="G2817" i="48" s="1"/>
  <c r="E32" i="140"/>
  <c r="F2804" i="48"/>
  <c r="G2804" i="48" s="1"/>
  <c r="E84" i="140"/>
  <c r="F2822" i="48"/>
  <c r="G2822" i="48" s="1"/>
  <c r="E11" i="140"/>
  <c r="I11" i="140" s="1"/>
  <c r="J11" i="140" s="1"/>
  <c r="F2803" i="48"/>
  <c r="G2803" i="48" s="1"/>
  <c r="E34" i="140"/>
  <c r="E65" i="140"/>
  <c r="E39" i="125"/>
  <c r="E56" i="125"/>
  <c r="E13" i="125"/>
  <c r="I13" i="125" s="1"/>
  <c r="J13" i="125" s="1"/>
  <c r="E25" i="125"/>
  <c r="G25" i="125" s="1"/>
  <c r="E52" i="125"/>
  <c r="F1014" i="48"/>
  <c r="E81" i="125"/>
  <c r="E53" i="125"/>
  <c r="F1013" i="48"/>
  <c r="F382" i="48"/>
  <c r="E87" i="121"/>
  <c r="F461" i="48"/>
  <c r="E90" i="121"/>
  <c r="F1072" i="48"/>
  <c r="G18" i="128"/>
  <c r="F384" i="48"/>
  <c r="G28" i="119"/>
  <c r="E33" i="125"/>
  <c r="E12" i="125"/>
  <c r="I12" i="125" s="1"/>
  <c r="J12" i="125" s="1"/>
  <c r="E46" i="125"/>
  <c r="E62" i="125"/>
  <c r="I62" i="125" s="1"/>
  <c r="J62" i="125" s="1"/>
  <c r="E82" i="125"/>
  <c r="F1056" i="48"/>
  <c r="E22" i="125"/>
  <c r="G22" i="125" s="1"/>
  <c r="E57" i="125"/>
  <c r="G91" i="127"/>
  <c r="G36" i="127"/>
  <c r="J4" i="131"/>
  <c r="J5" i="131" s="1"/>
  <c r="G23" i="127"/>
  <c r="G25" i="127"/>
  <c r="E27" i="125"/>
  <c r="F1099" i="48"/>
  <c r="E78" i="125"/>
  <c r="I78" i="125" s="1"/>
  <c r="J78" i="125" s="1"/>
  <c r="F1062" i="48"/>
  <c r="F592" i="48"/>
  <c r="F845" i="48"/>
  <c r="E39" i="124"/>
  <c r="E25" i="124"/>
  <c r="E81" i="124"/>
  <c r="F857" i="48"/>
  <c r="E59" i="124"/>
  <c r="E87" i="124"/>
  <c r="E86" i="124"/>
  <c r="F875" i="48"/>
  <c r="E9" i="124"/>
  <c r="I9" i="124" s="1"/>
  <c r="F884" i="48"/>
  <c r="F937" i="48" s="1"/>
  <c r="E40" i="124"/>
  <c r="E47" i="124"/>
  <c r="F848" i="48"/>
  <c r="E24" i="124"/>
  <c r="F853" i="48"/>
  <c r="E55" i="124"/>
  <c r="E80" i="124"/>
  <c r="E34" i="124"/>
  <c r="F856" i="48"/>
  <c r="E58" i="124"/>
  <c r="E85" i="124"/>
  <c r="E53" i="124"/>
  <c r="E43" i="124"/>
  <c r="F872" i="48"/>
  <c r="E32" i="124"/>
  <c r="E46" i="124"/>
  <c r="F847" i="48"/>
  <c r="F844" i="48"/>
  <c r="E38" i="124"/>
  <c r="E23" i="124"/>
  <c r="E22" i="124"/>
  <c r="F886" i="48"/>
  <c r="F941" i="48" s="1"/>
  <c r="E52" i="124"/>
  <c r="E63" i="124"/>
  <c r="E84" i="124"/>
  <c r="F859" i="48"/>
  <c r="E61" i="124"/>
  <c r="E83" i="124"/>
  <c r="E42" i="124"/>
  <c r="F882" i="48"/>
  <c r="E16" i="124"/>
  <c r="I16" i="124" s="1"/>
  <c r="J16" i="124" s="1"/>
  <c r="I4" i="124"/>
  <c r="F840" i="48"/>
  <c r="F841" i="48" s="1"/>
  <c r="G841" i="48" s="1"/>
  <c r="F871" i="48"/>
  <c r="E79" i="124"/>
  <c r="I79" i="124" s="1"/>
  <c r="J79" i="124" s="1"/>
  <c r="E45" i="124"/>
  <c r="F846" i="48"/>
  <c r="F870" i="48"/>
  <c r="E78" i="124"/>
  <c r="I78" i="124" s="1"/>
  <c r="J78" i="124" s="1"/>
  <c r="E21" i="124"/>
  <c r="E35" i="124"/>
  <c r="F855" i="48"/>
  <c r="E57" i="124"/>
  <c r="E27" i="124"/>
  <c r="E28" i="124"/>
  <c r="F878" i="48"/>
  <c r="F894" i="48" s="1"/>
  <c r="E12" i="124"/>
  <c r="I12" i="124" s="1"/>
  <c r="J12" i="124" s="1"/>
  <c r="F873" i="48"/>
  <c r="F910" i="48" s="1"/>
  <c r="E33" i="124"/>
  <c r="F933" i="48"/>
  <c r="E89" i="124"/>
  <c r="F874" i="48"/>
  <c r="E62" i="124"/>
  <c r="I62" i="124" s="1"/>
  <c r="J62" i="124" s="1"/>
  <c r="E51" i="124"/>
  <c r="F852" i="48"/>
  <c r="E20" i="124"/>
  <c r="F885" i="48"/>
  <c r="E41" i="124"/>
  <c r="E19" i="124"/>
  <c r="E77" i="125"/>
  <c r="I77" i="125" s="1"/>
  <c r="J77" i="125" s="1"/>
  <c r="E63" i="125"/>
  <c r="E11" i="125"/>
  <c r="I11" i="125" s="1"/>
  <c r="J11" i="125" s="1"/>
  <c r="E40" i="125"/>
  <c r="F944" i="48"/>
  <c r="E29" i="124"/>
  <c r="E26" i="124"/>
  <c r="F881" i="48"/>
  <c r="F902" i="48" s="1"/>
  <c r="E15" i="124"/>
  <c r="I15" i="124" s="1"/>
  <c r="J15" i="124" s="1"/>
  <c r="F880" i="48"/>
  <c r="F900" i="48" s="1"/>
  <c r="E14" i="124"/>
  <c r="I14" i="124" s="1"/>
  <c r="J14" i="124" s="1"/>
  <c r="E50" i="124"/>
  <c r="F851" i="48"/>
  <c r="F869" i="48"/>
  <c r="E77" i="124"/>
  <c r="I77" i="124" s="1"/>
  <c r="J77" i="124" s="1"/>
  <c r="E49" i="124"/>
  <c r="F850" i="48"/>
  <c r="E30" i="124"/>
  <c r="G30" i="124" s="1"/>
  <c r="J30" i="124" s="1"/>
  <c r="G74" i="124"/>
  <c r="J74" i="124" s="1"/>
  <c r="F945" i="48"/>
  <c r="E18" i="124"/>
  <c r="F858" i="48"/>
  <c r="E60" i="124"/>
  <c r="E90" i="124"/>
  <c r="F877" i="48"/>
  <c r="F892" i="48" s="1"/>
  <c r="E11" i="124"/>
  <c r="I11" i="124" s="1"/>
  <c r="J11" i="124" s="1"/>
  <c r="F876" i="48"/>
  <c r="F890" i="48" s="1"/>
  <c r="E10" i="124"/>
  <c r="I10" i="124" s="1"/>
  <c r="J10" i="124" s="1"/>
  <c r="F883" i="48"/>
  <c r="F906" i="48" s="1"/>
  <c r="E17" i="124"/>
  <c r="I17" i="124" s="1"/>
  <c r="J17" i="124" s="1"/>
  <c r="G75" i="124"/>
  <c r="J75" i="124" s="1"/>
  <c r="F946" i="48"/>
  <c r="E48" i="124"/>
  <c r="F849" i="48"/>
  <c r="F854" i="48"/>
  <c r="E56" i="124"/>
  <c r="E82" i="124"/>
  <c r="E88" i="124"/>
  <c r="F879" i="48"/>
  <c r="E13" i="124"/>
  <c r="I13" i="124" s="1"/>
  <c r="J13" i="124" s="1"/>
  <c r="I4" i="125"/>
  <c r="F1002" i="48"/>
  <c r="F1003" i="48" s="1"/>
  <c r="G1003" i="48" s="1"/>
  <c r="E28" i="125"/>
  <c r="E59" i="121"/>
  <c r="F369" i="48"/>
  <c r="F1008" i="48"/>
  <c r="G75" i="125"/>
  <c r="J75" i="125" s="1"/>
  <c r="F1108" i="48"/>
  <c r="F1064" i="48"/>
  <c r="G27" i="126"/>
  <c r="J9" i="126"/>
  <c r="F1109" i="48"/>
  <c r="F1236" i="48"/>
  <c r="G1236" i="48" s="1"/>
  <c r="G44" i="127"/>
  <c r="G63" i="126"/>
  <c r="G22" i="126"/>
  <c r="G90" i="127"/>
  <c r="F1034" i="48"/>
  <c r="E32" i="125"/>
  <c r="G22" i="127"/>
  <c r="G18" i="126"/>
  <c r="F1033" i="48"/>
  <c r="E79" i="125"/>
  <c r="I79" i="125" s="1"/>
  <c r="J79" i="125" s="1"/>
  <c r="E34" i="125"/>
  <c r="G97" i="127"/>
  <c r="F358" i="48"/>
  <c r="E40" i="121"/>
  <c r="G26" i="126"/>
  <c r="G43" i="127"/>
  <c r="F1045" i="48"/>
  <c r="F1068" i="48" s="1"/>
  <c r="E17" i="125"/>
  <c r="I17" i="125" s="1"/>
  <c r="J17" i="125" s="1"/>
  <c r="G24" i="127"/>
  <c r="G25" i="126"/>
  <c r="E14" i="121"/>
  <c r="I14" i="121" s="1"/>
  <c r="J14" i="121" s="1"/>
  <c r="F392" i="48"/>
  <c r="F409" i="48" s="1"/>
  <c r="F1398" i="48"/>
  <c r="G1398" i="48" s="1"/>
  <c r="F1038" i="48"/>
  <c r="F1052" i="48" s="1"/>
  <c r="E10" i="125"/>
  <c r="I10" i="125" s="1"/>
  <c r="J10" i="125" s="1"/>
  <c r="G21" i="127"/>
  <c r="G21" i="126"/>
  <c r="E21" i="125"/>
  <c r="G21" i="125" s="1"/>
  <c r="E9" i="125"/>
  <c r="I9" i="125" s="1"/>
  <c r="E61" i="125"/>
  <c r="F1259" i="48"/>
  <c r="G1259" i="48" s="1"/>
  <c r="F1242" i="48"/>
  <c r="G1242" i="48" s="1"/>
  <c r="F1019" i="48"/>
  <c r="E59" i="125"/>
  <c r="I88" i="126"/>
  <c r="I86" i="126"/>
  <c r="G43" i="126"/>
  <c r="I95" i="127"/>
  <c r="G95" i="127"/>
  <c r="F1246" i="48"/>
  <c r="G1246" i="48" s="1"/>
  <c r="F1240" i="48"/>
  <c r="G1240" i="48" s="1"/>
  <c r="F1238" i="48"/>
  <c r="G1238" i="48" s="1"/>
  <c r="F1416" i="48"/>
  <c r="G1416" i="48" s="1"/>
  <c r="F1412" i="48"/>
  <c r="G1412" i="48" s="1"/>
  <c r="F1006" i="48"/>
  <c r="E38" i="125"/>
  <c r="G20" i="126"/>
  <c r="F1254" i="48"/>
  <c r="G1254" i="48" s="1"/>
  <c r="F1250" i="48"/>
  <c r="G1250" i="48" s="1"/>
  <c r="G28" i="127"/>
  <c r="G82" i="126"/>
  <c r="E85" i="125"/>
  <c r="G23" i="126"/>
  <c r="G88" i="126"/>
  <c r="G35" i="126"/>
  <c r="I93" i="127"/>
  <c r="G93" i="127"/>
  <c r="F1080" i="48"/>
  <c r="F1097" i="48"/>
  <c r="F1084" i="48"/>
  <c r="F1090" i="48"/>
  <c r="F1076" i="48"/>
  <c r="F1078" i="48"/>
  <c r="C9" i="110"/>
  <c r="C13" i="110"/>
  <c r="C11" i="110"/>
  <c r="G27" i="129"/>
  <c r="G23" i="123"/>
  <c r="G88" i="128"/>
  <c r="I88" i="128"/>
  <c r="G20" i="123"/>
  <c r="G22" i="123"/>
  <c r="G24" i="123"/>
  <c r="G20" i="111"/>
  <c r="G20" i="128"/>
  <c r="I88" i="123"/>
  <c r="G19" i="123"/>
  <c r="F113" i="48"/>
  <c r="F117" i="48"/>
  <c r="G62" i="123"/>
  <c r="G41" i="123"/>
  <c r="I86" i="123"/>
  <c r="G34" i="128"/>
  <c r="G35" i="111"/>
  <c r="J9" i="123"/>
  <c r="G22" i="122"/>
  <c r="G27" i="128"/>
  <c r="F1584" i="48"/>
  <c r="G1584" i="48" s="1"/>
  <c r="F1567" i="48"/>
  <c r="G1567" i="48" s="1"/>
  <c r="G24" i="111"/>
  <c r="G22" i="111"/>
  <c r="G23" i="128"/>
  <c r="F105" i="48"/>
  <c r="F122" i="48"/>
  <c r="F758" i="48"/>
  <c r="F764" i="48"/>
  <c r="F768" i="48"/>
  <c r="F760" i="48"/>
  <c r="F752" i="48"/>
  <c r="F766" i="48"/>
  <c r="F754" i="48"/>
  <c r="L7" i="110"/>
  <c r="L15" i="110"/>
  <c r="L22" i="110" s="1"/>
  <c r="G18" i="123"/>
  <c r="G42" i="123"/>
  <c r="G85" i="128"/>
  <c r="G43" i="128"/>
  <c r="G34" i="123"/>
  <c r="G18" i="111"/>
  <c r="G24" i="128"/>
  <c r="G27" i="123"/>
  <c r="G42" i="111"/>
  <c r="F750" i="48"/>
  <c r="I86" i="128"/>
  <c r="F99" i="48"/>
  <c r="F101" i="48"/>
  <c r="F109" i="48"/>
  <c r="F103" i="48"/>
  <c r="F1565" i="48"/>
  <c r="G1565" i="48" s="1"/>
  <c r="F1563" i="48"/>
  <c r="G1563" i="48" s="1"/>
  <c r="C19" i="94"/>
  <c r="C26" i="94" s="1"/>
  <c r="C13" i="94"/>
  <c r="C20" i="94" s="1"/>
  <c r="C27" i="94" s="1"/>
  <c r="G52" i="123"/>
  <c r="G25" i="111"/>
  <c r="G25" i="128"/>
  <c r="G21" i="111"/>
  <c r="G87" i="128"/>
  <c r="G26" i="123"/>
  <c r="G43" i="111"/>
  <c r="G21" i="123"/>
  <c r="G28" i="128"/>
  <c r="I86" i="111"/>
  <c r="I88" i="111"/>
  <c r="G88" i="111"/>
  <c r="G25" i="123"/>
  <c r="F756" i="48"/>
  <c r="F773" i="48"/>
  <c r="C14" i="94"/>
  <c r="C21" i="94" s="1"/>
  <c r="C15" i="94"/>
  <c r="C22" i="94" s="1"/>
  <c r="G44" i="122"/>
  <c r="F2045" i="48"/>
  <c r="G2045" i="48" s="1"/>
  <c r="G27" i="111"/>
  <c r="G85" i="119"/>
  <c r="G88" i="119"/>
  <c r="G26" i="119"/>
  <c r="F278" i="48"/>
  <c r="F272" i="48"/>
  <c r="F264" i="48"/>
  <c r="F266" i="48"/>
  <c r="G44" i="119"/>
  <c r="G23" i="111"/>
  <c r="G29" i="119"/>
  <c r="J9" i="111"/>
  <c r="G43" i="119"/>
  <c r="G84" i="122"/>
  <c r="G24" i="119"/>
  <c r="G21" i="119"/>
  <c r="G27" i="130"/>
  <c r="G25" i="119"/>
  <c r="J74" i="128"/>
  <c r="G28" i="122"/>
  <c r="I89" i="119"/>
  <c r="G89" i="119"/>
  <c r="G26" i="122"/>
  <c r="F2889" i="48"/>
  <c r="G2889" i="48" s="1"/>
  <c r="F2890" i="48"/>
  <c r="G2890" i="48" s="1"/>
  <c r="F2891" i="48"/>
  <c r="G2891" i="48" s="1"/>
  <c r="F2894" i="48"/>
  <c r="G2894" i="48" s="1"/>
  <c r="F2893" i="48"/>
  <c r="G2893" i="48" s="1"/>
  <c r="F2892" i="48"/>
  <c r="G2892" i="48" s="1"/>
  <c r="G36" i="131"/>
  <c r="I86" i="131"/>
  <c r="G43" i="131"/>
  <c r="G22" i="131"/>
  <c r="G23" i="131"/>
  <c r="G27" i="131"/>
  <c r="G24" i="131"/>
  <c r="F2047" i="48"/>
  <c r="G2047" i="48" s="1"/>
  <c r="G20" i="131"/>
  <c r="F2049" i="48"/>
  <c r="G2049" i="48" s="1"/>
  <c r="F2051" i="48"/>
  <c r="G2051" i="48" s="1"/>
  <c r="F2057" i="48"/>
  <c r="G2057" i="48" s="1"/>
  <c r="I88" i="131"/>
  <c r="G88" i="131"/>
  <c r="G26" i="131"/>
  <c r="F2053" i="48"/>
  <c r="G2053" i="48" s="1"/>
  <c r="F2070" i="48"/>
  <c r="G2070" i="48" s="1"/>
  <c r="G35" i="131"/>
  <c r="F2065" i="48"/>
  <c r="G2065" i="48" s="1"/>
  <c r="F2061" i="48"/>
  <c r="G2061" i="48" s="1"/>
  <c r="G25" i="131"/>
  <c r="J11" i="122"/>
  <c r="G27" i="122"/>
  <c r="G87" i="122"/>
  <c r="I87" i="122"/>
  <c r="G35" i="122"/>
  <c r="G89" i="122"/>
  <c r="I89" i="122"/>
  <c r="G23" i="122"/>
  <c r="F260" i="48"/>
  <c r="G64" i="119"/>
  <c r="G21" i="122"/>
  <c r="G82" i="122"/>
  <c r="F403" i="48"/>
  <c r="G43" i="122"/>
  <c r="G25" i="122"/>
  <c r="F596" i="48"/>
  <c r="F602" i="48"/>
  <c r="F896" i="48" l="1"/>
  <c r="N10" i="119"/>
  <c r="L10" i="119" s="1"/>
  <c r="F904" i="48"/>
  <c r="F908" i="48"/>
  <c r="F417" i="48"/>
  <c r="G517" i="48"/>
  <c r="H19" i="88"/>
  <c r="F2865" i="48"/>
  <c r="G2865" i="48" s="1"/>
  <c r="F2853" i="48"/>
  <c r="G2853" i="48" s="1"/>
  <c r="F2851" i="48"/>
  <c r="G2851" i="48" s="1"/>
  <c r="F2839" i="48"/>
  <c r="G2839" i="48" s="1"/>
  <c r="F2845" i="48"/>
  <c r="G2845" i="48" s="1"/>
  <c r="F2849" i="48"/>
  <c r="G2849" i="48" s="1"/>
  <c r="F2835" i="48"/>
  <c r="G2835" i="48" s="1"/>
  <c r="F2837" i="48"/>
  <c r="G2837" i="48" s="1"/>
  <c r="F2833" i="48"/>
  <c r="G2833" i="48" s="1"/>
  <c r="F2886" i="48"/>
  <c r="G2886" i="48" s="1"/>
  <c r="F2847" i="48"/>
  <c r="G2847" i="48" s="1"/>
  <c r="F2855" i="48"/>
  <c r="G2855" i="48" s="1"/>
  <c r="F2882" i="48"/>
  <c r="G2882" i="48" s="1"/>
  <c r="F2857" i="48"/>
  <c r="G2857" i="48" s="1"/>
  <c r="F2841" i="48"/>
  <c r="G2841" i="48" s="1"/>
  <c r="F888" i="48"/>
  <c r="F431" i="48"/>
  <c r="F433" i="48"/>
  <c r="N12" i="124"/>
  <c r="L12" i="124" s="1"/>
  <c r="N12" i="125"/>
  <c r="L12" i="125" s="1"/>
  <c r="N13" i="121"/>
  <c r="L13" i="121" s="1"/>
  <c r="H37" i="121"/>
  <c r="J37" i="121" s="1"/>
  <c r="I64" i="140"/>
  <c r="J64" i="140" s="1"/>
  <c r="N12" i="140"/>
  <c r="L12" i="140" s="1"/>
  <c r="I64" i="125"/>
  <c r="I64" i="124"/>
  <c r="I65" i="121"/>
  <c r="H64" i="121"/>
  <c r="P32" i="114"/>
  <c r="D111" i="48"/>
  <c r="D3031" i="48"/>
  <c r="D2707" i="48"/>
  <c r="F2707" i="48" s="1"/>
  <c r="G2707" i="48" s="1"/>
  <c r="D2383" i="48"/>
  <c r="D2059" i="48"/>
  <c r="F2059" i="48" s="1"/>
  <c r="G2059" i="48" s="1"/>
  <c r="D1735" i="48"/>
  <c r="F1735" i="48" s="1"/>
  <c r="G1735" i="48" s="1"/>
  <c r="D1410" i="48"/>
  <c r="F1410" i="48" s="1"/>
  <c r="G1410" i="48" s="1"/>
  <c r="D1086" i="48"/>
  <c r="F1086" i="48" s="1"/>
  <c r="D762" i="48"/>
  <c r="F762" i="48" s="1"/>
  <c r="D437" i="48"/>
  <c r="D2869" i="48"/>
  <c r="F2869" i="48" s="1"/>
  <c r="G2869" i="48" s="1"/>
  <c r="D2545" i="48"/>
  <c r="F2545" i="48" s="1"/>
  <c r="G2545" i="48" s="1"/>
  <c r="D2221" i="48"/>
  <c r="F2221" i="48" s="1"/>
  <c r="G2221" i="48" s="1"/>
  <c r="D1897" i="48"/>
  <c r="F1897" i="48" s="1"/>
  <c r="G1897" i="48" s="1"/>
  <c r="D1573" i="48"/>
  <c r="F1573" i="48" s="1"/>
  <c r="G1573" i="48" s="1"/>
  <c r="D1248" i="48"/>
  <c r="F1248" i="48" s="1"/>
  <c r="G1248" i="48" s="1"/>
  <c r="D924" i="48"/>
  <c r="F924" i="48" s="1"/>
  <c r="D600" i="48"/>
  <c r="D274" i="48"/>
  <c r="F274" i="48" s="1"/>
  <c r="D2722" i="48"/>
  <c r="D2398" i="48"/>
  <c r="F2398" i="48" s="1"/>
  <c r="G2398" i="48" s="1"/>
  <c r="D1750" i="48"/>
  <c r="F1750" i="48" s="1"/>
  <c r="G1750" i="48" s="1"/>
  <c r="D2074" i="48"/>
  <c r="F2074" i="48" s="1"/>
  <c r="G2074" i="48" s="1"/>
  <c r="D1425" i="48"/>
  <c r="F1425" i="48" s="1"/>
  <c r="G1425" i="48" s="1"/>
  <c r="D3046" i="48"/>
  <c r="D2884" i="48"/>
  <c r="F2884" i="48" s="1"/>
  <c r="G2884" i="48" s="1"/>
  <c r="D2560" i="48"/>
  <c r="F2560" i="48" s="1"/>
  <c r="G2560" i="48" s="1"/>
  <c r="D2236" i="48"/>
  <c r="D1912" i="48"/>
  <c r="F1912" i="48" s="1"/>
  <c r="G1912" i="48" s="1"/>
  <c r="D1588" i="48"/>
  <c r="F1588" i="48" s="1"/>
  <c r="G1588" i="48" s="1"/>
  <c r="D1263" i="48"/>
  <c r="F1263" i="48" s="1"/>
  <c r="G1263" i="48" s="1"/>
  <c r="D939" i="48"/>
  <c r="F939" i="48" s="1"/>
  <c r="D615" i="48"/>
  <c r="F615" i="48" s="1"/>
  <c r="D289" i="48"/>
  <c r="D452" i="48"/>
  <c r="F452" i="48" s="1"/>
  <c r="D777" i="48"/>
  <c r="F777" i="48" s="1"/>
  <c r="D1101" i="48"/>
  <c r="F1101" i="48" s="1"/>
  <c r="J37" i="131"/>
  <c r="J64" i="111"/>
  <c r="J44" i="126"/>
  <c r="G19" i="127"/>
  <c r="J64" i="126"/>
  <c r="J65" i="122"/>
  <c r="J65" i="119"/>
  <c r="G64" i="124"/>
  <c r="J63" i="123"/>
  <c r="G64" i="125"/>
  <c r="G65" i="121"/>
  <c r="J38" i="127"/>
  <c r="G19" i="111"/>
  <c r="G26" i="111"/>
  <c r="G53" i="111"/>
  <c r="I37" i="124"/>
  <c r="N9" i="124" s="1"/>
  <c r="L9" i="124" s="1"/>
  <c r="J45" i="127"/>
  <c r="I44" i="125"/>
  <c r="N10" i="125" s="1"/>
  <c r="L10" i="125" s="1"/>
  <c r="I38" i="121"/>
  <c r="N10" i="121" s="1"/>
  <c r="L10" i="121" s="1"/>
  <c r="J55" i="122"/>
  <c r="J45" i="121"/>
  <c r="J37" i="129"/>
  <c r="J55" i="127"/>
  <c r="N13" i="145"/>
  <c r="L13" i="145" s="1"/>
  <c r="N16" i="131"/>
  <c r="L16" i="131" s="1"/>
  <c r="N16" i="128"/>
  <c r="L16" i="128" s="1"/>
  <c r="N16" i="130"/>
  <c r="L16" i="130" s="1"/>
  <c r="N16" i="126"/>
  <c r="L16" i="126" s="1"/>
  <c r="J37" i="111"/>
  <c r="I37" i="125"/>
  <c r="N9" i="125" s="1"/>
  <c r="L9" i="125" s="1"/>
  <c r="N17" i="122"/>
  <c r="L17" i="122" s="1"/>
  <c r="N17" i="127"/>
  <c r="L17" i="127" s="1"/>
  <c r="N16" i="111"/>
  <c r="L16" i="111" s="1"/>
  <c r="N13" i="143"/>
  <c r="L13" i="143" s="1"/>
  <c r="J54" i="128"/>
  <c r="N11" i="128"/>
  <c r="L11" i="128" s="1"/>
  <c r="J44" i="128"/>
  <c r="N10" i="128"/>
  <c r="L10" i="128" s="1"/>
  <c r="J45" i="119"/>
  <c r="N11" i="119"/>
  <c r="L11" i="119" s="1"/>
  <c r="N13" i="142"/>
  <c r="L13" i="142" s="1"/>
  <c r="J54" i="130"/>
  <c r="N11" i="130"/>
  <c r="L11" i="130" s="1"/>
  <c r="N13" i="144"/>
  <c r="L13" i="144" s="1"/>
  <c r="J36" i="123"/>
  <c r="N9" i="123"/>
  <c r="L9" i="123" s="1"/>
  <c r="G30" i="121"/>
  <c r="J30" i="121" s="1"/>
  <c r="J44" i="130"/>
  <c r="N10" i="130"/>
  <c r="L10" i="130" s="1"/>
  <c r="J37" i="126"/>
  <c r="N9" i="126"/>
  <c r="L9" i="126" s="1"/>
  <c r="J38" i="122"/>
  <c r="N10" i="122"/>
  <c r="L10" i="122" s="1"/>
  <c r="I44" i="140"/>
  <c r="N10" i="140" s="1"/>
  <c r="L10" i="140" s="1"/>
  <c r="G36" i="121"/>
  <c r="H36" i="121"/>
  <c r="I54" i="125"/>
  <c r="N11" i="125" s="1"/>
  <c r="L11" i="125" s="1"/>
  <c r="I40" i="140"/>
  <c r="J40" i="140" s="1"/>
  <c r="I55" i="121"/>
  <c r="N12" i="121" s="1"/>
  <c r="L12" i="121" s="1"/>
  <c r="I52" i="140"/>
  <c r="J52" i="140" s="1"/>
  <c r="I37" i="140"/>
  <c r="N9" i="140" s="1"/>
  <c r="L9" i="140" s="1"/>
  <c r="I41" i="140"/>
  <c r="J41" i="140" s="1"/>
  <c r="I40" i="125"/>
  <c r="J40" i="125" s="1"/>
  <c r="I52" i="125"/>
  <c r="J52" i="125" s="1"/>
  <c r="I41" i="124"/>
  <c r="J41" i="124" s="1"/>
  <c r="I52" i="124"/>
  <c r="J52" i="124" s="1"/>
  <c r="I40" i="124"/>
  <c r="J40" i="124" s="1"/>
  <c r="I44" i="124"/>
  <c r="N10" i="124" s="1"/>
  <c r="L10" i="124" s="1"/>
  <c r="I54" i="124"/>
  <c r="N11" i="124" s="1"/>
  <c r="L11" i="124" s="1"/>
  <c r="L11" i="110"/>
  <c r="L12" i="110" s="1"/>
  <c r="L19" i="110" s="1"/>
  <c r="L26" i="110" s="1"/>
  <c r="G27" i="127"/>
  <c r="G53" i="126"/>
  <c r="F1590" i="48"/>
  <c r="G1590" i="48" s="1"/>
  <c r="G26" i="128"/>
  <c r="G19" i="126"/>
  <c r="G27" i="119"/>
  <c r="G20" i="121"/>
  <c r="G54" i="127"/>
  <c r="F1406" i="48"/>
  <c r="G1406" i="48" s="1"/>
  <c r="G29" i="127"/>
  <c r="G53" i="130"/>
  <c r="G36" i="119"/>
  <c r="F2722" i="48"/>
  <c r="G2722" i="48" s="1"/>
  <c r="F289" i="48"/>
  <c r="D126" i="48"/>
  <c r="F126" i="48" s="1"/>
  <c r="F2236" i="48"/>
  <c r="G2236" i="48" s="1"/>
  <c r="P26" i="114"/>
  <c r="I32" i="124"/>
  <c r="J32" i="124" s="1"/>
  <c r="I33" i="124"/>
  <c r="J33" i="124" s="1"/>
  <c r="I33" i="125"/>
  <c r="J33" i="125" s="1"/>
  <c r="I32" i="125"/>
  <c r="J32" i="125" s="1"/>
  <c r="G54" i="119"/>
  <c r="G20" i="119"/>
  <c r="G20" i="127"/>
  <c r="G19" i="130"/>
  <c r="G35" i="128"/>
  <c r="F111" i="48"/>
  <c r="J29" i="131"/>
  <c r="G42" i="131"/>
  <c r="F2383" i="48"/>
  <c r="G2383" i="48" s="1"/>
  <c r="J32" i="129"/>
  <c r="N16" i="129" s="1"/>
  <c r="L16" i="129" s="1"/>
  <c r="G26" i="129"/>
  <c r="G35" i="129"/>
  <c r="J33" i="119"/>
  <c r="I32" i="140"/>
  <c r="J32" i="140" s="1"/>
  <c r="F238" i="48"/>
  <c r="G19" i="119"/>
  <c r="G19" i="128"/>
  <c r="G19" i="129"/>
  <c r="F97" i="48"/>
  <c r="I86" i="140"/>
  <c r="G27" i="125"/>
  <c r="G43" i="121"/>
  <c r="G82" i="119"/>
  <c r="G35" i="127"/>
  <c r="F590" i="48"/>
  <c r="G81" i="122"/>
  <c r="F262" i="48"/>
  <c r="G35" i="119"/>
  <c r="G90" i="128"/>
  <c r="G92" i="127"/>
  <c r="G86" i="130"/>
  <c r="G34" i="126"/>
  <c r="G63" i="131"/>
  <c r="G94" i="127"/>
  <c r="G80" i="111"/>
  <c r="F2873" i="48"/>
  <c r="G2873" i="48" s="1"/>
  <c r="F2877" i="48"/>
  <c r="G2877" i="48" s="1"/>
  <c r="G87" i="131"/>
  <c r="G82" i="131"/>
  <c r="G81" i="130"/>
  <c r="G86" i="129"/>
  <c r="G88" i="129"/>
  <c r="G81" i="128"/>
  <c r="G28" i="126"/>
  <c r="G90" i="126"/>
  <c r="G84" i="126"/>
  <c r="G81" i="126"/>
  <c r="G80" i="125"/>
  <c r="G86" i="125"/>
  <c r="G88" i="124"/>
  <c r="F441" i="48"/>
  <c r="G83" i="119"/>
  <c r="G84" i="119"/>
  <c r="G85" i="111"/>
  <c r="G87" i="111"/>
  <c r="F606" i="48"/>
  <c r="G88" i="122"/>
  <c r="G29" i="122"/>
  <c r="G86" i="122"/>
  <c r="G86" i="131"/>
  <c r="G81" i="131"/>
  <c r="G90" i="131"/>
  <c r="G85" i="131"/>
  <c r="G80" i="131"/>
  <c r="G82" i="130"/>
  <c r="G80" i="130"/>
  <c r="G82" i="128"/>
  <c r="G86" i="128"/>
  <c r="G80" i="128"/>
  <c r="G87" i="126"/>
  <c r="G83" i="126"/>
  <c r="G85" i="126"/>
  <c r="G86" i="126"/>
  <c r="G80" i="126"/>
  <c r="G83" i="125"/>
  <c r="G84" i="125"/>
  <c r="G82" i="125"/>
  <c r="G83" i="123"/>
  <c r="G85" i="123"/>
  <c r="G84" i="123"/>
  <c r="G80" i="123"/>
  <c r="G79" i="123"/>
  <c r="G81" i="123"/>
  <c r="G86" i="123"/>
  <c r="G82" i="123"/>
  <c r="G87" i="119"/>
  <c r="G91" i="119"/>
  <c r="G81" i="119"/>
  <c r="G86" i="119"/>
  <c r="G82" i="111"/>
  <c r="G84" i="111"/>
  <c r="G90" i="111"/>
  <c r="G28" i="111"/>
  <c r="G86" i="111"/>
  <c r="G81" i="111"/>
  <c r="G83" i="111"/>
  <c r="G83" i="129"/>
  <c r="J33" i="140"/>
  <c r="J44" i="129"/>
  <c r="G23" i="121"/>
  <c r="G25" i="121"/>
  <c r="J10" i="121"/>
  <c r="N17" i="121" s="1"/>
  <c r="L17" i="121" s="1"/>
  <c r="J44" i="111"/>
  <c r="J54" i="111"/>
  <c r="J54" i="126"/>
  <c r="J45" i="122"/>
  <c r="J55" i="119"/>
  <c r="G29" i="121"/>
  <c r="J4" i="140"/>
  <c r="J5" i="140" s="1"/>
  <c r="J44" i="131"/>
  <c r="J54" i="131"/>
  <c r="J4" i="125"/>
  <c r="J5" i="125" s="1"/>
  <c r="J43" i="123"/>
  <c r="J53" i="123"/>
  <c r="G19" i="131"/>
  <c r="G26" i="121"/>
  <c r="F2863" i="48"/>
  <c r="G2863" i="48" s="1"/>
  <c r="F2880" i="48"/>
  <c r="G2880" i="48" s="1"/>
  <c r="F2867" i="48"/>
  <c r="G2867" i="48" s="1"/>
  <c r="F2861" i="48"/>
  <c r="G2861" i="48" s="1"/>
  <c r="F2859" i="48"/>
  <c r="G2859" i="48" s="1"/>
  <c r="G53" i="131"/>
  <c r="F2871" i="48"/>
  <c r="G2871" i="48" s="1"/>
  <c r="F2875" i="48"/>
  <c r="G2875" i="48" s="1"/>
  <c r="J9" i="125"/>
  <c r="J9" i="140"/>
  <c r="G96" i="145"/>
  <c r="G96" i="144"/>
  <c r="G96" i="142"/>
  <c r="G97" i="143"/>
  <c r="G34" i="130"/>
  <c r="G84" i="130"/>
  <c r="G29" i="124"/>
  <c r="J29" i="124" s="1"/>
  <c r="H21" i="88"/>
  <c r="H17" i="88"/>
  <c r="G21" i="131"/>
  <c r="G18" i="131"/>
  <c r="G83" i="121"/>
  <c r="G83" i="130"/>
  <c r="F1895" i="48"/>
  <c r="G1895" i="48" s="1"/>
  <c r="G43" i="125"/>
  <c r="G81" i="125"/>
  <c r="G53" i="125"/>
  <c r="G63" i="140"/>
  <c r="G18" i="140"/>
  <c r="G26" i="140"/>
  <c r="G19" i="140"/>
  <c r="G42" i="140"/>
  <c r="G24" i="140"/>
  <c r="G22" i="140"/>
  <c r="G81" i="140"/>
  <c r="G84" i="140"/>
  <c r="G28" i="140"/>
  <c r="G21" i="140"/>
  <c r="G23" i="140"/>
  <c r="G25" i="140"/>
  <c r="G34" i="140"/>
  <c r="G27" i="140"/>
  <c r="G20" i="140"/>
  <c r="G86" i="140"/>
  <c r="G53" i="140"/>
  <c r="G35" i="140"/>
  <c r="F443" i="48"/>
  <c r="I87" i="121"/>
  <c r="G87" i="121"/>
  <c r="G19" i="125"/>
  <c r="G90" i="125"/>
  <c r="J4" i="124"/>
  <c r="J5" i="124" s="1"/>
  <c r="G33" i="123"/>
  <c r="G35" i="124"/>
  <c r="G23" i="124"/>
  <c r="G43" i="124"/>
  <c r="G24" i="124"/>
  <c r="G20" i="124"/>
  <c r="G42" i="124"/>
  <c r="G18" i="124"/>
  <c r="F914" i="48"/>
  <c r="F922" i="48"/>
  <c r="F916" i="48"/>
  <c r="F928" i="48"/>
  <c r="G21" i="124"/>
  <c r="G63" i="124"/>
  <c r="G81" i="124"/>
  <c r="I88" i="124"/>
  <c r="G26" i="124"/>
  <c r="G63" i="125"/>
  <c r="G27" i="124"/>
  <c r="F930" i="48"/>
  <c r="F920" i="48"/>
  <c r="F926" i="48"/>
  <c r="G53" i="124"/>
  <c r="I86" i="124"/>
  <c r="G86" i="124"/>
  <c r="G25" i="124"/>
  <c r="G19" i="124"/>
  <c r="F935" i="48"/>
  <c r="F918" i="48"/>
  <c r="G22" i="124"/>
  <c r="J9" i="124"/>
  <c r="F912" i="48"/>
  <c r="G87" i="123"/>
  <c r="G88" i="123"/>
  <c r="G90" i="123"/>
  <c r="F1074" i="48"/>
  <c r="F1088" i="48"/>
  <c r="F1082" i="48"/>
  <c r="G34" i="111"/>
  <c r="G54" i="122"/>
  <c r="F1571" i="48"/>
  <c r="G1571" i="48" s="1"/>
  <c r="G83" i="128"/>
  <c r="G84" i="128"/>
  <c r="L14" i="110"/>
  <c r="L21" i="110" s="1"/>
  <c r="L6" i="110"/>
  <c r="L13" i="110" s="1"/>
  <c r="L20" i="110" s="1"/>
  <c r="G83" i="131"/>
  <c r="G84" i="131"/>
  <c r="G34" i="131"/>
  <c r="G54" i="121"/>
  <c r="F566" i="48"/>
  <c r="G20" i="122"/>
  <c r="J37" i="124" l="1"/>
  <c r="N17" i="119"/>
  <c r="L17" i="119" s="1"/>
  <c r="J64" i="125"/>
  <c r="F600" i="48"/>
  <c r="G85" i="122"/>
  <c r="N14" i="122" s="1"/>
  <c r="L14" i="122" s="1"/>
  <c r="J65" i="121"/>
  <c r="J64" i="124"/>
  <c r="J38" i="121"/>
  <c r="N13" i="123"/>
  <c r="L13" i="123" s="1"/>
  <c r="J37" i="140"/>
  <c r="N13" i="111"/>
  <c r="L13" i="111" s="1"/>
  <c r="N13" i="130"/>
  <c r="L13" i="130" s="1"/>
  <c r="J37" i="125"/>
  <c r="N16" i="124"/>
  <c r="L16" i="124" s="1"/>
  <c r="N16" i="140"/>
  <c r="L16" i="140" s="1"/>
  <c r="N13" i="128"/>
  <c r="L13" i="128" s="1"/>
  <c r="N13" i="131"/>
  <c r="L13" i="131" s="1"/>
  <c r="N16" i="125"/>
  <c r="L16" i="125" s="1"/>
  <c r="N14" i="119"/>
  <c r="L14" i="119" s="1"/>
  <c r="N13" i="126"/>
  <c r="L13" i="126" s="1"/>
  <c r="N14" i="127"/>
  <c r="L14" i="127" s="1"/>
  <c r="L18" i="110"/>
  <c r="L25" i="110" s="1"/>
  <c r="G84" i="129"/>
  <c r="N13" i="129" s="1"/>
  <c r="L13" i="129" s="1"/>
  <c r="F932" i="48"/>
  <c r="G97" i="119"/>
  <c r="G103" i="127"/>
  <c r="G34" i="124"/>
  <c r="G80" i="140"/>
  <c r="G88" i="140"/>
  <c r="G28" i="124"/>
  <c r="G85" i="124"/>
  <c r="G82" i="124"/>
  <c r="G80" i="124"/>
  <c r="G83" i="124"/>
  <c r="G89" i="121"/>
  <c r="F445" i="48"/>
  <c r="G87" i="124"/>
  <c r="G84" i="124"/>
  <c r="G90" i="124"/>
  <c r="G90" i="140"/>
  <c r="G87" i="140"/>
  <c r="G82" i="140"/>
  <c r="G85" i="140"/>
  <c r="G96" i="126"/>
  <c r="G28" i="125"/>
  <c r="G85" i="125"/>
  <c r="F437" i="48"/>
  <c r="G85" i="121"/>
  <c r="F435" i="48"/>
  <c r="G84" i="121"/>
  <c r="F427" i="48"/>
  <c r="G81" i="121"/>
  <c r="F429" i="48"/>
  <c r="G82" i="121"/>
  <c r="F439" i="48"/>
  <c r="G86" i="121"/>
  <c r="F448" i="48"/>
  <c r="G91" i="121"/>
  <c r="G88" i="121"/>
  <c r="G96" i="111"/>
  <c r="G83" i="140"/>
  <c r="J55" i="121"/>
  <c r="J44" i="140"/>
  <c r="J54" i="140"/>
  <c r="J54" i="125"/>
  <c r="J44" i="125"/>
  <c r="J54" i="124"/>
  <c r="J44" i="124"/>
  <c r="G96" i="123"/>
  <c r="G34" i="125"/>
  <c r="F1094" i="48"/>
  <c r="G88" i="125"/>
  <c r="F1092" i="48"/>
  <c r="G87" i="125"/>
  <c r="G96" i="128"/>
  <c r="G97" i="122" l="1"/>
  <c r="N13" i="125"/>
  <c r="L13" i="125" s="1"/>
  <c r="N14" i="121"/>
  <c r="L14" i="121" s="1"/>
  <c r="N13" i="140"/>
  <c r="L13" i="140" s="1"/>
  <c r="N13" i="124"/>
  <c r="L13" i="124" s="1"/>
  <c r="G96" i="129"/>
  <c r="G96" i="140"/>
  <c r="G96" i="124"/>
  <c r="G97" i="121"/>
  <c r="G96" i="125"/>
  <c r="H23" i="123" l="1"/>
  <c r="J23" i="123" s="1"/>
  <c r="H23" i="143"/>
  <c r="J23" i="143" s="1"/>
  <c r="H23" i="140"/>
  <c r="J23" i="140" s="1"/>
  <c r="H23" i="144"/>
  <c r="J23" i="144" s="1"/>
  <c r="H23" i="125"/>
  <c r="J23" i="125" s="1"/>
  <c r="H23" i="129"/>
  <c r="J23" i="129" s="1"/>
  <c r="H23" i="142"/>
  <c r="J23" i="142" s="1"/>
  <c r="H23" i="131"/>
  <c r="J23" i="131" s="1"/>
  <c r="H24" i="127"/>
  <c r="J24" i="127" s="1"/>
  <c r="H23" i="130"/>
  <c r="J23" i="130" s="1"/>
  <c r="H23" i="126"/>
  <c r="J23" i="126" s="1"/>
  <c r="H23" i="128"/>
  <c r="J23" i="128" s="1"/>
  <c r="H23" i="145"/>
  <c r="J23" i="145" s="1"/>
  <c r="H83" i="123"/>
  <c r="J83" i="123" s="1"/>
  <c r="H80" i="126"/>
  <c r="J80" i="126" s="1"/>
  <c r="H85" i="130"/>
  <c r="J85" i="130" s="1"/>
  <c r="H90" i="128"/>
  <c r="J90" i="128" s="1"/>
  <c r="H86" i="128"/>
  <c r="J86" i="128" s="1"/>
  <c r="H87" i="129"/>
  <c r="J87" i="129" s="1"/>
  <c r="H81" i="122"/>
  <c r="J81" i="122" s="1"/>
  <c r="H86" i="142"/>
  <c r="J86" i="142" s="1"/>
  <c r="H81" i="121"/>
  <c r="J81" i="121" s="1"/>
  <c r="H80" i="128"/>
  <c r="J80" i="128" s="1"/>
  <c r="H85" i="131"/>
  <c r="J85" i="131" s="1"/>
  <c r="H86" i="126"/>
  <c r="J86" i="126" s="1"/>
  <c r="H87" i="124"/>
  <c r="J87" i="124" s="1"/>
  <c r="H90" i="127"/>
  <c r="J90" i="127" s="1"/>
  <c r="H87" i="142"/>
  <c r="J87" i="142" s="1"/>
  <c r="H86" i="143"/>
  <c r="J86" i="143" s="1"/>
  <c r="H80" i="131"/>
  <c r="J80" i="131" s="1"/>
  <c r="H80" i="125"/>
  <c r="J80" i="125" s="1"/>
  <c r="H85" i="129"/>
  <c r="J85" i="129" s="1"/>
  <c r="H90" i="140"/>
  <c r="J90" i="140" s="1"/>
  <c r="H87" i="121"/>
  <c r="J87" i="121" s="1"/>
  <c r="H88" i="121"/>
  <c r="J88" i="121" s="1"/>
  <c r="H87" i="140"/>
  <c r="J87" i="140" s="1"/>
  <c r="H84" i="122"/>
  <c r="J84" i="122" s="1"/>
  <c r="H94" i="127"/>
  <c r="J94" i="127" s="1"/>
  <c r="H85" i="144"/>
  <c r="J85" i="144" s="1"/>
  <c r="H88" i="143"/>
  <c r="J88" i="143" s="1"/>
  <c r="H80" i="140"/>
  <c r="J80" i="140" s="1"/>
  <c r="H79" i="123"/>
  <c r="J79" i="123" s="1"/>
  <c r="N16" i="123" s="1"/>
  <c r="L16" i="123" s="1"/>
  <c r="H86" i="122"/>
  <c r="J86" i="122" s="1"/>
  <c r="H90" i="130"/>
  <c r="J90" i="130" s="1"/>
  <c r="H86" i="130"/>
  <c r="J86" i="130" s="1"/>
  <c r="H86" i="124"/>
  <c r="J86" i="124" s="1"/>
  <c r="H87" i="126"/>
  <c r="J87" i="126" s="1"/>
  <c r="H93" i="127"/>
  <c r="J93" i="127" s="1"/>
  <c r="H85" i="142"/>
  <c r="J85" i="142" s="1"/>
  <c r="H85" i="145"/>
  <c r="J85" i="145" s="1"/>
  <c r="H81" i="143"/>
  <c r="J81" i="143" s="1"/>
  <c r="H87" i="144"/>
  <c r="J87" i="144" s="1"/>
  <c r="H83" i="125"/>
  <c r="J83" i="125" s="1"/>
  <c r="H80" i="130"/>
  <c r="J80" i="130" s="1"/>
  <c r="H85" i="128"/>
  <c r="J85" i="128" s="1"/>
  <c r="H90" i="131"/>
  <c r="J90" i="131" s="1"/>
  <c r="H86" i="123"/>
  <c r="J86" i="123" s="1"/>
  <c r="H87" i="130"/>
  <c r="J87" i="130" s="1"/>
  <c r="H87" i="122"/>
  <c r="J87" i="122" s="1"/>
  <c r="H92" i="127"/>
  <c r="J92" i="127" s="1"/>
  <c r="H90" i="144"/>
  <c r="J90" i="144" s="1"/>
  <c r="H80" i="144"/>
  <c r="J80" i="144" s="1"/>
  <c r="H87" i="145"/>
  <c r="J87" i="145" s="1"/>
  <c r="H83" i="126"/>
  <c r="J83" i="126" s="1"/>
  <c r="H86" i="121"/>
  <c r="J86" i="121" s="1"/>
  <c r="H85" i="126"/>
  <c r="J85" i="126" s="1"/>
  <c r="H90" i="129"/>
  <c r="J90" i="129" s="1"/>
  <c r="H86" i="131"/>
  <c r="J86" i="131" s="1"/>
  <c r="H87" i="128"/>
  <c r="J87" i="128" s="1"/>
  <c r="H88" i="122"/>
  <c r="J88" i="122" s="1"/>
  <c r="H90" i="142"/>
  <c r="J90" i="142" s="1"/>
  <c r="H86" i="145"/>
  <c r="J86" i="145" s="1"/>
  <c r="H90" i="145"/>
  <c r="J90" i="145" s="1"/>
  <c r="H80" i="145"/>
  <c r="J80" i="145" s="1"/>
  <c r="H80" i="129"/>
  <c r="J80" i="129" s="1"/>
  <c r="H91" i="121"/>
  <c r="J91" i="121" s="1"/>
  <c r="H90" i="126"/>
  <c r="J90" i="126" s="1"/>
  <c r="H86" i="129"/>
  <c r="J86" i="129" s="1"/>
  <c r="H87" i="131"/>
  <c r="J87" i="131" s="1"/>
  <c r="H97" i="127"/>
  <c r="J97" i="127" s="1"/>
  <c r="H87" i="143"/>
  <c r="J87" i="143" s="1"/>
  <c r="H91" i="143"/>
  <c r="J91" i="143" s="1"/>
  <c r="H84" i="121"/>
  <c r="J84" i="121" s="1"/>
  <c r="H80" i="124"/>
  <c r="J80" i="124" s="1"/>
  <c r="H85" i="140"/>
  <c r="J85" i="140" s="1"/>
  <c r="H85" i="123"/>
  <c r="J85" i="123" s="1"/>
  <c r="H91" i="122"/>
  <c r="J91" i="122" s="1"/>
  <c r="H90" i="124"/>
  <c r="J90" i="124" s="1"/>
  <c r="H86" i="140"/>
  <c r="J86" i="140" s="1"/>
  <c r="H80" i="142"/>
  <c r="J80" i="142" s="1"/>
  <c r="H86" i="144"/>
  <c r="J86" i="144" s="1"/>
  <c r="H91" i="119"/>
  <c r="J91" i="119" s="1"/>
  <c r="H88" i="119"/>
  <c r="J88" i="119" s="1"/>
  <c r="H87" i="119"/>
  <c r="J87" i="119" s="1"/>
  <c r="H86" i="119"/>
  <c r="J86" i="119" s="1"/>
  <c r="H84" i="119"/>
  <c r="J84" i="119" s="1"/>
  <c r="H81" i="119"/>
  <c r="J81" i="119" s="1"/>
  <c r="H24" i="121"/>
  <c r="J24" i="121" s="1"/>
  <c r="H24" i="119"/>
  <c r="J24" i="119" s="1"/>
  <c r="H24" i="122"/>
  <c r="J24" i="122" s="1"/>
  <c r="H90" i="111"/>
  <c r="J90" i="111" s="1"/>
  <c r="H87" i="111"/>
  <c r="J87" i="111" s="1"/>
  <c r="H86" i="111"/>
  <c r="J86" i="111" s="1"/>
  <c r="H85" i="111"/>
  <c r="J85" i="111" s="1"/>
  <c r="H80" i="111"/>
  <c r="J80" i="111" s="1"/>
  <c r="H83" i="145"/>
  <c r="J83" i="145" s="1"/>
  <c r="H84" i="143"/>
  <c r="J84" i="143" s="1"/>
  <c r="H83" i="144"/>
  <c r="J83" i="144" s="1"/>
  <c r="H83" i="142"/>
  <c r="J83" i="142" s="1"/>
  <c r="H83" i="140"/>
  <c r="J83" i="140" s="1"/>
  <c r="H87" i="125"/>
  <c r="J87" i="125" s="1"/>
  <c r="H87" i="123"/>
  <c r="J87" i="123" s="1"/>
  <c r="H90" i="123"/>
  <c r="J90" i="123" s="1"/>
  <c r="H23" i="111"/>
  <c r="J23" i="111" s="1"/>
  <c r="H35" i="126"/>
  <c r="J35" i="126" s="1"/>
  <c r="H78" i="127"/>
  <c r="J78" i="127" s="1"/>
  <c r="H83" i="128"/>
  <c r="J83" i="128" s="1"/>
  <c r="H83" i="129"/>
  <c r="J83" i="129" s="1"/>
  <c r="H83" i="131"/>
  <c r="J83" i="131" s="1"/>
  <c r="H83" i="130"/>
  <c r="J83" i="130" s="1"/>
  <c r="H28" i="130" l="1"/>
  <c r="H28" i="131"/>
  <c r="H36" i="122"/>
  <c r="J36" i="122" s="1"/>
  <c r="H21" i="124"/>
  <c r="J21" i="124" s="1"/>
  <c r="H25" i="125"/>
  <c r="J25" i="125" s="1"/>
  <c r="H21" i="127"/>
  <c r="J21" i="127" s="1"/>
  <c r="H82" i="123"/>
  <c r="J82" i="123" s="1"/>
  <c r="H26" i="140"/>
  <c r="J26" i="140" s="1"/>
  <c r="H26" i="125"/>
  <c r="J26" i="125" s="1"/>
  <c r="H22" i="142"/>
  <c r="J22" i="142" s="1"/>
  <c r="H25" i="142"/>
  <c r="J25" i="142" s="1"/>
  <c r="H28" i="143"/>
  <c r="J28" i="143" s="1"/>
  <c r="H24" i="145"/>
  <c r="J24" i="145" s="1"/>
  <c r="H27" i="126"/>
  <c r="J27" i="126" s="1"/>
  <c r="H20" i="130"/>
  <c r="J20" i="130" s="1"/>
  <c r="H28" i="129"/>
  <c r="J28" i="129" s="1"/>
  <c r="H26" i="130"/>
  <c r="J26" i="130" s="1"/>
  <c r="H26" i="123"/>
  <c r="J26" i="123" s="1"/>
  <c r="H22" i="125"/>
  <c r="J22" i="125" s="1"/>
  <c r="H24" i="131"/>
  <c r="J24" i="131" s="1"/>
  <c r="H24" i="123"/>
  <c r="J24" i="123" s="1"/>
  <c r="H20" i="144"/>
  <c r="J20" i="144" s="1"/>
  <c r="H26" i="143"/>
  <c r="J26" i="143" s="1"/>
  <c r="H28" i="145"/>
  <c r="J28" i="145" s="1"/>
  <c r="H24" i="142"/>
  <c r="J24" i="142" s="1"/>
  <c r="H27" i="130"/>
  <c r="J27" i="130" s="1"/>
  <c r="H27" i="124"/>
  <c r="J27" i="124" s="1"/>
  <c r="H20" i="123"/>
  <c r="J20" i="123" s="1"/>
  <c r="H28" i="140"/>
  <c r="J28" i="140" s="1"/>
  <c r="H24" i="130"/>
  <c r="J24" i="130" s="1"/>
  <c r="H20" i="145"/>
  <c r="J20" i="145" s="1"/>
  <c r="H26" i="144"/>
  <c r="J26" i="144" s="1"/>
  <c r="H28" i="142"/>
  <c r="J28" i="142" s="1"/>
  <c r="H25" i="130"/>
  <c r="J25" i="130" s="1"/>
  <c r="H20" i="126"/>
  <c r="J20" i="126" s="1"/>
  <c r="H25" i="131"/>
  <c r="J25" i="131" s="1"/>
  <c r="H27" i="131"/>
  <c r="J27" i="131" s="1"/>
  <c r="H28" i="128"/>
  <c r="J28" i="128" s="1"/>
  <c r="H26" i="131"/>
  <c r="J26" i="131" s="1"/>
  <c r="H22" i="124"/>
  <c r="J22" i="124" s="1"/>
  <c r="H20" i="143"/>
  <c r="J20" i="143" s="1"/>
  <c r="H26" i="145"/>
  <c r="J26" i="145" s="1"/>
  <c r="H27" i="144"/>
  <c r="J27" i="144" s="1"/>
  <c r="H25" i="123"/>
  <c r="J25" i="123" s="1"/>
  <c r="H21" i="125"/>
  <c r="J21" i="125" s="1"/>
  <c r="H22" i="127"/>
  <c r="J22" i="127" s="1"/>
  <c r="H26" i="142"/>
  <c r="J26" i="142" s="1"/>
  <c r="H27" i="143"/>
  <c r="J27" i="143" s="1"/>
  <c r="H27" i="123"/>
  <c r="J27" i="123" s="1"/>
  <c r="H22" i="129"/>
  <c r="J22" i="129" s="1"/>
  <c r="H24" i="125"/>
  <c r="J24" i="125" s="1"/>
  <c r="H25" i="126"/>
  <c r="J25" i="126" s="1"/>
  <c r="H27" i="140"/>
  <c r="J27" i="140" s="1"/>
  <c r="H20" i="140"/>
  <c r="J20" i="140" s="1"/>
  <c r="H28" i="126"/>
  <c r="J28" i="126" s="1"/>
  <c r="H26" i="126"/>
  <c r="J26" i="126" s="1"/>
  <c r="H22" i="126"/>
  <c r="J22" i="126" s="1"/>
  <c r="H22" i="143"/>
  <c r="J22" i="143" s="1"/>
  <c r="H25" i="143"/>
  <c r="J25" i="143" s="1"/>
  <c r="H27" i="145"/>
  <c r="J27" i="145" s="1"/>
  <c r="H20" i="131"/>
  <c r="J20" i="131" s="1"/>
  <c r="H25" i="129"/>
  <c r="J25" i="129" s="1"/>
  <c r="H27" i="129"/>
  <c r="J27" i="129" s="1"/>
  <c r="H20" i="129"/>
  <c r="J20" i="129" s="1"/>
  <c r="H28" i="125"/>
  <c r="J28" i="125" s="1"/>
  <c r="H22" i="128"/>
  <c r="J22" i="128" s="1"/>
  <c r="H20" i="142"/>
  <c r="J20" i="142" s="1"/>
  <c r="H25" i="124"/>
  <c r="J25" i="124" s="1"/>
  <c r="H27" i="128"/>
  <c r="J27" i="128" s="1"/>
  <c r="H20" i="128"/>
  <c r="J20" i="128" s="1"/>
  <c r="H28" i="124"/>
  <c r="J28" i="124" s="1"/>
  <c r="H26" i="124"/>
  <c r="J26" i="124" s="1"/>
  <c r="H22" i="131"/>
  <c r="J22" i="131" s="1"/>
  <c r="H24" i="124"/>
  <c r="J24" i="124" s="1"/>
  <c r="H22" i="145"/>
  <c r="J22" i="145" s="1"/>
  <c r="H25" i="144"/>
  <c r="J25" i="144" s="1"/>
  <c r="H27" i="142"/>
  <c r="J27" i="142" s="1"/>
  <c r="H24" i="143"/>
  <c r="J24" i="143" s="1"/>
  <c r="H25" i="140"/>
  <c r="J25" i="140" s="1"/>
  <c r="H25" i="128"/>
  <c r="J25" i="128" s="1"/>
  <c r="H27" i="125"/>
  <c r="J27" i="125" s="1"/>
  <c r="H22" i="130"/>
  <c r="J22" i="130" s="1"/>
  <c r="H24" i="129"/>
  <c r="J24" i="129" s="1"/>
  <c r="H24" i="126"/>
  <c r="J24" i="126" s="1"/>
  <c r="H22" i="144"/>
  <c r="J22" i="144" s="1"/>
  <c r="H25" i="145"/>
  <c r="J25" i="145" s="1"/>
  <c r="H28" i="144"/>
  <c r="J28" i="144" s="1"/>
  <c r="H24" i="144"/>
  <c r="J24" i="144" s="1"/>
  <c r="H37" i="127"/>
  <c r="J37" i="127" s="1"/>
  <c r="H35" i="130"/>
  <c r="J35" i="130" s="1"/>
  <c r="H63" i="130"/>
  <c r="J63" i="130" s="1"/>
  <c r="H35" i="145"/>
  <c r="J35" i="145" s="1"/>
  <c r="H36" i="140"/>
  <c r="J36" i="140" s="1"/>
  <c r="H35" i="124"/>
  <c r="J35" i="124" s="1"/>
  <c r="H63" i="125"/>
  <c r="J63" i="125" s="1"/>
  <c r="H35" i="143"/>
  <c r="J35" i="143" s="1"/>
  <c r="H36" i="143"/>
  <c r="J36" i="143" s="1"/>
  <c r="H43" i="126"/>
  <c r="J43" i="126" s="1"/>
  <c r="H34" i="126"/>
  <c r="J34" i="126" s="1"/>
  <c r="H43" i="124"/>
  <c r="J43" i="124" s="1"/>
  <c r="H53" i="125"/>
  <c r="J53" i="125" s="1"/>
  <c r="H36" i="131"/>
  <c r="J36" i="131" s="1"/>
  <c r="H35" i="123"/>
  <c r="J35" i="123" s="1"/>
  <c r="H35" i="140"/>
  <c r="J35" i="140" s="1"/>
  <c r="H35" i="142"/>
  <c r="J35" i="142" s="1"/>
  <c r="H36" i="144"/>
  <c r="J36" i="144" s="1"/>
  <c r="H44" i="121"/>
  <c r="J44" i="121" s="1"/>
  <c r="H35" i="122"/>
  <c r="J35" i="122" s="1"/>
  <c r="H42" i="123"/>
  <c r="J42" i="123" s="1"/>
  <c r="H36" i="130"/>
  <c r="J36" i="130" s="1"/>
  <c r="H34" i="123"/>
  <c r="J34" i="123" s="1"/>
  <c r="J64" i="121"/>
  <c r="H63" i="124"/>
  <c r="J63" i="124" s="1"/>
  <c r="H43" i="144"/>
  <c r="J43" i="144" s="1"/>
  <c r="H63" i="145"/>
  <c r="J63" i="145" s="1"/>
  <c r="H36" i="145"/>
  <c r="J36" i="145" s="1"/>
  <c r="H34" i="129"/>
  <c r="J34" i="129" s="1"/>
  <c r="H34" i="128"/>
  <c r="J34" i="128" s="1"/>
  <c r="H35" i="127"/>
  <c r="J35" i="127" s="1"/>
  <c r="H43" i="122"/>
  <c r="J43" i="122" s="1"/>
  <c r="H43" i="131"/>
  <c r="J43" i="131" s="1"/>
  <c r="H36" i="129"/>
  <c r="J36" i="129" s="1"/>
  <c r="H37" i="122"/>
  <c r="J37" i="122" s="1"/>
  <c r="H35" i="131"/>
  <c r="J35" i="131" s="1"/>
  <c r="H62" i="123"/>
  <c r="J62" i="123" s="1"/>
  <c r="H63" i="140"/>
  <c r="J63" i="140" s="1"/>
  <c r="H43" i="145"/>
  <c r="J43" i="145" s="1"/>
  <c r="H63" i="144"/>
  <c r="J63" i="144" s="1"/>
  <c r="H36" i="142"/>
  <c r="J36" i="142" s="1"/>
  <c r="H35" i="121"/>
  <c r="J35" i="121" s="1"/>
  <c r="H43" i="140"/>
  <c r="J43" i="140" s="1"/>
  <c r="H63" i="131"/>
  <c r="J63" i="131" s="1"/>
  <c r="H43" i="143"/>
  <c r="J43" i="143" s="1"/>
  <c r="H63" i="143"/>
  <c r="J63" i="143" s="1"/>
  <c r="H42" i="126"/>
  <c r="J42" i="126" s="1"/>
  <c r="H36" i="126"/>
  <c r="J36" i="126" s="1"/>
  <c r="H35" i="125"/>
  <c r="J35" i="125" s="1"/>
  <c r="H43" i="142"/>
  <c r="J43" i="142" s="1"/>
  <c r="H63" i="142"/>
  <c r="J63" i="142" s="1"/>
  <c r="H43" i="130"/>
  <c r="J43" i="130" s="1"/>
  <c r="H43" i="121"/>
  <c r="J43" i="121" s="1"/>
  <c r="H44" i="122"/>
  <c r="J44" i="122" s="1"/>
  <c r="H43" i="125"/>
  <c r="J43" i="125" s="1"/>
  <c r="H36" i="125"/>
  <c r="J36" i="125" s="1"/>
  <c r="H63" i="126"/>
  <c r="J63" i="126" s="1"/>
  <c r="H35" i="144"/>
  <c r="J35" i="144" s="1"/>
  <c r="H81" i="124"/>
  <c r="J81" i="124" s="1"/>
  <c r="H82" i="129"/>
  <c r="J82" i="129" s="1"/>
  <c r="H82" i="125"/>
  <c r="J82" i="125" s="1"/>
  <c r="H95" i="127"/>
  <c r="J95" i="127" s="1"/>
  <c r="H82" i="122"/>
  <c r="J82" i="122" s="1"/>
  <c r="H82" i="145"/>
  <c r="J82" i="145" s="1"/>
  <c r="H81" i="145"/>
  <c r="J81" i="145" s="1"/>
  <c r="H88" i="142"/>
  <c r="J88" i="142" s="1"/>
  <c r="H81" i="126"/>
  <c r="J81" i="126" s="1"/>
  <c r="H82" i="140"/>
  <c r="J82" i="140" s="1"/>
  <c r="H88" i="124"/>
  <c r="J88" i="124" s="1"/>
  <c r="H82" i="144"/>
  <c r="J82" i="144" s="1"/>
  <c r="H85" i="121"/>
  <c r="J85" i="121" s="1"/>
  <c r="H82" i="121"/>
  <c r="J82" i="121" s="1"/>
  <c r="H81" i="128"/>
  <c r="J81" i="128" s="1"/>
  <c r="H82" i="131"/>
  <c r="J82" i="131" s="1"/>
  <c r="H81" i="123"/>
  <c r="J81" i="123" s="1"/>
  <c r="H89" i="122"/>
  <c r="J89" i="122" s="1"/>
  <c r="H91" i="127"/>
  <c r="J91" i="127" s="1"/>
  <c r="H81" i="140"/>
  <c r="J81" i="140" s="1"/>
  <c r="H81" i="125"/>
  <c r="J81" i="125" s="1"/>
  <c r="H82" i="130"/>
  <c r="J82" i="130" s="1"/>
  <c r="H88" i="126"/>
  <c r="J88" i="126" s="1"/>
  <c r="H81" i="130"/>
  <c r="J81" i="130" s="1"/>
  <c r="H89" i="121"/>
  <c r="J89" i="121" s="1"/>
  <c r="H84" i="123"/>
  <c r="J84" i="123" s="1"/>
  <c r="H80" i="123"/>
  <c r="J80" i="123" s="1"/>
  <c r="H83" i="121"/>
  <c r="J83" i="121" s="1"/>
  <c r="H82" i="126"/>
  <c r="J82" i="126" s="1"/>
  <c r="H88" i="131"/>
  <c r="J88" i="131" s="1"/>
  <c r="H88" i="140"/>
  <c r="J88" i="140" s="1"/>
  <c r="H82" i="142"/>
  <c r="J82" i="142" s="1"/>
  <c r="H88" i="144"/>
  <c r="J88" i="144" s="1"/>
  <c r="H84" i="125"/>
  <c r="J84" i="125" s="1"/>
  <c r="H84" i="126"/>
  <c r="J84" i="126" s="1"/>
  <c r="H81" i="129"/>
  <c r="J81" i="129" s="1"/>
  <c r="H83" i="122"/>
  <c r="J83" i="122" s="1"/>
  <c r="H82" i="124"/>
  <c r="J82" i="124" s="1"/>
  <c r="H88" i="129"/>
  <c r="J88" i="129" s="1"/>
  <c r="H88" i="128"/>
  <c r="J88" i="128" s="1"/>
  <c r="H82" i="143"/>
  <c r="J82" i="143" s="1"/>
  <c r="H88" i="145"/>
  <c r="J88" i="145" s="1"/>
  <c r="H85" i="122"/>
  <c r="J85" i="122" s="1"/>
  <c r="H81" i="131"/>
  <c r="J81" i="131" s="1"/>
  <c r="H82" i="128"/>
  <c r="J82" i="128" s="1"/>
  <c r="H88" i="130"/>
  <c r="J88" i="130" s="1"/>
  <c r="H81" i="142"/>
  <c r="J81" i="142" s="1"/>
  <c r="H83" i="143"/>
  <c r="J83" i="143" s="1"/>
  <c r="H81" i="144"/>
  <c r="J81" i="144" s="1"/>
  <c r="H89" i="143"/>
  <c r="J89" i="143" s="1"/>
  <c r="H89" i="119"/>
  <c r="J89" i="119" s="1"/>
  <c r="H85" i="119"/>
  <c r="J85" i="119" s="1"/>
  <c r="H83" i="119"/>
  <c r="J83" i="119" s="1"/>
  <c r="H82" i="119"/>
  <c r="J82" i="119" s="1"/>
  <c r="H37" i="119"/>
  <c r="J37" i="119" s="1"/>
  <c r="H44" i="119"/>
  <c r="J44" i="119" s="1"/>
  <c r="H35" i="119"/>
  <c r="J35" i="119" s="1"/>
  <c r="H26" i="119"/>
  <c r="J26" i="119" s="1"/>
  <c r="H29" i="121"/>
  <c r="J29" i="121" s="1"/>
  <c r="H27" i="121"/>
  <c r="J27" i="121" s="1"/>
  <c r="H25" i="122"/>
  <c r="J25" i="122" s="1"/>
  <c r="H27" i="122"/>
  <c r="J27" i="122" s="1"/>
  <c r="H26" i="121"/>
  <c r="J26" i="121" s="1"/>
  <c r="H28" i="121"/>
  <c r="J28" i="121" s="1"/>
  <c r="H21" i="121"/>
  <c r="J21" i="121" s="1"/>
  <c r="H23" i="119"/>
  <c r="J23" i="119" s="1"/>
  <c r="H22" i="121"/>
  <c r="J22" i="121" s="1"/>
  <c r="H23" i="122"/>
  <c r="J23" i="122" s="1"/>
  <c r="H19" i="121"/>
  <c r="J19" i="121" s="1"/>
  <c r="H22" i="122"/>
  <c r="J22" i="122" s="1"/>
  <c r="H29" i="119"/>
  <c r="J29" i="119" s="1"/>
  <c r="H23" i="121"/>
  <c r="J23" i="121" s="1"/>
  <c r="H21" i="119"/>
  <c r="J21" i="119" s="1"/>
  <c r="H22" i="119"/>
  <c r="J22" i="119" s="1"/>
  <c r="H21" i="122"/>
  <c r="J21" i="122" s="1"/>
  <c r="H19" i="122"/>
  <c r="J19" i="122" s="1"/>
  <c r="H26" i="122"/>
  <c r="J26" i="122" s="1"/>
  <c r="H28" i="122"/>
  <c r="J28" i="122" s="1"/>
  <c r="H29" i="122"/>
  <c r="J29" i="122" s="1"/>
  <c r="H25" i="121"/>
  <c r="J25" i="121" s="1"/>
  <c r="H88" i="111"/>
  <c r="J88" i="111" s="1"/>
  <c r="H82" i="111"/>
  <c r="J82" i="111" s="1"/>
  <c r="H81" i="111"/>
  <c r="J81" i="111" s="1"/>
  <c r="H36" i="111"/>
  <c r="J36" i="111" s="1"/>
  <c r="H43" i="111"/>
  <c r="J43" i="111" s="1"/>
  <c r="H63" i="111"/>
  <c r="J63" i="111" s="1"/>
  <c r="H35" i="111"/>
  <c r="J35" i="111" s="1"/>
  <c r="H28" i="111"/>
  <c r="J28" i="111" s="1"/>
  <c r="H27" i="111"/>
  <c r="J27" i="111" s="1"/>
  <c r="H26" i="111"/>
  <c r="J26" i="111" s="1"/>
  <c r="H25" i="111"/>
  <c r="J25" i="111" s="1"/>
  <c r="H24" i="111"/>
  <c r="J24" i="111" s="1"/>
  <c r="H22" i="111"/>
  <c r="J22" i="111" s="1"/>
  <c r="H20" i="111"/>
  <c r="J20" i="111" s="1"/>
  <c r="H80" i="127"/>
  <c r="J80" i="127" s="1"/>
  <c r="H42" i="144"/>
  <c r="J42" i="144" s="1"/>
  <c r="H84" i="142"/>
  <c r="J84" i="142" s="1"/>
  <c r="H42" i="145"/>
  <c r="J42" i="145" s="1"/>
  <c r="H53" i="144"/>
  <c r="J53" i="144" s="1"/>
  <c r="H34" i="144"/>
  <c r="J34" i="144" s="1"/>
  <c r="H42" i="142"/>
  <c r="J42" i="142" s="1"/>
  <c r="H21" i="143"/>
  <c r="J21" i="143" s="1"/>
  <c r="H53" i="145"/>
  <c r="J53" i="145" s="1"/>
  <c r="H34" i="145"/>
  <c r="J34" i="145" s="1"/>
  <c r="H18" i="144"/>
  <c r="H19" i="145"/>
  <c r="J19" i="145" s="1"/>
  <c r="H21" i="145"/>
  <c r="J21" i="145" s="1"/>
  <c r="H53" i="143"/>
  <c r="J53" i="143" s="1"/>
  <c r="H34" i="143"/>
  <c r="J34" i="143" s="1"/>
  <c r="H18" i="145"/>
  <c r="H19" i="144"/>
  <c r="J19" i="144" s="1"/>
  <c r="H21" i="144"/>
  <c r="J21" i="144" s="1"/>
  <c r="H53" i="142"/>
  <c r="J53" i="142" s="1"/>
  <c r="H34" i="142"/>
  <c r="J34" i="142" s="1"/>
  <c r="H18" i="143"/>
  <c r="H19" i="143"/>
  <c r="J19" i="143" s="1"/>
  <c r="H21" i="142"/>
  <c r="J21" i="142" s="1"/>
  <c r="H84" i="144"/>
  <c r="J84" i="144" s="1"/>
  <c r="H42" i="111"/>
  <c r="J42" i="111" s="1"/>
  <c r="H18" i="142"/>
  <c r="H19" i="142"/>
  <c r="J19" i="142" s="1"/>
  <c r="H84" i="145"/>
  <c r="J84" i="145" s="1"/>
  <c r="H42" i="143"/>
  <c r="J42" i="143" s="1"/>
  <c r="H85" i="143"/>
  <c r="J85" i="143" s="1"/>
  <c r="H42" i="124"/>
  <c r="J42" i="124" s="1"/>
  <c r="H42" i="129"/>
  <c r="J42" i="129" s="1"/>
  <c r="H21" i="140"/>
  <c r="J21" i="140" s="1"/>
  <c r="H84" i="140"/>
  <c r="J84" i="140" s="1"/>
  <c r="H21" i="126"/>
  <c r="J21" i="126" s="1"/>
  <c r="H18" i="126"/>
  <c r="H36" i="124"/>
  <c r="J36" i="124" s="1"/>
  <c r="H42" i="125"/>
  <c r="J42" i="125" s="1"/>
  <c r="H88" i="125"/>
  <c r="J88" i="125" s="1"/>
  <c r="H88" i="123"/>
  <c r="J88" i="123" s="1"/>
  <c r="H33" i="123"/>
  <c r="J33" i="123" s="1"/>
  <c r="H18" i="111"/>
  <c r="H21" i="131"/>
  <c r="J21" i="131" s="1"/>
  <c r="H18" i="129"/>
  <c r="H21" i="129"/>
  <c r="J21" i="129" s="1"/>
  <c r="H43" i="128"/>
  <c r="J43" i="128" s="1"/>
  <c r="H64" i="122"/>
  <c r="J64" i="122" s="1"/>
  <c r="H26" i="129"/>
  <c r="J26" i="129" s="1"/>
  <c r="H26" i="127"/>
  <c r="J26" i="127" s="1"/>
  <c r="H63" i="129"/>
  <c r="J63" i="129" s="1"/>
  <c r="H21" i="128"/>
  <c r="J21" i="128" s="1"/>
  <c r="H36" i="128"/>
  <c r="J36" i="128" s="1"/>
  <c r="H19" i="129"/>
  <c r="J19" i="129" s="1"/>
  <c r="H84" i="129"/>
  <c r="J84" i="129" s="1"/>
  <c r="H28" i="127"/>
  <c r="J28" i="127" s="1"/>
  <c r="H79" i="127"/>
  <c r="J79" i="127" s="1"/>
  <c r="H53" i="129"/>
  <c r="J53" i="129" s="1"/>
  <c r="H84" i="130"/>
  <c r="J84" i="130" s="1"/>
  <c r="H84" i="131"/>
  <c r="J84" i="131" s="1"/>
  <c r="H44" i="127"/>
  <c r="J44" i="127" s="1"/>
  <c r="H43" i="129"/>
  <c r="J43" i="129" s="1"/>
  <c r="H84" i="128"/>
  <c r="J84" i="128" s="1"/>
  <c r="H21" i="130"/>
  <c r="J21" i="130" s="1"/>
  <c r="H35" i="129"/>
  <c r="J35" i="129" s="1"/>
  <c r="H54" i="122"/>
  <c r="J54" i="122" s="1"/>
  <c r="J28" i="130" l="1"/>
  <c r="G96" i="130"/>
  <c r="J28" i="131"/>
  <c r="G96" i="131"/>
  <c r="J18" i="143"/>
  <c r="H97" i="143"/>
  <c r="N14" i="143" s="1"/>
  <c r="L14" i="143" s="1"/>
  <c r="H96" i="145"/>
  <c r="N14" i="145" s="1"/>
  <c r="L14" i="145" s="1"/>
  <c r="J18" i="145"/>
  <c r="H96" i="144"/>
  <c r="N14" i="144" s="1"/>
  <c r="L14" i="144" s="1"/>
  <c r="J18" i="144"/>
  <c r="J18" i="142"/>
  <c r="I94" i="142" s="1"/>
  <c r="H96" i="142"/>
  <c r="N14" i="142" s="1"/>
  <c r="L14" i="142" s="1"/>
  <c r="J18" i="126"/>
  <c r="J18" i="111"/>
  <c r="J18" i="129"/>
  <c r="H96" i="129"/>
  <c r="N14" i="129" s="1"/>
  <c r="L14" i="129" s="1"/>
  <c r="J36" i="121"/>
  <c r="J94" i="142" l="1"/>
  <c r="I95" i="142" s="1"/>
  <c r="J95" i="142" s="1"/>
  <c r="J96" i="142" s="1"/>
  <c r="I94" i="145"/>
  <c r="I94" i="144"/>
  <c r="I95" i="143"/>
  <c r="I94" i="129"/>
  <c r="J94" i="144" l="1"/>
  <c r="I95" i="144" s="1"/>
  <c r="J95" i="144" s="1"/>
  <c r="J96" i="144" s="1"/>
  <c r="J94" i="145"/>
  <c r="I95" i="145" s="1"/>
  <c r="J95" i="145" s="1"/>
  <c r="J96" i="145" s="1"/>
  <c r="I96" i="142"/>
  <c r="J98" i="142"/>
  <c r="J95" i="143"/>
  <c r="I96" i="143" s="1"/>
  <c r="J96" i="143" s="1"/>
  <c r="J97" i="143" s="1"/>
  <c r="J94" i="129"/>
  <c r="I96" i="145" l="1"/>
  <c r="J99" i="143"/>
  <c r="J98" i="145"/>
  <c r="I96" i="144"/>
  <c r="I97" i="143"/>
  <c r="J98" i="144"/>
  <c r="I95" i="129"/>
  <c r="J95" i="129" l="1"/>
  <c r="I96" i="129"/>
  <c r="J96" i="129" l="1"/>
  <c r="J98" i="129" l="1"/>
  <c r="I21" i="147" l="1"/>
  <c r="K21" i="147"/>
  <c r="K20" i="147"/>
  <c r="I20" i="147"/>
  <c r="I19" i="147"/>
  <c r="K19" i="147"/>
  <c r="I18" i="147"/>
  <c r="K18" i="147"/>
  <c r="J114" i="144" l="1"/>
  <c r="J115" i="144" s="1"/>
  <c r="J114" i="142"/>
  <c r="J115" i="142" s="1"/>
  <c r="J114" i="145"/>
  <c r="J115" i="145" s="1"/>
  <c r="J115" i="143"/>
  <c r="J116" i="143" s="1"/>
  <c r="C21" i="146"/>
  <c r="C22" i="146" s="1"/>
  <c r="D22" i="146" l="1"/>
  <c r="D24" i="146"/>
  <c r="C24" i="146"/>
  <c r="T18" i="147"/>
  <c r="Q27" i="146"/>
  <c r="Q25" i="146" s="1"/>
  <c r="Q31" i="146" s="1"/>
  <c r="T16" i="147"/>
  <c r="T17" i="147"/>
  <c r="C2943" i="48"/>
  <c r="C14" i="149"/>
  <c r="H23" i="147"/>
  <c r="M23" i="147" s="1"/>
  <c r="U4" i="136"/>
  <c r="E3063" i="48" l="1"/>
  <c r="E3062" i="48"/>
  <c r="E3064" i="48"/>
  <c r="D3062" i="48"/>
  <c r="D2738" i="48"/>
  <c r="F2738" i="48" s="1"/>
  <c r="G2738" i="48" s="1"/>
  <c r="D2414" i="48"/>
  <c r="F2414" i="48" s="1"/>
  <c r="G2414" i="48" s="1"/>
  <c r="D2090" i="48"/>
  <c r="F2090" i="48" s="1"/>
  <c r="G2090" i="48" s="1"/>
  <c r="D1766" i="48"/>
  <c r="F1766" i="48" s="1"/>
  <c r="G1766" i="48" s="1"/>
  <c r="D2252" i="48"/>
  <c r="F2252" i="48" s="1"/>
  <c r="G2252" i="48" s="1"/>
  <c r="D631" i="48"/>
  <c r="F631" i="48" s="1"/>
  <c r="D2900" i="48"/>
  <c r="F2900" i="48" s="1"/>
  <c r="G2900" i="48" s="1"/>
  <c r="D1928" i="48"/>
  <c r="F1928" i="48" s="1"/>
  <c r="G1928" i="48" s="1"/>
  <c r="D305" i="48"/>
  <c r="F305" i="48" s="1"/>
  <c r="D1279" i="48"/>
  <c r="F1279" i="48" s="1"/>
  <c r="D2576" i="48"/>
  <c r="F2576" i="48" s="1"/>
  <c r="G2576" i="48" s="1"/>
  <c r="D1604" i="48"/>
  <c r="F1604" i="48" s="1"/>
  <c r="G1604" i="48" s="1"/>
  <c r="D955" i="48"/>
  <c r="F955" i="48" s="1"/>
  <c r="D142" i="48"/>
  <c r="F142" i="48" s="1"/>
  <c r="D468" i="48"/>
  <c r="F468" i="48" s="1"/>
  <c r="D793" i="48"/>
  <c r="F793" i="48" s="1"/>
  <c r="D1117" i="48"/>
  <c r="F1117" i="48" s="1"/>
  <c r="D1442" i="48"/>
  <c r="F1442" i="48" s="1"/>
  <c r="G1442" i="48" s="1"/>
  <c r="D469" i="48"/>
  <c r="F469" i="48" s="1"/>
  <c r="D1118" i="48"/>
  <c r="F1118" i="48" s="1"/>
  <c r="D956" i="48"/>
  <c r="F956" i="48" s="1"/>
  <c r="D632" i="48"/>
  <c r="F632" i="48" s="1"/>
  <c r="D3063" i="48"/>
  <c r="D2415" i="48"/>
  <c r="F2415" i="48" s="1"/>
  <c r="G2415" i="48" s="1"/>
  <c r="D1767" i="48"/>
  <c r="F1767" i="48" s="1"/>
  <c r="G1767" i="48" s="1"/>
  <c r="D1280" i="48"/>
  <c r="F1280" i="48" s="1"/>
  <c r="G1280" i="48" s="1"/>
  <c r="D1605" i="48"/>
  <c r="F1605" i="48" s="1"/>
  <c r="G1605" i="48" s="1"/>
  <c r="D306" i="48"/>
  <c r="F306" i="48" s="1"/>
  <c r="D2253" i="48"/>
  <c r="F2253" i="48" s="1"/>
  <c r="G2253" i="48" s="1"/>
  <c r="D2577" i="48"/>
  <c r="F2577" i="48" s="1"/>
  <c r="G2577" i="48" s="1"/>
  <c r="D1929" i="48"/>
  <c r="F1929" i="48" s="1"/>
  <c r="G1929" i="48" s="1"/>
  <c r="D143" i="48"/>
  <c r="F143" i="48" s="1"/>
  <c r="D794" i="48"/>
  <c r="F794" i="48" s="1"/>
  <c r="D2739" i="48"/>
  <c r="F2739" i="48" s="1"/>
  <c r="G2739" i="48" s="1"/>
  <c r="D2091" i="48"/>
  <c r="F2091" i="48" s="1"/>
  <c r="G2091" i="48" s="1"/>
  <c r="D1443" i="48"/>
  <c r="F1443" i="48" s="1"/>
  <c r="G1443" i="48" s="1"/>
  <c r="D2901" i="48"/>
  <c r="F2901" i="48" s="1"/>
  <c r="G2901" i="48" s="1"/>
  <c r="D3064" i="48"/>
  <c r="D2416" i="48"/>
  <c r="F2416" i="48" s="1"/>
  <c r="G2416" i="48" s="1"/>
  <c r="D1768" i="48"/>
  <c r="F1768" i="48" s="1"/>
  <c r="G1768" i="48" s="1"/>
  <c r="D470" i="48"/>
  <c r="F470" i="48" s="1"/>
  <c r="D307" i="48"/>
  <c r="F307" i="48" s="1"/>
  <c r="D1119" i="48"/>
  <c r="F1119" i="48" s="1"/>
  <c r="D2578" i="48"/>
  <c r="F2578" i="48" s="1"/>
  <c r="G2578" i="48" s="1"/>
  <c r="D1930" i="48"/>
  <c r="F1930" i="48" s="1"/>
  <c r="G1930" i="48" s="1"/>
  <c r="D1281" i="48"/>
  <c r="F1281" i="48" s="1"/>
  <c r="G1281" i="48" s="1"/>
  <c r="D144" i="48"/>
  <c r="F144" i="48" s="1"/>
  <c r="D795" i="48"/>
  <c r="F795" i="48" s="1"/>
  <c r="D957" i="48"/>
  <c r="F957" i="48" s="1"/>
  <c r="D1444" i="48"/>
  <c r="F1444" i="48" s="1"/>
  <c r="G1444" i="48" s="1"/>
  <c r="D2902" i="48"/>
  <c r="F2902" i="48" s="1"/>
  <c r="G2902" i="48" s="1"/>
  <c r="D1606" i="48"/>
  <c r="F1606" i="48" s="1"/>
  <c r="G1606" i="48" s="1"/>
  <c r="D2740" i="48"/>
  <c r="F2740" i="48" s="1"/>
  <c r="G2740" i="48" s="1"/>
  <c r="D2092" i="48"/>
  <c r="F2092" i="48" s="1"/>
  <c r="G2092" i="48" s="1"/>
  <c r="D633" i="48"/>
  <c r="F633" i="48" s="1"/>
  <c r="D2254" i="48"/>
  <c r="F2254" i="48" s="1"/>
  <c r="G2254" i="48" s="1"/>
  <c r="S26" i="146"/>
  <c r="S27" i="146"/>
  <c r="U17" i="147"/>
  <c r="U16" i="147"/>
  <c r="U18" i="147"/>
  <c r="G2949" i="48"/>
  <c r="G2950" i="48"/>
  <c r="G3060" i="48"/>
  <c r="E2964" i="48"/>
  <c r="E60" i="132" s="1"/>
  <c r="E3031" i="48"/>
  <c r="F3031" i="48" s="1"/>
  <c r="G3031" i="48" s="1"/>
  <c r="E3030" i="48"/>
  <c r="E85" i="132" s="1"/>
  <c r="E3032" i="48"/>
  <c r="E3084" i="48" s="1"/>
  <c r="E2947" i="48"/>
  <c r="F2947" i="48" s="1"/>
  <c r="F2948" i="48" s="1"/>
  <c r="G2948" i="48" s="1"/>
  <c r="E3010" i="48"/>
  <c r="E26" i="132" s="1"/>
  <c r="E3029" i="48"/>
  <c r="F3029" i="48" s="1"/>
  <c r="G3029" i="48" s="1"/>
  <c r="E3026" i="48"/>
  <c r="E3081" i="48" s="1"/>
  <c r="E3033" i="48"/>
  <c r="F3033" i="48" s="1"/>
  <c r="G3033" i="48" s="1"/>
  <c r="E2998" i="48"/>
  <c r="E3067" i="48" s="1"/>
  <c r="E2952" i="48"/>
  <c r="E40" i="132" s="1"/>
  <c r="E3093" i="48"/>
  <c r="F3093" i="48" s="1"/>
  <c r="G3093" i="48" s="1"/>
  <c r="E3045" i="48"/>
  <c r="E44" i="132" s="1"/>
  <c r="E2951" i="48"/>
  <c r="E39" i="132" s="1"/>
  <c r="E2977" i="48"/>
  <c r="F2977" i="48" s="1"/>
  <c r="G2977" i="48" s="1"/>
  <c r="E2991" i="48"/>
  <c r="E41" i="132" s="1"/>
  <c r="I41" i="132" s="1"/>
  <c r="J41" i="132" s="1"/>
  <c r="E3096" i="48"/>
  <c r="F3096" i="48" s="1"/>
  <c r="G3096" i="48" s="1"/>
  <c r="E3037" i="48"/>
  <c r="F3037" i="48" s="1"/>
  <c r="G3037" i="48" s="1"/>
  <c r="E3053" i="48"/>
  <c r="F3053" i="48" s="1"/>
  <c r="G3053" i="48" s="1"/>
  <c r="E3051" i="48"/>
  <c r="F3051" i="48" s="1"/>
  <c r="G3051" i="48" s="1"/>
  <c r="E3012" i="48"/>
  <c r="E3074" i="48" s="1"/>
  <c r="E3024" i="48"/>
  <c r="E3080" i="48" s="1"/>
  <c r="E3007" i="48"/>
  <c r="F3007" i="48" s="1"/>
  <c r="G3007" i="48" s="1"/>
  <c r="E3052" i="48"/>
  <c r="F3052" i="48" s="1"/>
  <c r="G3052" i="48" s="1"/>
  <c r="E3011" i="48"/>
  <c r="F3011" i="48" s="1"/>
  <c r="G3011" i="48" s="1"/>
  <c r="E3036" i="48"/>
  <c r="E88" i="132" s="1"/>
  <c r="E2990" i="48"/>
  <c r="F2990" i="48" s="1"/>
  <c r="G2990" i="48" s="1"/>
  <c r="E3048" i="48"/>
  <c r="F3048" i="48" s="1"/>
  <c r="G3048" i="48" s="1"/>
  <c r="E2994" i="48"/>
  <c r="E3065" i="48" s="1"/>
  <c r="E3055" i="48"/>
  <c r="F3055" i="48" s="1"/>
  <c r="G3055" i="48" s="1"/>
  <c r="E2979" i="48"/>
  <c r="E33" i="132" s="1"/>
  <c r="I33" i="132" s="1"/>
  <c r="J33" i="132" s="1"/>
  <c r="E3017" i="48"/>
  <c r="F3017" i="48" s="1"/>
  <c r="G3017" i="48" s="1"/>
  <c r="E2984" i="48"/>
  <c r="E11" i="132" s="1"/>
  <c r="I11" i="132" s="1"/>
  <c r="J11" i="132" s="1"/>
  <c r="E2961" i="48"/>
  <c r="F2961" i="48" s="1"/>
  <c r="G2961" i="48" s="1"/>
  <c r="E2985" i="48"/>
  <c r="F2985" i="48" s="1"/>
  <c r="G2985" i="48" s="1"/>
  <c r="E2993" i="48"/>
  <c r="F2993" i="48" s="1"/>
  <c r="G2993" i="48" s="1"/>
  <c r="E3049" i="48"/>
  <c r="E37" i="132" s="1"/>
  <c r="E2981" i="48"/>
  <c r="E63" i="132" s="1"/>
  <c r="I63" i="132" s="1"/>
  <c r="J63" i="132" s="1"/>
  <c r="E3000" i="48"/>
  <c r="E3068" i="48" s="1"/>
  <c r="E3002" i="48"/>
  <c r="E3069" i="48" s="1"/>
  <c r="E3043" i="48"/>
  <c r="E3089" i="48" s="1"/>
  <c r="E3095" i="48"/>
  <c r="F3095" i="48" s="1"/>
  <c r="G3095" i="48" s="1"/>
  <c r="E3041" i="48"/>
  <c r="E3088" i="48" s="1"/>
  <c r="E2996" i="48"/>
  <c r="E19" i="132" s="1"/>
  <c r="E2960" i="48"/>
  <c r="F2960" i="48" s="1"/>
  <c r="G2960" i="48" s="1"/>
  <c r="E3003" i="48"/>
  <c r="F3003" i="48" s="1"/>
  <c r="G3003" i="48" s="1"/>
  <c r="E3025" i="48"/>
  <c r="F3025" i="48" s="1"/>
  <c r="G3025" i="48" s="1"/>
  <c r="E3006" i="48"/>
  <c r="E3071" i="48" s="1"/>
  <c r="E3034" i="48"/>
  <c r="E3085" i="48" s="1"/>
  <c r="E2989" i="48"/>
  <c r="E16" i="132" s="1"/>
  <c r="I16" i="132" s="1"/>
  <c r="J16" i="132" s="1"/>
  <c r="E2992" i="48"/>
  <c r="F2992" i="48" s="1"/>
  <c r="G2992" i="48" s="1"/>
  <c r="E2980" i="48"/>
  <c r="E34" i="132" s="1"/>
  <c r="I34" i="132" s="1"/>
  <c r="J34" i="132" s="1"/>
  <c r="E2978" i="48"/>
  <c r="E80" i="132" s="1"/>
  <c r="I80" i="132" s="1"/>
  <c r="J80" i="132" s="1"/>
  <c r="E3001" i="48"/>
  <c r="F3001" i="48" s="1"/>
  <c r="G3001" i="48" s="1"/>
  <c r="E3040" i="48"/>
  <c r="E90" i="132" s="1"/>
  <c r="E3039" i="48"/>
  <c r="F3039" i="48" s="1"/>
  <c r="G3039" i="48" s="1"/>
  <c r="E3027" i="48"/>
  <c r="F3027" i="48" s="1"/>
  <c r="G3027" i="48" s="1"/>
  <c r="E3009" i="48"/>
  <c r="F3009" i="48" s="1"/>
  <c r="G3009" i="48" s="1"/>
  <c r="E3004" i="48"/>
  <c r="E3070" i="48" s="1"/>
  <c r="E2957" i="48"/>
  <c r="F2957" i="48" s="1"/>
  <c r="G2957" i="48" s="1"/>
  <c r="E2953" i="48"/>
  <c r="F2953" i="48" s="1"/>
  <c r="G2953" i="48" s="1"/>
  <c r="E3046" i="48"/>
  <c r="F3046" i="48" s="1"/>
  <c r="G3046" i="48" s="1"/>
  <c r="E2965" i="48"/>
  <c r="E61" i="132" s="1"/>
  <c r="E2962" i="48"/>
  <c r="E58" i="132" s="1"/>
  <c r="E2997" i="48"/>
  <c r="F2997" i="48" s="1"/>
  <c r="G2997" i="48" s="1"/>
  <c r="E3019" i="48"/>
  <c r="F3019" i="48" s="1"/>
  <c r="G3019" i="48" s="1"/>
  <c r="E2988" i="48"/>
  <c r="E15" i="132" s="1"/>
  <c r="I15" i="132" s="1"/>
  <c r="J15" i="132" s="1"/>
  <c r="E2987" i="48"/>
  <c r="E14" i="132" s="1"/>
  <c r="I14" i="132" s="1"/>
  <c r="J14" i="132" s="1"/>
  <c r="E3005" i="48"/>
  <c r="F3005" i="48" s="1"/>
  <c r="G3005" i="48" s="1"/>
  <c r="E3022" i="48"/>
  <c r="E3079" i="48" s="1"/>
  <c r="E3035" i="48"/>
  <c r="F3035" i="48" s="1"/>
  <c r="G3035" i="48" s="1"/>
  <c r="E2956" i="48"/>
  <c r="E49" i="132" s="1"/>
  <c r="E2995" i="48"/>
  <c r="F2995" i="48" s="1"/>
  <c r="G2995" i="48" s="1"/>
  <c r="E3098" i="48"/>
  <c r="F3098" i="48" s="1"/>
  <c r="G3098" i="48" s="1"/>
  <c r="E3023" i="48"/>
  <c r="F3023" i="48" s="1"/>
  <c r="G3023" i="48" s="1"/>
  <c r="E3018" i="48"/>
  <c r="E35" i="132" s="1"/>
  <c r="E3008" i="48"/>
  <c r="E25" i="132" s="1"/>
  <c r="E3015" i="48"/>
  <c r="F3015" i="48" s="1"/>
  <c r="G3015" i="48" s="1"/>
  <c r="E3054" i="48"/>
  <c r="E76" i="132" s="1"/>
  <c r="G76" i="132" s="1"/>
  <c r="J76" i="132" s="1"/>
  <c r="E3056" i="48"/>
  <c r="F3056" i="48" s="1"/>
  <c r="G3056" i="48" s="1"/>
  <c r="E3028" i="48"/>
  <c r="E84" i="132" s="1"/>
  <c r="E2955" i="48"/>
  <c r="E48" i="132" s="1"/>
  <c r="E2982" i="48"/>
  <c r="F2982" i="48" s="1"/>
  <c r="G2982" i="48" s="1"/>
  <c r="E3016" i="48"/>
  <c r="E64" i="132" s="1"/>
  <c r="E2954" i="48"/>
  <c r="F2954" i="48" s="1"/>
  <c r="G2954" i="48" s="1"/>
  <c r="E3044" i="48"/>
  <c r="F3044" i="48" s="1"/>
  <c r="G3044" i="48" s="1"/>
  <c r="E3021" i="48"/>
  <c r="F3021" i="48" s="1"/>
  <c r="G3021" i="48" s="1"/>
  <c r="E3014" i="48"/>
  <c r="E3075" i="48" s="1"/>
  <c r="E3013" i="48"/>
  <c r="F3013" i="48" s="1"/>
  <c r="G3013" i="48" s="1"/>
  <c r="E2958" i="48"/>
  <c r="E51" i="132" s="1"/>
  <c r="E2963" i="48"/>
  <c r="E59" i="132" s="1"/>
  <c r="E2999" i="48"/>
  <c r="F2999" i="48" s="1"/>
  <c r="G2999" i="48" s="1"/>
  <c r="E2983" i="48"/>
  <c r="F2983" i="48" s="1"/>
  <c r="G2983" i="48" s="1"/>
  <c r="E2976" i="48"/>
  <c r="F2976" i="48" s="1"/>
  <c r="G2976" i="48" s="1"/>
  <c r="E2966" i="48"/>
  <c r="E62" i="132" s="1"/>
  <c r="E3094" i="48"/>
  <c r="F3094" i="48" s="1"/>
  <c r="E2986" i="48"/>
  <c r="F2986" i="48" s="1"/>
  <c r="G2986" i="48" s="1"/>
  <c r="E3050" i="48"/>
  <c r="F3050" i="48" s="1"/>
  <c r="G3050" i="48" s="1"/>
  <c r="E3020" i="48"/>
  <c r="E3078" i="48" s="1"/>
  <c r="E3042" i="48"/>
  <c r="F3042" i="48" s="1"/>
  <c r="G3042" i="48" s="1"/>
  <c r="E3047" i="48"/>
  <c r="E3091" i="48" s="1"/>
  <c r="U6" i="146"/>
  <c r="S6" i="146"/>
  <c r="T6" i="146"/>
  <c r="E3038" i="48"/>
  <c r="E3087" i="48" s="1"/>
  <c r="E2959" i="48"/>
  <c r="F2959" i="48" s="1"/>
  <c r="G2959" i="48" s="1"/>
  <c r="E3097" i="48"/>
  <c r="E2967" i="48"/>
  <c r="F2967" i="48" s="1"/>
  <c r="G2967" i="48" s="1"/>
  <c r="E2971" i="48"/>
  <c r="F2971" i="48" s="1"/>
  <c r="G2971" i="48" s="1"/>
  <c r="E2968" i="48"/>
  <c r="E67" i="132" s="1"/>
  <c r="E2972" i="48"/>
  <c r="F2972" i="48" s="1"/>
  <c r="G2972" i="48" s="1"/>
  <c r="E2969" i="48"/>
  <c r="E68" i="132" s="1"/>
  <c r="E2970" i="48"/>
  <c r="F2970" i="48" s="1"/>
  <c r="G2970" i="48" s="1"/>
  <c r="E2975" i="48"/>
  <c r="E74" i="132" s="1"/>
  <c r="E2974" i="48"/>
  <c r="F2974" i="48" s="1"/>
  <c r="G2974" i="48" s="1"/>
  <c r="E2973" i="48"/>
  <c r="E72" i="132" s="1"/>
  <c r="E3072" i="48"/>
  <c r="AI74" i="114"/>
  <c r="AI76" i="114"/>
  <c r="AI72" i="114"/>
  <c r="AI73" i="114"/>
  <c r="AI70" i="114"/>
  <c r="AI67" i="114"/>
  <c r="AI54" i="114"/>
  <c r="AI69" i="114"/>
  <c r="AI59" i="114"/>
  <c r="AI62" i="114"/>
  <c r="AI64" i="114"/>
  <c r="AI75" i="114"/>
  <c r="AI58" i="114"/>
  <c r="AI68" i="114"/>
  <c r="AI51" i="114"/>
  <c r="AI71" i="114"/>
  <c r="AI63" i="114"/>
  <c r="AI65" i="114"/>
  <c r="AI60" i="114"/>
  <c r="AI66" i="114"/>
  <c r="AI56" i="114"/>
  <c r="AI53" i="114"/>
  <c r="AI52" i="114"/>
  <c r="AI57" i="114"/>
  <c r="AI55" i="114"/>
  <c r="AI61" i="114"/>
  <c r="AI50" i="114"/>
  <c r="AI49" i="114"/>
  <c r="E79" i="132"/>
  <c r="I79" i="132" s="1"/>
  <c r="J79" i="132" s="1"/>
  <c r="E87" i="132" l="1"/>
  <c r="F2979" i="48"/>
  <c r="G2979" i="48" s="1"/>
  <c r="F2964" i="48"/>
  <c r="G2964" i="48" s="1"/>
  <c r="E83" i="132"/>
  <c r="H83" i="132" s="1"/>
  <c r="E3092" i="48"/>
  <c r="F2978" i="48"/>
  <c r="G2978" i="48" s="1"/>
  <c r="E46" i="132"/>
  <c r="I4" i="132"/>
  <c r="J4" i="132" s="1"/>
  <c r="J5" i="132" s="1"/>
  <c r="E3086" i="48"/>
  <c r="F2958" i="48"/>
  <c r="G2958" i="48" s="1"/>
  <c r="F2981" i="48"/>
  <c r="G2981" i="48" s="1"/>
  <c r="F2951" i="48"/>
  <c r="G2951" i="48" s="1"/>
  <c r="E3073" i="48"/>
  <c r="E82" i="132"/>
  <c r="H82" i="132" s="1"/>
  <c r="E92" i="132"/>
  <c r="G92" i="132" s="1"/>
  <c r="J92" i="132" s="1"/>
  <c r="S28" i="146"/>
  <c r="G1279" i="48"/>
  <c r="I107" i="126"/>
  <c r="J107" i="126" s="1"/>
  <c r="I101" i="132"/>
  <c r="J101" i="132" s="1"/>
  <c r="G3094" i="48"/>
  <c r="F2965" i="48"/>
  <c r="G2965" i="48" s="1"/>
  <c r="E24" i="132"/>
  <c r="F24" i="132" s="1"/>
  <c r="E28" i="132"/>
  <c r="G28" i="132" s="1"/>
  <c r="E30" i="132"/>
  <c r="G30" i="132" s="1"/>
  <c r="J30" i="132" s="1"/>
  <c r="E21" i="132"/>
  <c r="F3040" i="48"/>
  <c r="G3040" i="48" s="1"/>
  <c r="E93" i="132"/>
  <c r="G93" i="132" s="1"/>
  <c r="J93" i="132" s="1"/>
  <c r="E23" i="132"/>
  <c r="G23" i="132" s="1"/>
  <c r="F2989" i="48"/>
  <c r="G2989" i="48" s="1"/>
  <c r="E86" i="132"/>
  <c r="H86" i="132" s="1"/>
  <c r="E75" i="132"/>
  <c r="G75" i="132" s="1"/>
  <c r="J75" i="132" s="1"/>
  <c r="E50" i="132"/>
  <c r="F2987" i="48"/>
  <c r="G2987" i="48" s="1"/>
  <c r="F2952" i="48"/>
  <c r="G2952" i="48" s="1"/>
  <c r="E12" i="132"/>
  <c r="I12" i="132" s="1"/>
  <c r="J12" i="132" s="1"/>
  <c r="F3064" i="48"/>
  <c r="G3064" i="48" s="1"/>
  <c r="E42" i="132"/>
  <c r="I42" i="132" s="1"/>
  <c r="J42" i="132" s="1"/>
  <c r="E9" i="132"/>
  <c r="I9" i="132" s="1"/>
  <c r="J9" i="132" s="1"/>
  <c r="I105" i="132"/>
  <c r="J105" i="132" s="1"/>
  <c r="E57" i="132"/>
  <c r="E17" i="132"/>
  <c r="I17" i="132" s="1"/>
  <c r="J17" i="132" s="1"/>
  <c r="F2955" i="48"/>
  <c r="G2955" i="48" s="1"/>
  <c r="E3083" i="48"/>
  <c r="E3066" i="48"/>
  <c r="E91" i="132"/>
  <c r="G91" i="132" s="1"/>
  <c r="E53" i="132"/>
  <c r="I53" i="132" s="1"/>
  <c r="J53" i="132" s="1"/>
  <c r="E20" i="132"/>
  <c r="G20" i="132" s="1"/>
  <c r="F2988" i="48"/>
  <c r="G2988" i="48" s="1"/>
  <c r="E52" i="132"/>
  <c r="E13" i="132"/>
  <c r="I13" i="132" s="1"/>
  <c r="J13" i="132" s="1"/>
  <c r="F2980" i="48"/>
  <c r="G2980" i="48" s="1"/>
  <c r="F2984" i="48"/>
  <c r="G2984" i="48" s="1"/>
  <c r="E29" i="132"/>
  <c r="G29" i="132" s="1"/>
  <c r="J29" i="132" s="1"/>
  <c r="E89" i="132"/>
  <c r="G89" i="132" s="1"/>
  <c r="I102" i="132"/>
  <c r="J102" i="132" s="1"/>
  <c r="I100" i="132"/>
  <c r="J100" i="132" s="1"/>
  <c r="I103" i="132"/>
  <c r="J103" i="132" s="1"/>
  <c r="H2968" i="48"/>
  <c r="E43" i="132"/>
  <c r="G43" i="132" s="1"/>
  <c r="F2956" i="48"/>
  <c r="G2956" i="48" s="1"/>
  <c r="E3082" i="48"/>
  <c r="F2991" i="48"/>
  <c r="G2991" i="48" s="1"/>
  <c r="F2962" i="48"/>
  <c r="G2962" i="48" s="1"/>
  <c r="E36" i="132"/>
  <c r="G36" i="132" s="1"/>
  <c r="E22" i="132"/>
  <c r="G22" i="132" s="1"/>
  <c r="E70" i="132"/>
  <c r="E10" i="132"/>
  <c r="I10" i="132" s="1"/>
  <c r="J10" i="132" s="1"/>
  <c r="E47" i="132"/>
  <c r="E27" i="132"/>
  <c r="G27" i="132" s="1"/>
  <c r="E56" i="132"/>
  <c r="E3090" i="48"/>
  <c r="E54" i="132"/>
  <c r="G54" i="132" s="1"/>
  <c r="E18" i="132"/>
  <c r="F18" i="132" s="1"/>
  <c r="E3076" i="48"/>
  <c r="F2963" i="48"/>
  <c r="E81" i="132"/>
  <c r="H81" i="132" s="1"/>
  <c r="E3077" i="48"/>
  <c r="F3062" i="48"/>
  <c r="G3062" i="48" s="1"/>
  <c r="F3054" i="48"/>
  <c r="G3054" i="48" s="1"/>
  <c r="E78" i="132"/>
  <c r="I78" i="132" s="1"/>
  <c r="J78" i="132" s="1"/>
  <c r="F2966" i="48"/>
  <c r="G2966" i="48" s="1"/>
  <c r="I111" i="121"/>
  <c r="J111" i="121" s="1"/>
  <c r="I110" i="140"/>
  <c r="J110" i="140" s="1"/>
  <c r="I108" i="125"/>
  <c r="J108" i="125" s="1"/>
  <c r="I110" i="144"/>
  <c r="J110" i="144" s="1"/>
  <c r="I110" i="122"/>
  <c r="J110" i="122" s="1"/>
  <c r="I108" i="123"/>
  <c r="J108" i="123" s="1"/>
  <c r="I108" i="124"/>
  <c r="J108" i="124" s="1"/>
  <c r="I108" i="130"/>
  <c r="I111" i="143"/>
  <c r="J111" i="143" s="1"/>
  <c r="I110" i="142"/>
  <c r="J110" i="142" s="1"/>
  <c r="I109" i="119"/>
  <c r="J109" i="119" s="1"/>
  <c r="I108" i="131"/>
  <c r="I108" i="111"/>
  <c r="J108" i="111" s="1"/>
  <c r="I110" i="129"/>
  <c r="J110" i="129" s="1"/>
  <c r="I110" i="145"/>
  <c r="J110" i="145" s="1"/>
  <c r="I115" i="127"/>
  <c r="J115" i="127" s="1"/>
  <c r="I108" i="128"/>
  <c r="F3063" i="48"/>
  <c r="G3063" i="48" s="1"/>
  <c r="E66" i="132"/>
  <c r="E73" i="132"/>
  <c r="F2973" i="48"/>
  <c r="G2973" i="48" s="1"/>
  <c r="E69" i="132"/>
  <c r="E71" i="132"/>
  <c r="F2975" i="48"/>
  <c r="G2975" i="48" s="1"/>
  <c r="F2969" i="48"/>
  <c r="G2969" i="48" s="1"/>
  <c r="F2968" i="48"/>
  <c r="G2968" i="48" s="1"/>
  <c r="T13" i="146"/>
  <c r="T12" i="146"/>
  <c r="T14" i="146"/>
  <c r="T10" i="146"/>
  <c r="T11" i="146"/>
  <c r="H2954" i="48"/>
  <c r="AK55" i="114"/>
  <c r="AK63" i="114"/>
  <c r="AN63" i="114"/>
  <c r="AO63" i="114"/>
  <c r="AK59" i="114"/>
  <c r="AK74" i="114"/>
  <c r="AN74" i="114"/>
  <c r="AO74" i="114"/>
  <c r="G21" i="132"/>
  <c r="F21" i="132"/>
  <c r="H21" i="132"/>
  <c r="AK57" i="114"/>
  <c r="AK71" i="114"/>
  <c r="AK69" i="114"/>
  <c r="AO69" i="114"/>
  <c r="AN69" i="114"/>
  <c r="U6" i="147"/>
  <c r="R7" i="146"/>
  <c r="G26" i="132"/>
  <c r="F26" i="132"/>
  <c r="H26" i="132"/>
  <c r="G35" i="132"/>
  <c r="H35" i="132"/>
  <c r="AK52" i="114"/>
  <c r="AI48" i="114"/>
  <c r="AK51" i="114"/>
  <c r="AK54" i="114"/>
  <c r="AK53" i="114"/>
  <c r="AK68" i="114"/>
  <c r="AO68" i="114"/>
  <c r="AN68" i="114"/>
  <c r="AN67" i="114"/>
  <c r="AO67" i="114"/>
  <c r="AK67" i="114"/>
  <c r="H84" i="132"/>
  <c r="G84" i="132"/>
  <c r="G85" i="132"/>
  <c r="H85" i="132"/>
  <c r="G64" i="132"/>
  <c r="H64" i="132"/>
  <c r="AK56" i="114"/>
  <c r="AO56" i="114"/>
  <c r="AN56" i="114"/>
  <c r="AK58" i="114"/>
  <c r="AK70" i="114"/>
  <c r="H25" i="132"/>
  <c r="G25" i="132"/>
  <c r="F25" i="132"/>
  <c r="H91" i="132"/>
  <c r="AI47" i="114"/>
  <c r="AK49" i="114"/>
  <c r="AK66" i="114"/>
  <c r="AK75" i="114"/>
  <c r="AN75" i="114"/>
  <c r="AO75" i="114"/>
  <c r="AK73" i="114"/>
  <c r="H44" i="132"/>
  <c r="G44" i="132"/>
  <c r="AK50" i="114"/>
  <c r="AK60" i="114"/>
  <c r="AK64" i="114"/>
  <c r="AK72" i="114"/>
  <c r="G37" i="132"/>
  <c r="H37" i="132"/>
  <c r="T17" i="146"/>
  <c r="T19" i="146"/>
  <c r="T20" i="146"/>
  <c r="T16" i="146"/>
  <c r="I87" i="132"/>
  <c r="H87" i="132"/>
  <c r="G87" i="132"/>
  <c r="AK61" i="114"/>
  <c r="AK65" i="114"/>
  <c r="AN65" i="114"/>
  <c r="AO65" i="114"/>
  <c r="AK62" i="114"/>
  <c r="AK76" i="114"/>
  <c r="T25" i="146"/>
  <c r="H88" i="132"/>
  <c r="G88" i="132"/>
  <c r="I38" i="132"/>
  <c r="H19" i="132"/>
  <c r="G19" i="132"/>
  <c r="F19" i="132"/>
  <c r="G83" i="132" l="1"/>
  <c r="H28" i="132"/>
  <c r="J28" i="132" s="1"/>
  <c r="H89" i="132"/>
  <c r="H20" i="132"/>
  <c r="J20" i="132" s="1"/>
  <c r="I89" i="132"/>
  <c r="H23" i="132"/>
  <c r="J23" i="132" s="1"/>
  <c r="F23" i="132"/>
  <c r="G86" i="132"/>
  <c r="J86" i="132" s="1"/>
  <c r="G24" i="132"/>
  <c r="G82" i="132"/>
  <c r="J82" i="132" s="1"/>
  <c r="H24" i="132"/>
  <c r="F20" i="132"/>
  <c r="G2963" i="48"/>
  <c r="H2963" i="48" s="1"/>
  <c r="I45" i="132"/>
  <c r="N10" i="132" s="1"/>
  <c r="L10" i="132" s="1"/>
  <c r="T8" i="147" s="1"/>
  <c r="U8" i="147" s="1"/>
  <c r="I55" i="132"/>
  <c r="N11" i="132" s="1"/>
  <c r="L11" i="132" s="1"/>
  <c r="T9" i="147" s="1"/>
  <c r="U9" i="147" s="1"/>
  <c r="G81" i="132"/>
  <c r="J81" i="132" s="1"/>
  <c r="H27" i="132"/>
  <c r="J27" i="132" s="1"/>
  <c r="M110" i="140"/>
  <c r="H36" i="132"/>
  <c r="J36" i="132" s="1"/>
  <c r="H22" i="132"/>
  <c r="J22" i="132" s="1"/>
  <c r="F22" i="132"/>
  <c r="F27" i="132"/>
  <c r="H18" i="132"/>
  <c r="G18" i="132"/>
  <c r="I111" i="132"/>
  <c r="J111" i="132" s="1"/>
  <c r="I65" i="132"/>
  <c r="M115" i="127"/>
  <c r="J108" i="130"/>
  <c r="M108" i="130"/>
  <c r="J108" i="131"/>
  <c r="M108" i="131"/>
  <c r="M108" i="128"/>
  <c r="J108" i="128"/>
  <c r="U26" i="146"/>
  <c r="N12" i="132"/>
  <c r="L12" i="132" s="1"/>
  <c r="T11" i="147" s="1"/>
  <c r="U11" i="147" s="1"/>
  <c r="G65" i="132"/>
  <c r="J91" i="132"/>
  <c r="J88" i="132"/>
  <c r="J37" i="132"/>
  <c r="J84" i="132"/>
  <c r="J44" i="132"/>
  <c r="J25" i="132"/>
  <c r="J64" i="132"/>
  <c r="J21" i="132"/>
  <c r="J85" i="132"/>
  <c r="J87" i="132"/>
  <c r="AG62" i="114"/>
  <c r="AF62" i="114"/>
  <c r="E23" i="114"/>
  <c r="AF66" i="114"/>
  <c r="E27" i="114"/>
  <c r="AG66" i="114"/>
  <c r="E19" i="114"/>
  <c r="AF58" i="114"/>
  <c r="AG58" i="114"/>
  <c r="D1944" i="48"/>
  <c r="F1944" i="48" s="1"/>
  <c r="G1944" i="48" s="1"/>
  <c r="D158" i="48"/>
  <c r="F158" i="48" s="1"/>
  <c r="D2592" i="48"/>
  <c r="F2592" i="48" s="1"/>
  <c r="G2592" i="48" s="1"/>
  <c r="D2916" i="48"/>
  <c r="F2916" i="48" s="1"/>
  <c r="G2916" i="48" s="1"/>
  <c r="D971" i="48"/>
  <c r="F971" i="48" s="1"/>
  <c r="D1782" i="48"/>
  <c r="F1782" i="48" s="1"/>
  <c r="G1782" i="48" s="1"/>
  <c r="D484" i="48"/>
  <c r="F484" i="48" s="1"/>
  <c r="D321" i="48"/>
  <c r="F321" i="48" s="1"/>
  <c r="D2106" i="48"/>
  <c r="F2106" i="48" s="1"/>
  <c r="G2106" i="48" s="1"/>
  <c r="D3078" i="48"/>
  <c r="F3078" i="48" s="1"/>
  <c r="G3078" i="48" s="1"/>
  <c r="D2430" i="48"/>
  <c r="F2430" i="48" s="1"/>
  <c r="G2430" i="48" s="1"/>
  <c r="D2754" i="48"/>
  <c r="F2754" i="48" s="1"/>
  <c r="G2754" i="48" s="1"/>
  <c r="D1295" i="48"/>
  <c r="F1295" i="48" s="1"/>
  <c r="G1295" i="48" s="1"/>
  <c r="D1620" i="48"/>
  <c r="F1620" i="48" s="1"/>
  <c r="G1620" i="48" s="1"/>
  <c r="D1133" i="48"/>
  <c r="F1133" i="48" s="1"/>
  <c r="D647" i="48"/>
  <c r="F647" i="48" s="1"/>
  <c r="D809" i="48"/>
  <c r="F809" i="48" s="1"/>
  <c r="D1458" i="48"/>
  <c r="F1458" i="48" s="1"/>
  <c r="G1458" i="48" s="1"/>
  <c r="D2268" i="48"/>
  <c r="F2268" i="48" s="1"/>
  <c r="G2268" i="48" s="1"/>
  <c r="E32" i="114"/>
  <c r="AF71" i="114"/>
  <c r="AG71" i="114"/>
  <c r="AG60" i="114"/>
  <c r="E21" i="114"/>
  <c r="AF60" i="114"/>
  <c r="D2522" i="48"/>
  <c r="F2522" i="48" s="1"/>
  <c r="G2522" i="48" s="1"/>
  <c r="D2684" i="48"/>
  <c r="F2684" i="48" s="1"/>
  <c r="G2684" i="48" s="1"/>
  <c r="D414" i="48"/>
  <c r="F414" i="48" s="1"/>
  <c r="D1550" i="48"/>
  <c r="F1550" i="48" s="1"/>
  <c r="G1550" i="48" s="1"/>
  <c r="D3008" i="48"/>
  <c r="F3008" i="48" s="1"/>
  <c r="G3008" i="48" s="1"/>
  <c r="D577" i="48"/>
  <c r="F577" i="48" s="1"/>
  <c r="D2360" i="48"/>
  <c r="F2360" i="48" s="1"/>
  <c r="G2360" i="48" s="1"/>
  <c r="D1874" i="48"/>
  <c r="F1874" i="48" s="1"/>
  <c r="G1874" i="48" s="1"/>
  <c r="D901" i="48"/>
  <c r="F901" i="48" s="1"/>
  <c r="D2846" i="48"/>
  <c r="F2846" i="48" s="1"/>
  <c r="G2846" i="48" s="1"/>
  <c r="D1063" i="48"/>
  <c r="F1063" i="48" s="1"/>
  <c r="D1225" i="48"/>
  <c r="F1225" i="48" s="1"/>
  <c r="G1225" i="48" s="1"/>
  <c r="D1712" i="48"/>
  <c r="F1712" i="48" s="1"/>
  <c r="G1712" i="48" s="1"/>
  <c r="D251" i="48"/>
  <c r="F251" i="48" s="1"/>
  <c r="D739" i="48"/>
  <c r="F739" i="48" s="1"/>
  <c r="D88" i="48"/>
  <c r="F88" i="48" s="1"/>
  <c r="D2036" i="48"/>
  <c r="F2036" i="48" s="1"/>
  <c r="G2036" i="48" s="1"/>
  <c r="D1387" i="48"/>
  <c r="F1387" i="48" s="1"/>
  <c r="G1387" i="48" s="1"/>
  <c r="D2198" i="48"/>
  <c r="F2198" i="48" s="1"/>
  <c r="G2198" i="48" s="1"/>
  <c r="D1724" i="48"/>
  <c r="F1724" i="48" s="1"/>
  <c r="G1724" i="48" s="1"/>
  <c r="D426" i="48"/>
  <c r="F426" i="48" s="1"/>
  <c r="D263" i="48"/>
  <c r="F263" i="48" s="1"/>
  <c r="D3020" i="48"/>
  <c r="F3020" i="48" s="1"/>
  <c r="G3020" i="48" s="1"/>
  <c r="D2372" i="48"/>
  <c r="F2372" i="48" s="1"/>
  <c r="G2372" i="48" s="1"/>
  <c r="D2696" i="48"/>
  <c r="F2696" i="48" s="1"/>
  <c r="G2696" i="48" s="1"/>
  <c r="D1237" i="48"/>
  <c r="F1237" i="48" s="1"/>
  <c r="G1237" i="48" s="1"/>
  <c r="D1562" i="48"/>
  <c r="F1562" i="48" s="1"/>
  <c r="G1562" i="48" s="1"/>
  <c r="D1075" i="48"/>
  <c r="F1075" i="48" s="1"/>
  <c r="D589" i="48"/>
  <c r="F589" i="48" s="1"/>
  <c r="D751" i="48"/>
  <c r="F751" i="48" s="1"/>
  <c r="D1399" i="48"/>
  <c r="F1399" i="48" s="1"/>
  <c r="G1399" i="48" s="1"/>
  <c r="D1886" i="48"/>
  <c r="F1886" i="48" s="1"/>
  <c r="G1886" i="48" s="1"/>
  <c r="D100" i="48"/>
  <c r="F100" i="48" s="1"/>
  <c r="D2534" i="48"/>
  <c r="F2534" i="48" s="1"/>
  <c r="G2534" i="48" s="1"/>
  <c r="D2858" i="48"/>
  <c r="F2858" i="48" s="1"/>
  <c r="G2858" i="48" s="1"/>
  <c r="D913" i="48"/>
  <c r="F913" i="48" s="1"/>
  <c r="D2048" i="48"/>
  <c r="F2048" i="48" s="1"/>
  <c r="G2048" i="48" s="1"/>
  <c r="D2210" i="48"/>
  <c r="F2210" i="48" s="1"/>
  <c r="G2210" i="48" s="1"/>
  <c r="E12" i="114"/>
  <c r="AG51" i="114"/>
  <c r="AF51" i="114"/>
  <c r="AK48" i="114"/>
  <c r="AG59" i="114"/>
  <c r="E20" i="114"/>
  <c r="AF59" i="114"/>
  <c r="AG73" i="114"/>
  <c r="E34" i="114"/>
  <c r="AF73" i="114"/>
  <c r="D2586" i="48"/>
  <c r="F2586" i="48" s="1"/>
  <c r="G2586" i="48" s="1"/>
  <c r="D478" i="48"/>
  <c r="F478" i="48" s="1"/>
  <c r="D3072" i="48"/>
  <c r="F3072" i="48" s="1"/>
  <c r="G3072" i="48" s="1"/>
  <c r="D1614" i="48"/>
  <c r="F1614" i="48" s="1"/>
  <c r="G1614" i="48" s="1"/>
  <c r="D803" i="48"/>
  <c r="F803" i="48" s="1"/>
  <c r="D152" i="48"/>
  <c r="F152" i="48" s="1"/>
  <c r="D641" i="48"/>
  <c r="F641" i="48" s="1"/>
  <c r="D2424" i="48"/>
  <c r="F2424" i="48" s="1"/>
  <c r="G2424" i="48" s="1"/>
  <c r="D1938" i="48"/>
  <c r="F1938" i="48" s="1"/>
  <c r="G1938" i="48" s="1"/>
  <c r="D965" i="48"/>
  <c r="F965" i="48" s="1"/>
  <c r="D2748" i="48"/>
  <c r="F2748" i="48" s="1"/>
  <c r="G2748" i="48" s="1"/>
  <c r="D2910" i="48"/>
  <c r="F2910" i="48" s="1"/>
  <c r="G2910" i="48" s="1"/>
  <c r="D1127" i="48"/>
  <c r="F1127" i="48" s="1"/>
  <c r="D1289" i="48"/>
  <c r="F1289" i="48" s="1"/>
  <c r="G1289" i="48" s="1"/>
  <c r="D1776" i="48"/>
  <c r="F1776" i="48" s="1"/>
  <c r="G1776" i="48" s="1"/>
  <c r="D315" i="48"/>
  <c r="F315" i="48" s="1"/>
  <c r="D1452" i="48"/>
  <c r="F1452" i="48" s="1"/>
  <c r="G1452" i="48" s="1"/>
  <c r="D2262" i="48"/>
  <c r="F2262" i="48" s="1"/>
  <c r="G2262" i="48" s="1"/>
  <c r="D2100" i="48"/>
  <c r="F2100" i="48" s="1"/>
  <c r="G2100" i="48" s="1"/>
  <c r="D1564" i="48"/>
  <c r="F1564" i="48" s="1"/>
  <c r="G1564" i="48" s="1"/>
  <c r="D2374" i="48"/>
  <c r="F2374" i="48" s="1"/>
  <c r="G2374" i="48" s="1"/>
  <c r="D1077" i="48"/>
  <c r="F1077" i="48" s="1"/>
  <c r="D753" i="48"/>
  <c r="F753" i="48" s="1"/>
  <c r="D591" i="48"/>
  <c r="F591" i="48" s="1"/>
  <c r="D1888" i="48"/>
  <c r="F1888" i="48" s="1"/>
  <c r="G1888" i="48" s="1"/>
  <c r="D1726" i="48"/>
  <c r="F1726" i="48" s="1"/>
  <c r="G1726" i="48" s="1"/>
  <c r="D915" i="48"/>
  <c r="F915" i="48" s="1"/>
  <c r="D1239" i="48"/>
  <c r="F1239" i="48" s="1"/>
  <c r="G1239" i="48" s="1"/>
  <c r="D2860" i="48"/>
  <c r="F2860" i="48" s="1"/>
  <c r="G2860" i="48" s="1"/>
  <c r="D3022" i="48"/>
  <c r="F3022" i="48" s="1"/>
  <c r="G3022" i="48" s="1"/>
  <c r="D265" i="48"/>
  <c r="F265" i="48" s="1"/>
  <c r="D2536" i="48"/>
  <c r="F2536" i="48" s="1"/>
  <c r="G2536" i="48" s="1"/>
  <c r="D102" i="48"/>
  <c r="F102" i="48" s="1"/>
  <c r="D2698" i="48"/>
  <c r="F2698" i="48" s="1"/>
  <c r="G2698" i="48" s="1"/>
  <c r="D428" i="48"/>
  <c r="F428" i="48" s="1"/>
  <c r="D1401" i="48"/>
  <c r="F1401" i="48" s="1"/>
  <c r="G1401" i="48" s="1"/>
  <c r="D2050" i="48"/>
  <c r="F2050" i="48" s="1"/>
  <c r="G2050" i="48" s="1"/>
  <c r="D2212" i="48"/>
  <c r="F2212" i="48" s="1"/>
  <c r="G2212" i="48" s="1"/>
  <c r="D498" i="48"/>
  <c r="F498" i="48" s="1"/>
  <c r="D335" i="48"/>
  <c r="F335" i="48" s="1"/>
  <c r="D1147" i="48"/>
  <c r="F1147" i="48" s="1"/>
  <c r="D3092" i="48"/>
  <c r="F3092" i="48" s="1"/>
  <c r="G3092" i="48" s="1"/>
  <c r="D1796" i="48"/>
  <c r="F1796" i="48" s="1"/>
  <c r="G1796" i="48" s="1"/>
  <c r="D172" i="48"/>
  <c r="F172" i="48" s="1"/>
  <c r="D2606" i="48"/>
  <c r="F2606" i="48" s="1"/>
  <c r="G2606" i="48" s="1"/>
  <c r="D1309" i="48"/>
  <c r="F1309" i="48" s="1"/>
  <c r="G1309" i="48" s="1"/>
  <c r="D1634" i="48"/>
  <c r="F1634" i="48" s="1"/>
  <c r="G1634" i="48" s="1"/>
  <c r="D2444" i="48"/>
  <c r="F2444" i="48" s="1"/>
  <c r="G2444" i="48" s="1"/>
  <c r="D2930" i="48"/>
  <c r="F2930" i="48" s="1"/>
  <c r="G2930" i="48" s="1"/>
  <c r="D2768" i="48"/>
  <c r="F2768" i="48" s="1"/>
  <c r="G2768" i="48" s="1"/>
  <c r="D1472" i="48"/>
  <c r="F1472" i="48" s="1"/>
  <c r="G1472" i="48" s="1"/>
  <c r="D661" i="48"/>
  <c r="F661" i="48" s="1"/>
  <c r="D985" i="48"/>
  <c r="F985" i="48" s="1"/>
  <c r="D2282" i="48"/>
  <c r="F2282" i="48" s="1"/>
  <c r="G2282" i="48" s="1"/>
  <c r="D2120" i="48"/>
  <c r="F2120" i="48" s="1"/>
  <c r="G2120" i="48" s="1"/>
  <c r="D823" i="48"/>
  <c r="F823" i="48" s="1"/>
  <c r="D1958" i="48"/>
  <c r="F1958" i="48" s="1"/>
  <c r="G1958" i="48" s="1"/>
  <c r="J19" i="132"/>
  <c r="AG65" i="114"/>
  <c r="K26" i="114" s="1"/>
  <c r="E26" i="114"/>
  <c r="AF65" i="114"/>
  <c r="J26" i="114" s="1"/>
  <c r="AF72" i="114"/>
  <c r="E33" i="114"/>
  <c r="AG72" i="114"/>
  <c r="D1467" i="48"/>
  <c r="F1467" i="48" s="1"/>
  <c r="G1467" i="48" s="1"/>
  <c r="D1304" i="48"/>
  <c r="F1304" i="48" s="1"/>
  <c r="G1304" i="48" s="1"/>
  <c r="D330" i="48"/>
  <c r="F330" i="48" s="1"/>
  <c r="D2763" i="48"/>
  <c r="F2763" i="48" s="1"/>
  <c r="G2763" i="48" s="1"/>
  <c r="D2601" i="48"/>
  <c r="F2601" i="48" s="1"/>
  <c r="G2601" i="48" s="1"/>
  <c r="D1629" i="48"/>
  <c r="F1629" i="48" s="1"/>
  <c r="G1629" i="48" s="1"/>
  <c r="D3087" i="48"/>
  <c r="F3087" i="48" s="1"/>
  <c r="G3087" i="48" s="1"/>
  <c r="D1142" i="48"/>
  <c r="F1142" i="48" s="1"/>
  <c r="D2925" i="48"/>
  <c r="F2925" i="48" s="1"/>
  <c r="G2925" i="48" s="1"/>
  <c r="D980" i="48"/>
  <c r="F980" i="48" s="1"/>
  <c r="D656" i="48"/>
  <c r="F656" i="48" s="1"/>
  <c r="D493" i="48"/>
  <c r="F493" i="48" s="1"/>
  <c r="D1953" i="48"/>
  <c r="F1953" i="48" s="1"/>
  <c r="G1953" i="48" s="1"/>
  <c r="D1791" i="48"/>
  <c r="F1791" i="48" s="1"/>
  <c r="G1791" i="48" s="1"/>
  <c r="D818" i="48"/>
  <c r="F818" i="48" s="1"/>
  <c r="D2439" i="48"/>
  <c r="F2439" i="48" s="1"/>
  <c r="G2439" i="48" s="1"/>
  <c r="D167" i="48"/>
  <c r="F167" i="48" s="1"/>
  <c r="D2277" i="48"/>
  <c r="F2277" i="48" s="1"/>
  <c r="G2277" i="48" s="1"/>
  <c r="D2115" i="48"/>
  <c r="F2115" i="48" s="1"/>
  <c r="G2115" i="48" s="1"/>
  <c r="E10" i="114"/>
  <c r="AG49" i="114"/>
  <c r="AF49" i="114"/>
  <c r="AK47" i="114"/>
  <c r="E17" i="114"/>
  <c r="AG56" i="114"/>
  <c r="K17" i="114" s="1"/>
  <c r="AF56" i="114"/>
  <c r="J17" i="114" s="1"/>
  <c r="D972" i="48"/>
  <c r="F972" i="48" s="1"/>
  <c r="D1296" i="48"/>
  <c r="F1296" i="48" s="1"/>
  <c r="G1296" i="48" s="1"/>
  <c r="D2917" i="48"/>
  <c r="F2917" i="48" s="1"/>
  <c r="G2917" i="48" s="1"/>
  <c r="D3079" i="48"/>
  <c r="F3079" i="48" s="1"/>
  <c r="G3079" i="48" s="1"/>
  <c r="D1621" i="48"/>
  <c r="F1621" i="48" s="1"/>
  <c r="G1621" i="48" s="1"/>
  <c r="D2431" i="48"/>
  <c r="F2431" i="48" s="1"/>
  <c r="G2431" i="48" s="1"/>
  <c r="D1134" i="48"/>
  <c r="F1134" i="48" s="1"/>
  <c r="D648" i="48"/>
  <c r="F648" i="48" s="1"/>
  <c r="D1945" i="48"/>
  <c r="F1945" i="48" s="1"/>
  <c r="G1945" i="48" s="1"/>
  <c r="D1783" i="48"/>
  <c r="F1783" i="48" s="1"/>
  <c r="G1783" i="48" s="1"/>
  <c r="D322" i="48"/>
  <c r="F322" i="48" s="1"/>
  <c r="D810" i="48"/>
  <c r="F810" i="48" s="1"/>
  <c r="D2593" i="48"/>
  <c r="F2593" i="48" s="1"/>
  <c r="G2593" i="48" s="1"/>
  <c r="D159" i="48"/>
  <c r="F159" i="48" s="1"/>
  <c r="D2755" i="48"/>
  <c r="F2755" i="48" s="1"/>
  <c r="G2755" i="48" s="1"/>
  <c r="D485" i="48"/>
  <c r="F485" i="48" s="1"/>
  <c r="D2269" i="48"/>
  <c r="F2269" i="48" s="1"/>
  <c r="G2269" i="48" s="1"/>
  <c r="D2107" i="48"/>
  <c r="F2107" i="48" s="1"/>
  <c r="G2107" i="48" s="1"/>
  <c r="D1459" i="48"/>
  <c r="F1459" i="48" s="1"/>
  <c r="G1459" i="48" s="1"/>
  <c r="J35" i="132"/>
  <c r="D1403" i="48"/>
  <c r="F1403" i="48" s="1"/>
  <c r="G1403" i="48" s="1"/>
  <c r="D2700" i="48"/>
  <c r="F2700" i="48" s="1"/>
  <c r="G2700" i="48" s="1"/>
  <c r="D2538" i="48"/>
  <c r="F2538" i="48" s="1"/>
  <c r="G2538" i="48" s="1"/>
  <c r="D1241" i="48"/>
  <c r="F1241" i="48" s="1"/>
  <c r="G1241" i="48" s="1"/>
  <c r="D593" i="48"/>
  <c r="F593" i="48" s="1"/>
  <c r="D2376" i="48"/>
  <c r="F2376" i="48" s="1"/>
  <c r="G2376" i="48" s="1"/>
  <c r="D104" i="48"/>
  <c r="F104" i="48" s="1"/>
  <c r="D3024" i="48"/>
  <c r="F3024" i="48" s="1"/>
  <c r="G3024" i="48" s="1"/>
  <c r="D1566" i="48"/>
  <c r="F1566" i="48" s="1"/>
  <c r="G1566" i="48" s="1"/>
  <c r="D267" i="48"/>
  <c r="F267" i="48" s="1"/>
  <c r="D1079" i="48"/>
  <c r="F1079" i="48" s="1"/>
  <c r="D1728" i="48"/>
  <c r="F1728" i="48" s="1"/>
  <c r="G1728" i="48" s="1"/>
  <c r="D917" i="48"/>
  <c r="F917" i="48" s="1"/>
  <c r="D755" i="48"/>
  <c r="F755" i="48" s="1"/>
  <c r="D1890" i="48"/>
  <c r="F1890" i="48" s="1"/>
  <c r="G1890" i="48" s="1"/>
  <c r="D430" i="48"/>
  <c r="F430" i="48" s="1"/>
  <c r="D2862" i="48"/>
  <c r="F2862" i="48" s="1"/>
  <c r="G2862" i="48" s="1"/>
  <c r="D2052" i="48"/>
  <c r="F2052" i="48" s="1"/>
  <c r="G2052" i="48" s="1"/>
  <c r="D2214" i="48"/>
  <c r="F2214" i="48" s="1"/>
  <c r="G2214" i="48" s="1"/>
  <c r="AG57" i="114"/>
  <c r="E18" i="114"/>
  <c r="AF57" i="114"/>
  <c r="D2401" i="48"/>
  <c r="F2401" i="48" s="1"/>
  <c r="G2401" i="48" s="1"/>
  <c r="D1915" i="48"/>
  <c r="F1915" i="48" s="1"/>
  <c r="G1915" i="48" s="1"/>
  <c r="D455" i="48"/>
  <c r="F455" i="48" s="1"/>
  <c r="D2563" i="48"/>
  <c r="F2563" i="48" s="1"/>
  <c r="G2563" i="48" s="1"/>
  <c r="D292" i="48"/>
  <c r="F292" i="48" s="1"/>
  <c r="D1104" i="48"/>
  <c r="F1104" i="48" s="1"/>
  <c r="D1428" i="48"/>
  <c r="F1428" i="48" s="1"/>
  <c r="G1428" i="48" s="1"/>
  <c r="D3049" i="48"/>
  <c r="F3049" i="48" s="1"/>
  <c r="G3049" i="48" s="1"/>
  <c r="D2887" i="48"/>
  <c r="F2887" i="48" s="1"/>
  <c r="G2887" i="48" s="1"/>
  <c r="D780" i="48"/>
  <c r="F780" i="48" s="1"/>
  <c r="D129" i="48"/>
  <c r="F129" i="48" s="1"/>
  <c r="D618" i="48"/>
  <c r="F618" i="48" s="1"/>
  <c r="D942" i="48"/>
  <c r="F942" i="48" s="1"/>
  <c r="D2725" i="48"/>
  <c r="F2725" i="48" s="1"/>
  <c r="G2725" i="48" s="1"/>
  <c r="D1266" i="48"/>
  <c r="F1266" i="48" s="1"/>
  <c r="G1266" i="48" s="1"/>
  <c r="D1753" i="48"/>
  <c r="F1753" i="48" s="1"/>
  <c r="G1753" i="48" s="1"/>
  <c r="D2077" i="48"/>
  <c r="F2077" i="48" s="1"/>
  <c r="G2077" i="48" s="1"/>
  <c r="D1591" i="48"/>
  <c r="F1591" i="48" s="1"/>
  <c r="G1591" i="48" s="1"/>
  <c r="D2239" i="48"/>
  <c r="F2239" i="48" s="1"/>
  <c r="G2239" i="48" s="1"/>
  <c r="D2604" i="48"/>
  <c r="F2604" i="48" s="1"/>
  <c r="G2604" i="48" s="1"/>
  <c r="D496" i="48"/>
  <c r="F496" i="48" s="1"/>
  <c r="D2442" i="48"/>
  <c r="F2442" i="48" s="1"/>
  <c r="G2442" i="48" s="1"/>
  <c r="D170" i="48"/>
  <c r="F170" i="48" s="1"/>
  <c r="D3090" i="48"/>
  <c r="F3090" i="48" s="1"/>
  <c r="G3090" i="48" s="1"/>
  <c r="D1307" i="48"/>
  <c r="F1307" i="48" s="1"/>
  <c r="G1307" i="48" s="1"/>
  <c r="D1956" i="48"/>
  <c r="F1956" i="48" s="1"/>
  <c r="G1956" i="48" s="1"/>
  <c r="D333" i="48"/>
  <c r="F333" i="48" s="1"/>
  <c r="D659" i="48"/>
  <c r="F659" i="48" s="1"/>
  <c r="D2280" i="48"/>
  <c r="F2280" i="48" s="1"/>
  <c r="G2280" i="48" s="1"/>
  <c r="D983" i="48"/>
  <c r="F983" i="48" s="1"/>
  <c r="D2928" i="48"/>
  <c r="F2928" i="48" s="1"/>
  <c r="G2928" i="48" s="1"/>
  <c r="D2766" i="48"/>
  <c r="F2766" i="48" s="1"/>
  <c r="G2766" i="48" s="1"/>
  <c r="D821" i="48"/>
  <c r="F821" i="48" s="1"/>
  <c r="D1470" i="48"/>
  <c r="F1470" i="48" s="1"/>
  <c r="G1470" i="48" s="1"/>
  <c r="D1145" i="48"/>
  <c r="F1145" i="48" s="1"/>
  <c r="D2118" i="48"/>
  <c r="F2118" i="48" s="1"/>
  <c r="G2118" i="48" s="1"/>
  <c r="D1632" i="48"/>
  <c r="F1632" i="48" s="1"/>
  <c r="G1632" i="48" s="1"/>
  <c r="D1794" i="48"/>
  <c r="F1794" i="48" s="1"/>
  <c r="G1794" i="48" s="1"/>
  <c r="AG50" i="114"/>
  <c r="E11" i="114"/>
  <c r="AF50" i="114"/>
  <c r="AG68" i="114"/>
  <c r="K29" i="114" s="1"/>
  <c r="E29" i="114"/>
  <c r="AF68" i="114"/>
  <c r="J29" i="114" s="1"/>
  <c r="D1460" i="48"/>
  <c r="F1460" i="48" s="1"/>
  <c r="G1460" i="48" s="1"/>
  <c r="D2756" i="48"/>
  <c r="F2756" i="48" s="1"/>
  <c r="G2756" i="48" s="1"/>
  <c r="D2594" i="48"/>
  <c r="F2594" i="48" s="1"/>
  <c r="G2594" i="48" s="1"/>
  <c r="D1297" i="48"/>
  <c r="F1297" i="48" s="1"/>
  <c r="G1297" i="48" s="1"/>
  <c r="D649" i="48"/>
  <c r="F649" i="48" s="1"/>
  <c r="D2432" i="48"/>
  <c r="F2432" i="48" s="1"/>
  <c r="G2432" i="48" s="1"/>
  <c r="D160" i="48"/>
  <c r="F160" i="48" s="1"/>
  <c r="D2918" i="48"/>
  <c r="F2918" i="48" s="1"/>
  <c r="G2918" i="48" s="1"/>
  <c r="D3080" i="48"/>
  <c r="F3080" i="48" s="1"/>
  <c r="G3080" i="48" s="1"/>
  <c r="D1622" i="48"/>
  <c r="F1622" i="48" s="1"/>
  <c r="G1622" i="48" s="1"/>
  <c r="D323" i="48"/>
  <c r="F323" i="48" s="1"/>
  <c r="D1135" i="48"/>
  <c r="F1135" i="48" s="1"/>
  <c r="D1784" i="48"/>
  <c r="F1784" i="48" s="1"/>
  <c r="G1784" i="48" s="1"/>
  <c r="D973" i="48"/>
  <c r="F973" i="48" s="1"/>
  <c r="D811" i="48"/>
  <c r="F811" i="48" s="1"/>
  <c r="D1946" i="48"/>
  <c r="F1946" i="48" s="1"/>
  <c r="G1946" i="48" s="1"/>
  <c r="D486" i="48"/>
  <c r="F486" i="48" s="1"/>
  <c r="D2108" i="48"/>
  <c r="F2108" i="48" s="1"/>
  <c r="G2108" i="48" s="1"/>
  <c r="D2270" i="48"/>
  <c r="F2270" i="48" s="1"/>
  <c r="G2270" i="48" s="1"/>
  <c r="D1303" i="48"/>
  <c r="F1303" i="48" s="1"/>
  <c r="G1303" i="48" s="1"/>
  <c r="D1628" i="48"/>
  <c r="F1628" i="48" s="1"/>
  <c r="G1628" i="48" s="1"/>
  <c r="D2762" i="48"/>
  <c r="F2762" i="48" s="1"/>
  <c r="G2762" i="48" s="1"/>
  <c r="D655" i="48"/>
  <c r="F655" i="48" s="1"/>
  <c r="D817" i="48"/>
  <c r="F817" i="48" s="1"/>
  <c r="D1141" i="48"/>
  <c r="F1141" i="48" s="1"/>
  <c r="D2438" i="48"/>
  <c r="F2438" i="48" s="1"/>
  <c r="G2438" i="48" s="1"/>
  <c r="D1790" i="48"/>
  <c r="F1790" i="48" s="1"/>
  <c r="G1790" i="48" s="1"/>
  <c r="D2600" i="48"/>
  <c r="F2600" i="48" s="1"/>
  <c r="G2600" i="48" s="1"/>
  <c r="D3086" i="48"/>
  <c r="F3086" i="48" s="1"/>
  <c r="G3086" i="48" s="1"/>
  <c r="D166" i="48"/>
  <c r="F166" i="48" s="1"/>
  <c r="D1952" i="48"/>
  <c r="F1952" i="48" s="1"/>
  <c r="G1952" i="48" s="1"/>
  <c r="D1466" i="48"/>
  <c r="F1466" i="48" s="1"/>
  <c r="G1466" i="48" s="1"/>
  <c r="D2924" i="48"/>
  <c r="F2924" i="48" s="1"/>
  <c r="G2924" i="48" s="1"/>
  <c r="D979" i="48"/>
  <c r="F979" i="48" s="1"/>
  <c r="D492" i="48"/>
  <c r="F492" i="48" s="1"/>
  <c r="D329" i="48"/>
  <c r="F329" i="48" s="1"/>
  <c r="D2276" i="48"/>
  <c r="F2276" i="48" s="1"/>
  <c r="G2276" i="48" s="1"/>
  <c r="D2114" i="48"/>
  <c r="F2114" i="48" s="1"/>
  <c r="G2114" i="48" s="1"/>
  <c r="E24" i="114"/>
  <c r="AG63" i="114"/>
  <c r="K24" i="114" s="1"/>
  <c r="AF63" i="114"/>
  <c r="J24" i="114" s="1"/>
  <c r="E36" i="114"/>
  <c r="AF75" i="114"/>
  <c r="J36" i="114" s="1"/>
  <c r="AG75" i="114"/>
  <c r="K36" i="114" s="1"/>
  <c r="E31" i="114"/>
  <c r="AG70" i="114"/>
  <c r="AF70" i="114"/>
  <c r="E13" i="114"/>
  <c r="AG52" i="114"/>
  <c r="AF52" i="114"/>
  <c r="E30" i="114"/>
  <c r="AG69" i="114"/>
  <c r="K30" i="114" s="1"/>
  <c r="AF69" i="114"/>
  <c r="J30" i="114" s="1"/>
  <c r="D2388" i="48"/>
  <c r="F2388" i="48" s="1"/>
  <c r="G2388" i="48" s="1"/>
  <c r="D1740" i="48"/>
  <c r="F1740" i="48" s="1"/>
  <c r="G1740" i="48" s="1"/>
  <c r="D2550" i="48"/>
  <c r="F2550" i="48" s="1"/>
  <c r="G2550" i="48" s="1"/>
  <c r="D3036" i="48"/>
  <c r="F3036" i="48" s="1"/>
  <c r="G3036" i="48" s="1"/>
  <c r="D116" i="48"/>
  <c r="F116" i="48" s="1"/>
  <c r="D1902" i="48"/>
  <c r="F1902" i="48" s="1"/>
  <c r="G1902" i="48" s="1"/>
  <c r="D1415" i="48"/>
  <c r="F1415" i="48" s="1"/>
  <c r="G1415" i="48" s="1"/>
  <c r="D2874" i="48"/>
  <c r="F2874" i="48" s="1"/>
  <c r="G2874" i="48" s="1"/>
  <c r="D929" i="48"/>
  <c r="F929" i="48" s="1"/>
  <c r="D442" i="48"/>
  <c r="F442" i="48" s="1"/>
  <c r="D279" i="48"/>
  <c r="F279" i="48" s="1"/>
  <c r="D1253" i="48"/>
  <c r="F1253" i="48" s="1"/>
  <c r="G1253" i="48" s="1"/>
  <c r="D1578" i="48"/>
  <c r="F1578" i="48" s="1"/>
  <c r="G1578" i="48" s="1"/>
  <c r="D2712" i="48"/>
  <c r="F2712" i="48" s="1"/>
  <c r="G2712" i="48" s="1"/>
  <c r="D605" i="48"/>
  <c r="F605" i="48" s="1"/>
  <c r="D767" i="48"/>
  <c r="F767" i="48" s="1"/>
  <c r="D1091" i="48"/>
  <c r="F1091" i="48" s="1"/>
  <c r="D2226" i="48"/>
  <c r="F2226" i="48" s="1"/>
  <c r="G2226" i="48" s="1"/>
  <c r="D2064" i="48"/>
  <c r="F2064" i="48" s="1"/>
  <c r="G2064" i="48" s="1"/>
  <c r="D125" i="48"/>
  <c r="F125" i="48" s="1"/>
  <c r="D288" i="48"/>
  <c r="F288" i="48" s="1"/>
  <c r="D938" i="48"/>
  <c r="F938" i="48" s="1"/>
  <c r="D2559" i="48"/>
  <c r="F2559" i="48" s="1"/>
  <c r="G2559" i="48" s="1"/>
  <c r="D3045" i="48"/>
  <c r="F3045" i="48" s="1"/>
  <c r="G3045" i="48" s="1"/>
  <c r="D1100" i="48"/>
  <c r="F1100" i="48" s="1"/>
  <c r="D451" i="48"/>
  <c r="F451" i="48" s="1"/>
  <c r="D2883" i="48"/>
  <c r="F2883" i="48" s="1"/>
  <c r="G2883" i="48" s="1"/>
  <c r="D1911" i="48"/>
  <c r="F1911" i="48" s="1"/>
  <c r="G1911" i="48" s="1"/>
  <c r="D2397" i="48"/>
  <c r="F2397" i="48" s="1"/>
  <c r="G2397" i="48" s="1"/>
  <c r="D614" i="48"/>
  <c r="F614" i="48" s="1"/>
  <c r="D2721" i="48"/>
  <c r="F2721" i="48" s="1"/>
  <c r="G2721" i="48" s="1"/>
  <c r="D776" i="48"/>
  <c r="F776" i="48" s="1"/>
  <c r="D1262" i="48"/>
  <c r="F1262" i="48" s="1"/>
  <c r="G1262" i="48" s="1"/>
  <c r="D1749" i="48"/>
  <c r="F1749" i="48" s="1"/>
  <c r="G1749" i="48" s="1"/>
  <c r="D2073" i="48"/>
  <c r="F2073" i="48" s="1"/>
  <c r="G2073" i="48" s="1"/>
  <c r="D1424" i="48"/>
  <c r="F1424" i="48" s="1"/>
  <c r="G1424" i="48" s="1"/>
  <c r="D2235" i="48"/>
  <c r="F2235" i="48" s="1"/>
  <c r="G2235" i="48" s="1"/>
  <c r="D1587" i="48"/>
  <c r="F1587" i="48" s="1"/>
  <c r="G1587" i="48" s="1"/>
  <c r="D2552" i="48"/>
  <c r="F2552" i="48" s="1"/>
  <c r="G2552" i="48" s="1"/>
  <c r="D1580" i="48"/>
  <c r="F1580" i="48" s="1"/>
  <c r="G1580" i="48" s="1"/>
  <c r="D1417" i="48"/>
  <c r="F1417" i="48" s="1"/>
  <c r="G1417" i="48" s="1"/>
  <c r="D3038" i="48"/>
  <c r="F3038" i="48" s="1"/>
  <c r="G3038" i="48" s="1"/>
  <c r="D1255" i="48"/>
  <c r="F1255" i="48" s="1"/>
  <c r="G1255" i="48" s="1"/>
  <c r="D281" i="48"/>
  <c r="F281" i="48" s="1"/>
  <c r="D931" i="48"/>
  <c r="F931" i="48" s="1"/>
  <c r="D607" i="48"/>
  <c r="F607" i="48" s="1"/>
  <c r="D444" i="48"/>
  <c r="F444" i="48" s="1"/>
  <c r="D1904" i="48"/>
  <c r="F1904" i="48" s="1"/>
  <c r="G1904" i="48" s="1"/>
  <c r="D1742" i="48"/>
  <c r="F1742" i="48" s="1"/>
  <c r="G1742" i="48" s="1"/>
  <c r="D2390" i="48"/>
  <c r="F2390" i="48" s="1"/>
  <c r="G2390" i="48" s="1"/>
  <c r="D118" i="48"/>
  <c r="F118" i="48" s="1"/>
  <c r="D1093" i="48"/>
  <c r="F1093" i="48" s="1"/>
  <c r="D2876" i="48"/>
  <c r="F2876" i="48" s="1"/>
  <c r="G2876" i="48" s="1"/>
  <c r="D2714" i="48"/>
  <c r="F2714" i="48" s="1"/>
  <c r="G2714" i="48" s="1"/>
  <c r="D769" i="48"/>
  <c r="F769" i="48" s="1"/>
  <c r="D2228" i="48"/>
  <c r="F2228" i="48" s="1"/>
  <c r="G2228" i="48" s="1"/>
  <c r="D2066" i="48"/>
  <c r="F2066" i="48" s="1"/>
  <c r="G2066" i="48" s="1"/>
  <c r="E37" i="114"/>
  <c r="AG76" i="114"/>
  <c r="AF76" i="114"/>
  <c r="AG61" i="114"/>
  <c r="E22" i="114"/>
  <c r="AF61" i="114"/>
  <c r="E25" i="114"/>
  <c r="AG64" i="114"/>
  <c r="AF64" i="114"/>
  <c r="E15" i="114"/>
  <c r="AG54" i="114"/>
  <c r="AF54" i="114"/>
  <c r="N16" i="132"/>
  <c r="L16" i="132" s="1"/>
  <c r="T12" i="147" s="1"/>
  <c r="U12" i="147" s="1"/>
  <c r="J26" i="132"/>
  <c r="E35" i="114"/>
  <c r="AF74" i="114"/>
  <c r="J35" i="114" s="1"/>
  <c r="AG74" i="114"/>
  <c r="K35" i="114" s="1"/>
  <c r="R35" i="114" s="1"/>
  <c r="J38" i="132"/>
  <c r="N9" i="132"/>
  <c r="L9" i="132" s="1"/>
  <c r="T7" i="147" s="1"/>
  <c r="U7" i="147" s="1"/>
  <c r="J83" i="132"/>
  <c r="AG67" i="114"/>
  <c r="K28" i="114" s="1"/>
  <c r="R28" i="114" s="1"/>
  <c r="E28" i="114"/>
  <c r="AF67" i="114"/>
  <c r="J28" i="114" s="1"/>
  <c r="AG53" i="114"/>
  <c r="E14" i="114"/>
  <c r="AF53" i="114"/>
  <c r="J45" i="132"/>
  <c r="AG55" i="114"/>
  <c r="E16" i="114"/>
  <c r="AF55" i="114"/>
  <c r="J15" i="114" l="1"/>
  <c r="AN54" i="114"/>
  <c r="K15" i="114"/>
  <c r="J89" i="132"/>
  <c r="J55" i="132"/>
  <c r="J24" i="132"/>
  <c r="N13" i="132"/>
  <c r="L13" i="132" s="1"/>
  <c r="T10" i="147" s="1"/>
  <c r="U10" i="147" s="1"/>
  <c r="J18" i="132"/>
  <c r="J65" i="132"/>
  <c r="G97" i="132"/>
  <c r="M111" i="132"/>
  <c r="M112" i="132" s="1"/>
  <c r="J37" i="114"/>
  <c r="Q37" i="114" s="1"/>
  <c r="AN76" i="114"/>
  <c r="J33" i="114"/>
  <c r="Q33" i="114" s="1"/>
  <c r="AN72" i="114"/>
  <c r="K37" i="114"/>
  <c r="R37" i="114" s="1"/>
  <c r="AO76" i="114"/>
  <c r="J34" i="114"/>
  <c r="K34" i="114"/>
  <c r="J12" i="114"/>
  <c r="K12" i="114"/>
  <c r="K33" i="114"/>
  <c r="R33" i="114" s="1"/>
  <c r="AO72" i="114"/>
  <c r="J31" i="114"/>
  <c r="Q31" i="114" s="1"/>
  <c r="AN70" i="114"/>
  <c r="K31" i="114"/>
  <c r="R31" i="114" s="1"/>
  <c r="AO70" i="114"/>
  <c r="K32" i="114"/>
  <c r="J13" i="114"/>
  <c r="J32" i="114"/>
  <c r="K13" i="114"/>
  <c r="K19" i="114"/>
  <c r="J19" i="114"/>
  <c r="L26" i="114"/>
  <c r="L36" i="114"/>
  <c r="E8" i="114"/>
  <c r="AF47" i="114"/>
  <c r="J8" i="114" s="1"/>
  <c r="AG47" i="114"/>
  <c r="K8" i="114" s="1"/>
  <c r="J20" i="114"/>
  <c r="K16" i="114"/>
  <c r="J22" i="114"/>
  <c r="J10" i="114"/>
  <c r="J27" i="114"/>
  <c r="J14" i="114"/>
  <c r="J11" i="114"/>
  <c r="L17" i="114"/>
  <c r="K10" i="114"/>
  <c r="K20" i="114"/>
  <c r="K22" i="114"/>
  <c r="J18" i="114"/>
  <c r="E9" i="114"/>
  <c r="AG48" i="114"/>
  <c r="K9" i="114" s="1"/>
  <c r="AF48" i="114"/>
  <c r="J9" i="114" s="1"/>
  <c r="K14" i="114"/>
  <c r="L30" i="114"/>
  <c r="K11" i="114"/>
  <c r="J21" i="114"/>
  <c r="L28" i="114"/>
  <c r="Q28" i="114"/>
  <c r="S28" i="114" s="1"/>
  <c r="J25" i="114"/>
  <c r="K18" i="114"/>
  <c r="L35" i="114"/>
  <c r="Q35" i="114"/>
  <c r="S35" i="114" s="1"/>
  <c r="K25" i="114"/>
  <c r="L29" i="114"/>
  <c r="K21" i="114"/>
  <c r="J23" i="114"/>
  <c r="J16" i="114"/>
  <c r="L24" i="114"/>
  <c r="K27" i="114"/>
  <c r="K23" i="114"/>
  <c r="L15" i="114" l="1"/>
  <c r="D84" i="48"/>
  <c r="F84" i="48" s="1"/>
  <c r="D1059" i="48"/>
  <c r="F1059" i="48" s="1"/>
  <c r="D1870" i="48"/>
  <c r="F1870" i="48" s="1"/>
  <c r="G1870" i="48" s="1"/>
  <c r="D573" i="48"/>
  <c r="F573" i="48" s="1"/>
  <c r="D2680" i="48"/>
  <c r="F2680" i="48" s="1"/>
  <c r="G2680" i="48" s="1"/>
  <c r="D2842" i="48"/>
  <c r="F2842" i="48" s="1"/>
  <c r="G2842" i="48" s="1"/>
  <c r="D3004" i="48"/>
  <c r="F3004" i="48" s="1"/>
  <c r="G3004" i="48" s="1"/>
  <c r="D1546" i="48"/>
  <c r="F1546" i="48" s="1"/>
  <c r="G1546" i="48" s="1"/>
  <c r="D2194" i="48"/>
  <c r="F2194" i="48" s="1"/>
  <c r="G2194" i="48" s="1"/>
  <c r="D1383" i="48"/>
  <c r="F1383" i="48" s="1"/>
  <c r="G1383" i="48" s="1"/>
  <c r="D410" i="48"/>
  <c r="F410" i="48" s="1"/>
  <c r="D1708" i="48"/>
  <c r="F1708" i="48" s="1"/>
  <c r="G1708" i="48" s="1"/>
  <c r="D2032" i="48"/>
  <c r="F2032" i="48" s="1"/>
  <c r="G2032" i="48" s="1"/>
  <c r="D1221" i="48"/>
  <c r="F1221" i="48" s="1"/>
  <c r="G1221" i="48" s="1"/>
  <c r="D2518" i="48"/>
  <c r="F2518" i="48" s="1"/>
  <c r="G2518" i="48" s="1"/>
  <c r="D2356" i="48"/>
  <c r="F2356" i="48" s="1"/>
  <c r="G2356" i="48" s="1"/>
  <c r="D247" i="48"/>
  <c r="F247" i="48" s="1"/>
  <c r="D735" i="48"/>
  <c r="F735" i="48" s="1"/>
  <c r="D897" i="48"/>
  <c r="AO54" i="114"/>
  <c r="L12" i="114"/>
  <c r="L19" i="114"/>
  <c r="AN58" i="114"/>
  <c r="D2040" i="48" s="1"/>
  <c r="F2040" i="48" s="1"/>
  <c r="G2040" i="48" s="1"/>
  <c r="L33" i="114"/>
  <c r="L25" i="114"/>
  <c r="L34" i="114"/>
  <c r="L31" i="114"/>
  <c r="AN52" i="114"/>
  <c r="D406" i="48" s="1"/>
  <c r="F406" i="48" s="1"/>
  <c r="S33" i="114"/>
  <c r="L13" i="114"/>
  <c r="D2922" i="48"/>
  <c r="F2922" i="48" s="1"/>
  <c r="G2922" i="48" s="1"/>
  <c r="D490" i="48"/>
  <c r="F490" i="48" s="1"/>
  <c r="D2112" i="48"/>
  <c r="F2112" i="48" s="1"/>
  <c r="G2112" i="48" s="1"/>
  <c r="D1950" i="48"/>
  <c r="F1950" i="48" s="1"/>
  <c r="G1950" i="48" s="1"/>
  <c r="D1301" i="48"/>
  <c r="F1301" i="48" s="1"/>
  <c r="G1301" i="48" s="1"/>
  <c r="D1788" i="48"/>
  <c r="F1788" i="48" s="1"/>
  <c r="G1788" i="48" s="1"/>
  <c r="D164" i="48"/>
  <c r="F164" i="48" s="1"/>
  <c r="D2598" i="48"/>
  <c r="F2598" i="48" s="1"/>
  <c r="G2598" i="48" s="1"/>
  <c r="D2436" i="48"/>
  <c r="F2436" i="48" s="1"/>
  <c r="G2436" i="48" s="1"/>
  <c r="D1464" i="48"/>
  <c r="F1464" i="48" s="1"/>
  <c r="G1464" i="48" s="1"/>
  <c r="D653" i="48"/>
  <c r="F653" i="48" s="1"/>
  <c r="D2760" i="48"/>
  <c r="F2760" i="48" s="1"/>
  <c r="G2760" i="48" s="1"/>
  <c r="D327" i="48"/>
  <c r="F327" i="48" s="1"/>
  <c r="D1139" i="48"/>
  <c r="F1139" i="48" s="1"/>
  <c r="D977" i="48"/>
  <c r="F977" i="48" s="1"/>
  <c r="D1626" i="48"/>
  <c r="F1626" i="48" s="1"/>
  <c r="G1626" i="48" s="1"/>
  <c r="D815" i="48"/>
  <c r="F815" i="48" s="1"/>
  <c r="D3084" i="48"/>
  <c r="F3084" i="48" s="1"/>
  <c r="G3084" i="48" s="1"/>
  <c r="D2274" i="48"/>
  <c r="F2274" i="48" s="1"/>
  <c r="G2274" i="48" s="1"/>
  <c r="AN73" i="114"/>
  <c r="AO51" i="114"/>
  <c r="D657" i="48"/>
  <c r="F657" i="48" s="1"/>
  <c r="D1954" i="48"/>
  <c r="F1954" i="48" s="1"/>
  <c r="G1954" i="48" s="1"/>
  <c r="D2116" i="48"/>
  <c r="F2116" i="48" s="1"/>
  <c r="G2116" i="48" s="1"/>
  <c r="D494" i="48"/>
  <c r="F494" i="48" s="1"/>
  <c r="D1468" i="48"/>
  <c r="F1468" i="48" s="1"/>
  <c r="G1468" i="48" s="1"/>
  <c r="D1143" i="48"/>
  <c r="F1143" i="48" s="1"/>
  <c r="D2764" i="48"/>
  <c r="F2764" i="48" s="1"/>
  <c r="G2764" i="48" s="1"/>
  <c r="D331" i="48"/>
  <c r="F331" i="48" s="1"/>
  <c r="D981" i="48"/>
  <c r="F981" i="48" s="1"/>
  <c r="D2440" i="48"/>
  <c r="F2440" i="48" s="1"/>
  <c r="G2440" i="48" s="1"/>
  <c r="D2926" i="48"/>
  <c r="F2926" i="48" s="1"/>
  <c r="G2926" i="48" s="1"/>
  <c r="D168" i="48"/>
  <c r="F168" i="48" s="1"/>
  <c r="D1792" i="48"/>
  <c r="F1792" i="48" s="1"/>
  <c r="G1792" i="48" s="1"/>
  <c r="D1630" i="48"/>
  <c r="F1630" i="48" s="1"/>
  <c r="G1630" i="48" s="1"/>
  <c r="D1305" i="48"/>
  <c r="F1305" i="48" s="1"/>
  <c r="G1305" i="48" s="1"/>
  <c r="D2278" i="48"/>
  <c r="F2278" i="48" s="1"/>
  <c r="G2278" i="48" s="1"/>
  <c r="D2602" i="48"/>
  <c r="F2602" i="48" s="1"/>
  <c r="G2602" i="48" s="1"/>
  <c r="D819" i="48"/>
  <c r="F819" i="48" s="1"/>
  <c r="D3088" i="48"/>
  <c r="F3088" i="48" s="1"/>
  <c r="G3088" i="48" s="1"/>
  <c r="D1898" i="48"/>
  <c r="F1898" i="48" s="1"/>
  <c r="G1898" i="48" s="1"/>
  <c r="D1249" i="48"/>
  <c r="F1249" i="48" s="1"/>
  <c r="G1249" i="48" s="1"/>
  <c r="D2222" i="48"/>
  <c r="F2222" i="48" s="1"/>
  <c r="G2222" i="48" s="1"/>
  <c r="D1736" i="48"/>
  <c r="F1736" i="48" s="1"/>
  <c r="G1736" i="48" s="1"/>
  <c r="D112" i="48"/>
  <c r="F112" i="48" s="1"/>
  <c r="D3032" i="48"/>
  <c r="F3032" i="48" s="1"/>
  <c r="G3032" i="48" s="1"/>
  <c r="D2546" i="48"/>
  <c r="F2546" i="48" s="1"/>
  <c r="G2546" i="48" s="1"/>
  <c r="D2384" i="48"/>
  <c r="F2384" i="48" s="1"/>
  <c r="G2384" i="48" s="1"/>
  <c r="D2060" i="48"/>
  <c r="F2060" i="48" s="1"/>
  <c r="G2060" i="48" s="1"/>
  <c r="D438" i="48"/>
  <c r="F438" i="48" s="1"/>
  <c r="D1411" i="48"/>
  <c r="F1411" i="48" s="1"/>
  <c r="G1411" i="48" s="1"/>
  <c r="D601" i="48"/>
  <c r="F601" i="48" s="1"/>
  <c r="D2708" i="48"/>
  <c r="F2708" i="48" s="1"/>
  <c r="G2708" i="48" s="1"/>
  <c r="D275" i="48"/>
  <c r="F275" i="48" s="1"/>
  <c r="D2870" i="48"/>
  <c r="F2870" i="48" s="1"/>
  <c r="G2870" i="48" s="1"/>
  <c r="D763" i="48"/>
  <c r="F763" i="48" s="1"/>
  <c r="D1574" i="48"/>
  <c r="F1574" i="48" s="1"/>
  <c r="G1574" i="48" s="1"/>
  <c r="D925" i="48"/>
  <c r="D1087" i="48"/>
  <c r="AO73" i="114"/>
  <c r="D2879" i="48"/>
  <c r="F2879" i="48" s="1"/>
  <c r="G2879" i="48" s="1"/>
  <c r="D121" i="48"/>
  <c r="F121" i="48" s="1"/>
  <c r="D3041" i="48"/>
  <c r="F3041" i="48" s="1"/>
  <c r="G3041" i="48" s="1"/>
  <c r="D1745" i="48"/>
  <c r="F1745" i="48" s="1"/>
  <c r="G1745" i="48" s="1"/>
  <c r="D1096" i="48"/>
  <c r="D2069" i="48"/>
  <c r="F2069" i="48" s="1"/>
  <c r="G2069" i="48" s="1"/>
  <c r="D1258" i="48"/>
  <c r="F1258" i="48" s="1"/>
  <c r="G1258" i="48" s="1"/>
  <c r="D1583" i="48"/>
  <c r="F1583" i="48" s="1"/>
  <c r="G1583" i="48" s="1"/>
  <c r="D2231" i="48"/>
  <c r="F2231" i="48" s="1"/>
  <c r="G2231" i="48" s="1"/>
  <c r="D934" i="48"/>
  <c r="F934" i="48" s="1"/>
  <c r="D772" i="48"/>
  <c r="F772" i="48" s="1"/>
  <c r="D2555" i="48"/>
  <c r="F2555" i="48" s="1"/>
  <c r="G2555" i="48" s="1"/>
  <c r="D2717" i="48"/>
  <c r="F2717" i="48" s="1"/>
  <c r="G2717" i="48" s="1"/>
  <c r="D2393" i="48"/>
  <c r="F2393" i="48" s="1"/>
  <c r="G2393" i="48" s="1"/>
  <c r="D284" i="48"/>
  <c r="F284" i="48" s="1"/>
  <c r="D1907" i="48"/>
  <c r="F1907" i="48" s="1"/>
  <c r="G1907" i="48" s="1"/>
  <c r="D610" i="48"/>
  <c r="F610" i="48" s="1"/>
  <c r="D1420" i="48"/>
  <c r="F1420" i="48" s="1"/>
  <c r="G1420" i="48" s="1"/>
  <c r="D447" i="48"/>
  <c r="F447" i="48" s="1"/>
  <c r="AN51" i="114"/>
  <c r="S37" i="114"/>
  <c r="L37" i="114"/>
  <c r="L32" i="114"/>
  <c r="AO52" i="114"/>
  <c r="AN71" i="114"/>
  <c r="AO71" i="114"/>
  <c r="D651" i="48"/>
  <c r="F651" i="48" s="1"/>
  <c r="D1786" i="48"/>
  <c r="F1786" i="48" s="1"/>
  <c r="G1786" i="48" s="1"/>
  <c r="D488" i="48"/>
  <c r="F488" i="48" s="1"/>
  <c r="D1299" i="48"/>
  <c r="F1299" i="48" s="1"/>
  <c r="G1299" i="48" s="1"/>
  <c r="D3082" i="48"/>
  <c r="F3082" i="48" s="1"/>
  <c r="G3082" i="48" s="1"/>
  <c r="D162" i="48"/>
  <c r="F162" i="48" s="1"/>
  <c r="D1624" i="48"/>
  <c r="F1624" i="48" s="1"/>
  <c r="G1624" i="48" s="1"/>
  <c r="D325" i="48"/>
  <c r="F325" i="48" s="1"/>
  <c r="D2110" i="48"/>
  <c r="F2110" i="48" s="1"/>
  <c r="G2110" i="48" s="1"/>
  <c r="D975" i="48"/>
  <c r="F975" i="48" s="1"/>
  <c r="D2434" i="48"/>
  <c r="F2434" i="48" s="1"/>
  <c r="G2434" i="48" s="1"/>
  <c r="D1137" i="48"/>
  <c r="F1137" i="48" s="1"/>
  <c r="D2272" i="48"/>
  <c r="F2272" i="48" s="1"/>
  <c r="G2272" i="48" s="1"/>
  <c r="D1462" i="48"/>
  <c r="F1462" i="48" s="1"/>
  <c r="G1462" i="48" s="1"/>
  <c r="D2758" i="48"/>
  <c r="F2758" i="48" s="1"/>
  <c r="G2758" i="48" s="1"/>
  <c r="D2920" i="48"/>
  <c r="F2920" i="48" s="1"/>
  <c r="G2920" i="48" s="1"/>
  <c r="D2596" i="48"/>
  <c r="F2596" i="48" s="1"/>
  <c r="G2596" i="48" s="1"/>
  <c r="D1948" i="48"/>
  <c r="F1948" i="48" s="1"/>
  <c r="G1948" i="48" s="1"/>
  <c r="D813" i="48"/>
  <c r="F813" i="48" s="1"/>
  <c r="D1407" i="48"/>
  <c r="F1407" i="48" s="1"/>
  <c r="G1407" i="48" s="1"/>
  <c r="D2704" i="48"/>
  <c r="F2704" i="48" s="1"/>
  <c r="G2704" i="48" s="1"/>
  <c r="D2380" i="48"/>
  <c r="F2380" i="48" s="1"/>
  <c r="G2380" i="48" s="1"/>
  <c r="D2866" i="48"/>
  <c r="F2866" i="48" s="1"/>
  <c r="G2866" i="48" s="1"/>
  <c r="D1245" i="48"/>
  <c r="F1245" i="48" s="1"/>
  <c r="G1245" i="48" s="1"/>
  <c r="D2218" i="48"/>
  <c r="F2218" i="48" s="1"/>
  <c r="G2218" i="48" s="1"/>
  <c r="D1894" i="48"/>
  <c r="F1894" i="48" s="1"/>
  <c r="G1894" i="48" s="1"/>
  <c r="D921" i="48"/>
  <c r="D2056" i="48"/>
  <c r="F2056" i="48" s="1"/>
  <c r="G2056" i="48" s="1"/>
  <c r="D759" i="48"/>
  <c r="F759" i="48" s="1"/>
  <c r="D2542" i="48"/>
  <c r="F2542" i="48" s="1"/>
  <c r="G2542" i="48" s="1"/>
  <c r="D1083" i="48"/>
  <c r="F1083" i="48" s="1"/>
  <c r="D597" i="48"/>
  <c r="F597" i="48" s="1"/>
  <c r="D1732" i="48"/>
  <c r="F1732" i="48" s="1"/>
  <c r="G1732" i="48" s="1"/>
  <c r="D1570" i="48"/>
  <c r="F1570" i="48" s="1"/>
  <c r="G1570" i="48" s="1"/>
  <c r="D434" i="48"/>
  <c r="F434" i="48" s="1"/>
  <c r="D108" i="48"/>
  <c r="D271" i="48"/>
  <c r="F271" i="48" s="1"/>
  <c r="D3028" i="48"/>
  <c r="F3028" i="48" s="1"/>
  <c r="G3028" i="48" s="1"/>
  <c r="S31" i="114"/>
  <c r="AO58" i="114"/>
  <c r="L23" i="114"/>
  <c r="L20" i="114"/>
  <c r="AO66" i="114"/>
  <c r="D1633" i="48" s="1"/>
  <c r="F1633" i="48" s="1"/>
  <c r="G1633" i="48" s="1"/>
  <c r="AO57" i="114"/>
  <c r="D804" i="48" s="1"/>
  <c r="F804" i="48" s="1"/>
  <c r="AN60" i="114"/>
  <c r="D2852" i="48" s="1"/>
  <c r="F2852" i="48" s="1"/>
  <c r="G2852" i="48" s="1"/>
  <c r="AO60" i="114"/>
  <c r="D968" i="48" s="1"/>
  <c r="F968" i="48" s="1"/>
  <c r="AN49" i="114"/>
  <c r="D2994" i="48" s="1"/>
  <c r="F2994" i="48" s="1"/>
  <c r="G2994" i="48" s="1"/>
  <c r="AO49" i="114"/>
  <c r="D2903" i="48" s="1"/>
  <c r="F2903" i="48" s="1"/>
  <c r="G2903" i="48" s="1"/>
  <c r="AN55" i="114"/>
  <c r="D1710" i="48" s="1"/>
  <c r="F1710" i="48" s="1"/>
  <c r="G1710" i="48" s="1"/>
  <c r="AN57" i="114"/>
  <c r="D90" i="48" s="1"/>
  <c r="F90" i="48" s="1"/>
  <c r="AN50" i="114"/>
  <c r="D2996" i="48" s="1"/>
  <c r="F2996" i="48" s="1"/>
  <c r="G2996" i="48" s="1"/>
  <c r="L16" i="114"/>
  <c r="AO55" i="114"/>
  <c r="D802" i="48" s="1"/>
  <c r="F802" i="48" s="1"/>
  <c r="L9" i="114"/>
  <c r="Q29" i="114"/>
  <c r="Q22" i="114"/>
  <c r="Q17" i="114"/>
  <c r="Q34" i="114"/>
  <c r="Q12" i="114"/>
  <c r="Q20" i="114"/>
  <c r="Q27" i="114"/>
  <c r="Q25" i="114"/>
  <c r="Q30" i="114"/>
  <c r="Q23" i="114"/>
  <c r="Q36" i="114"/>
  <c r="AN66" i="114"/>
  <c r="R12" i="114"/>
  <c r="R30" i="114"/>
  <c r="R27" i="114"/>
  <c r="R24" i="114"/>
  <c r="R34" i="114"/>
  <c r="R25" i="114"/>
  <c r="R23" i="114"/>
  <c r="R36" i="114"/>
  <c r="R17" i="114"/>
  <c r="R20" i="114"/>
  <c r="R22" i="114"/>
  <c r="L27" i="114"/>
  <c r="AN59" i="114"/>
  <c r="L18" i="114"/>
  <c r="R15" i="114"/>
  <c r="R18" i="114"/>
  <c r="R16" i="114"/>
  <c r="R10" i="114"/>
  <c r="R14" i="114"/>
  <c r="R26" i="114"/>
  <c r="R29" i="114"/>
  <c r="R19" i="114"/>
  <c r="R11" i="114"/>
  <c r="R32" i="114"/>
  <c r="R13" i="114"/>
  <c r="R21" i="114"/>
  <c r="AO64" i="114"/>
  <c r="L21" i="114"/>
  <c r="AO61" i="114"/>
  <c r="L11" i="114"/>
  <c r="L10" i="114"/>
  <c r="Q15" i="114"/>
  <c r="Q21" i="114"/>
  <c r="Q24" i="114"/>
  <c r="Q18" i="114"/>
  <c r="L8" i="114"/>
  <c r="Q32" i="114"/>
  <c r="Q11" i="114"/>
  <c r="Q14" i="114"/>
  <c r="Q26" i="114"/>
  <c r="Q16" i="114"/>
  <c r="Q19" i="114"/>
  <c r="Q13" i="114"/>
  <c r="Q10" i="114"/>
  <c r="AO53" i="114"/>
  <c r="AN53" i="114"/>
  <c r="AN61" i="114"/>
  <c r="AO62" i="114"/>
  <c r="AN62" i="114"/>
  <c r="AN64" i="114"/>
  <c r="AO50" i="114"/>
  <c r="AO59" i="114"/>
  <c r="L14" i="114"/>
  <c r="L22" i="114"/>
  <c r="F921" i="48" l="1"/>
  <c r="H83" i="124"/>
  <c r="J83" i="124" s="1"/>
  <c r="F925" i="48"/>
  <c r="H85" i="124"/>
  <c r="J85" i="124" s="1"/>
  <c r="F897" i="48"/>
  <c r="H23" i="124"/>
  <c r="J23" i="124" s="1"/>
  <c r="D150" i="48"/>
  <c r="F150" i="48" s="1"/>
  <c r="D2422" i="48"/>
  <c r="F2422" i="48" s="1"/>
  <c r="G2422" i="48" s="1"/>
  <c r="D1287" i="48"/>
  <c r="F1287" i="48" s="1"/>
  <c r="G1287" i="48" s="1"/>
  <c r="D639" i="48"/>
  <c r="F639" i="48" s="1"/>
  <c r="D1450" i="48"/>
  <c r="F1450" i="48" s="1"/>
  <c r="G1450" i="48" s="1"/>
  <c r="D1612" i="48"/>
  <c r="F1612" i="48" s="1"/>
  <c r="G1612" i="48" s="1"/>
  <c r="D2098" i="48"/>
  <c r="F2098" i="48" s="1"/>
  <c r="G2098" i="48" s="1"/>
  <c r="D2746" i="48"/>
  <c r="F2746" i="48" s="1"/>
  <c r="G2746" i="48" s="1"/>
  <c r="D476" i="48"/>
  <c r="F476" i="48" s="1"/>
  <c r="D2260" i="48"/>
  <c r="F2260" i="48" s="1"/>
  <c r="G2260" i="48" s="1"/>
  <c r="D1774" i="48"/>
  <c r="F1774" i="48" s="1"/>
  <c r="G1774" i="48" s="1"/>
  <c r="D2908" i="48"/>
  <c r="F2908" i="48" s="1"/>
  <c r="G2908" i="48" s="1"/>
  <c r="D3070" i="48"/>
  <c r="F3070" i="48" s="1"/>
  <c r="G3070" i="48" s="1"/>
  <c r="D963" i="48"/>
  <c r="F963" i="48" s="1"/>
  <c r="D1936" i="48"/>
  <c r="F1936" i="48" s="1"/>
  <c r="G1936" i="48" s="1"/>
  <c r="D2584" i="48"/>
  <c r="F2584" i="48" s="1"/>
  <c r="G2584" i="48" s="1"/>
  <c r="D313" i="48"/>
  <c r="F313" i="48" s="1"/>
  <c r="D1125" i="48"/>
  <c r="F1125" i="48" s="1"/>
  <c r="D801" i="48"/>
  <c r="F801" i="48" s="1"/>
  <c r="D1067" i="48"/>
  <c r="F1067" i="48" s="1"/>
  <c r="D743" i="48"/>
  <c r="F743" i="48" s="1"/>
  <c r="D1229" i="48"/>
  <c r="F1229" i="48" s="1"/>
  <c r="G1229" i="48" s="1"/>
  <c r="D2850" i="48"/>
  <c r="F2850" i="48" s="1"/>
  <c r="G2850" i="48" s="1"/>
  <c r="D2526" i="48"/>
  <c r="F2526" i="48" s="1"/>
  <c r="G2526" i="48" s="1"/>
  <c r="D418" i="48"/>
  <c r="F418" i="48" s="1"/>
  <c r="D92" i="48"/>
  <c r="F92" i="48" s="1"/>
  <c r="D2364" i="48"/>
  <c r="F2364" i="48" s="1"/>
  <c r="G2364" i="48" s="1"/>
  <c r="S21" i="114"/>
  <c r="S11" i="114"/>
  <c r="D581" i="48"/>
  <c r="F581" i="48" s="1"/>
  <c r="D1878" i="48"/>
  <c r="F1878" i="48" s="1"/>
  <c r="G1878" i="48" s="1"/>
  <c r="D3012" i="48"/>
  <c r="F3012" i="48" s="1"/>
  <c r="G3012" i="48" s="1"/>
  <c r="D1554" i="48"/>
  <c r="F1554" i="48" s="1"/>
  <c r="G1554" i="48" s="1"/>
  <c r="D1391" i="48"/>
  <c r="F1391" i="48" s="1"/>
  <c r="G1391" i="48" s="1"/>
  <c r="D2202" i="48"/>
  <c r="F2202" i="48" s="1"/>
  <c r="G2202" i="48" s="1"/>
  <c r="D905" i="48"/>
  <c r="F905" i="48" s="1"/>
  <c r="D2688" i="48"/>
  <c r="F2688" i="48" s="1"/>
  <c r="G2688" i="48" s="1"/>
  <c r="D255" i="48"/>
  <c r="H28" i="119" s="1"/>
  <c r="J28" i="119" s="1"/>
  <c r="D1716" i="48"/>
  <c r="F1716" i="48" s="1"/>
  <c r="G1716" i="48" s="1"/>
  <c r="D893" i="48"/>
  <c r="F893" i="48" s="1"/>
  <c r="D1866" i="48"/>
  <c r="F1866" i="48" s="1"/>
  <c r="G1866" i="48" s="1"/>
  <c r="D2676" i="48"/>
  <c r="F2676" i="48" s="1"/>
  <c r="G2676" i="48" s="1"/>
  <c r="D1217" i="48"/>
  <c r="F1217" i="48" s="1"/>
  <c r="G1217" i="48" s="1"/>
  <c r="D569" i="48"/>
  <c r="F569" i="48" s="1"/>
  <c r="D2352" i="48"/>
  <c r="F2352" i="48" s="1"/>
  <c r="G2352" i="48" s="1"/>
  <c r="D1542" i="48"/>
  <c r="F1542" i="48" s="1"/>
  <c r="G1542" i="48" s="1"/>
  <c r="D731" i="48"/>
  <c r="F731" i="48" s="1"/>
  <c r="D1055" i="48"/>
  <c r="F1055" i="48" s="1"/>
  <c r="D80" i="48"/>
  <c r="F80" i="48" s="1"/>
  <c r="D3000" i="48"/>
  <c r="F3000" i="48" s="1"/>
  <c r="G3000" i="48" s="1"/>
  <c r="D2190" i="48"/>
  <c r="F2190" i="48" s="1"/>
  <c r="G2190" i="48" s="1"/>
  <c r="D243" i="48"/>
  <c r="F243" i="48" s="1"/>
  <c r="D2514" i="48"/>
  <c r="F2514" i="48" s="1"/>
  <c r="G2514" i="48" s="1"/>
  <c r="D2838" i="48"/>
  <c r="F2838" i="48" s="1"/>
  <c r="G2838" i="48" s="1"/>
  <c r="D1704" i="48"/>
  <c r="F1704" i="48" s="1"/>
  <c r="G1704" i="48" s="1"/>
  <c r="D1379" i="48"/>
  <c r="F1379" i="48" s="1"/>
  <c r="G1379" i="48" s="1"/>
  <c r="D2028" i="48"/>
  <c r="F2028" i="48" s="1"/>
  <c r="G2028" i="48" s="1"/>
  <c r="D1385" i="48"/>
  <c r="F1385" i="48" s="1"/>
  <c r="G1385" i="48" s="1"/>
  <c r="D2512" i="48"/>
  <c r="F2512" i="48" s="1"/>
  <c r="G2512" i="48" s="1"/>
  <c r="D241" i="48"/>
  <c r="F241" i="48" s="1"/>
  <c r="D1864" i="48"/>
  <c r="F1864" i="48" s="1"/>
  <c r="G1864" i="48" s="1"/>
  <c r="D78" i="48"/>
  <c r="F78" i="48" s="1"/>
  <c r="D2836" i="48"/>
  <c r="F2836" i="48" s="1"/>
  <c r="G2836" i="48" s="1"/>
  <c r="D2026" i="48"/>
  <c r="F2026" i="48" s="1"/>
  <c r="G2026" i="48" s="1"/>
  <c r="D404" i="48"/>
  <c r="F404" i="48" s="1"/>
  <c r="D2674" i="48"/>
  <c r="F2674" i="48" s="1"/>
  <c r="G2674" i="48" s="1"/>
  <c r="D1215" i="48"/>
  <c r="F1215" i="48" s="1"/>
  <c r="G1215" i="48" s="1"/>
  <c r="D1702" i="48"/>
  <c r="F1702" i="48" s="1"/>
  <c r="G1702" i="48" s="1"/>
  <c r="D1377" i="48"/>
  <c r="F1377" i="48" s="1"/>
  <c r="G1377" i="48" s="1"/>
  <c r="D729" i="48"/>
  <c r="F729" i="48" s="1"/>
  <c r="D2998" i="48"/>
  <c r="F2998" i="48" s="1"/>
  <c r="G2998" i="48" s="1"/>
  <c r="D567" i="48"/>
  <c r="F567" i="48" s="1"/>
  <c r="D2350" i="48"/>
  <c r="F2350" i="48" s="1"/>
  <c r="G2350" i="48" s="1"/>
  <c r="D2188" i="48"/>
  <c r="F2188" i="48" s="1"/>
  <c r="G2188" i="48" s="1"/>
  <c r="D1540" i="48"/>
  <c r="F1540" i="48" s="1"/>
  <c r="G1540" i="48" s="1"/>
  <c r="D891" i="48"/>
  <c r="D1053" i="48"/>
  <c r="D737" i="48"/>
  <c r="F737" i="48" s="1"/>
  <c r="H21" i="123"/>
  <c r="J21" i="123" s="1"/>
  <c r="D2358" i="48"/>
  <c r="F2358" i="48" s="1"/>
  <c r="G2358" i="48" s="1"/>
  <c r="D2923" i="48"/>
  <c r="F2923" i="48" s="1"/>
  <c r="G2923" i="48" s="1"/>
  <c r="D816" i="48"/>
  <c r="F816" i="48" s="1"/>
  <c r="D1465" i="48"/>
  <c r="F1465" i="48" s="1"/>
  <c r="G1465" i="48" s="1"/>
  <c r="D328" i="48"/>
  <c r="F328" i="48" s="1"/>
  <c r="D978" i="48"/>
  <c r="F978" i="48" s="1"/>
  <c r="D2599" i="48"/>
  <c r="F2599" i="48" s="1"/>
  <c r="G2599" i="48" s="1"/>
  <c r="D1789" i="48"/>
  <c r="F1789" i="48" s="1"/>
  <c r="G1789" i="48" s="1"/>
  <c r="D2437" i="48"/>
  <c r="F2437" i="48" s="1"/>
  <c r="G2437" i="48" s="1"/>
  <c r="D2113" i="48"/>
  <c r="F2113" i="48" s="1"/>
  <c r="G2113" i="48" s="1"/>
  <c r="D2761" i="48"/>
  <c r="F2761" i="48" s="1"/>
  <c r="G2761" i="48" s="1"/>
  <c r="D165" i="48"/>
  <c r="F165" i="48" s="1"/>
  <c r="D1627" i="48"/>
  <c r="F1627" i="48" s="1"/>
  <c r="G1627" i="48" s="1"/>
  <c r="D654" i="48"/>
  <c r="F654" i="48" s="1"/>
  <c r="D3085" i="48"/>
  <c r="F3085" i="48" s="1"/>
  <c r="G3085" i="48" s="1"/>
  <c r="D1302" i="48"/>
  <c r="F1302" i="48" s="1"/>
  <c r="G1302" i="48" s="1"/>
  <c r="D491" i="48"/>
  <c r="F491" i="48" s="1"/>
  <c r="D2275" i="48"/>
  <c r="F2275" i="48" s="1"/>
  <c r="G2275" i="48" s="1"/>
  <c r="D1140" i="48"/>
  <c r="F1140" i="48" s="1"/>
  <c r="D1951" i="48"/>
  <c r="F1951" i="48" s="1"/>
  <c r="G1951" i="48" s="1"/>
  <c r="D1251" i="48"/>
  <c r="F1251" i="48" s="1"/>
  <c r="G1251" i="48" s="1"/>
  <c r="D277" i="48"/>
  <c r="F277" i="48" s="1"/>
  <c r="D2548" i="48"/>
  <c r="F2548" i="48" s="1"/>
  <c r="G2548" i="48" s="1"/>
  <c r="D1576" i="48"/>
  <c r="F1576" i="48" s="1"/>
  <c r="G1576" i="48" s="1"/>
  <c r="D114" i="48"/>
  <c r="F114" i="48" s="1"/>
  <c r="D1413" i="48"/>
  <c r="F1413" i="48" s="1"/>
  <c r="G1413" i="48" s="1"/>
  <c r="D1900" i="48"/>
  <c r="F1900" i="48" s="1"/>
  <c r="G1900" i="48" s="1"/>
  <c r="D2872" i="48"/>
  <c r="F2872" i="48" s="1"/>
  <c r="G2872" i="48" s="1"/>
  <c r="D765" i="48"/>
  <c r="F765" i="48" s="1"/>
  <c r="D927" i="48"/>
  <c r="F927" i="48" s="1"/>
  <c r="D1738" i="48"/>
  <c r="F1738" i="48" s="1"/>
  <c r="G1738" i="48" s="1"/>
  <c r="D2224" i="48"/>
  <c r="F2224" i="48" s="1"/>
  <c r="G2224" i="48" s="1"/>
  <c r="D2710" i="48"/>
  <c r="F2710" i="48" s="1"/>
  <c r="G2710" i="48" s="1"/>
  <c r="D440" i="48"/>
  <c r="F440" i="48" s="1"/>
  <c r="D603" i="48"/>
  <c r="F603" i="48" s="1"/>
  <c r="D2062" i="48"/>
  <c r="F2062" i="48" s="1"/>
  <c r="G2062" i="48" s="1"/>
  <c r="D1089" i="48"/>
  <c r="D2386" i="48"/>
  <c r="F2386" i="48" s="1"/>
  <c r="G2386" i="48" s="1"/>
  <c r="D3034" i="48"/>
  <c r="F3034" i="48" s="1"/>
  <c r="G3034" i="48" s="1"/>
  <c r="D2905" i="48"/>
  <c r="F2905" i="48" s="1"/>
  <c r="G2905" i="48" s="1"/>
  <c r="D2743" i="48"/>
  <c r="F2743" i="48" s="1"/>
  <c r="G2743" i="48" s="1"/>
  <c r="D2257" i="48"/>
  <c r="F2257" i="48" s="1"/>
  <c r="G2257" i="48" s="1"/>
  <c r="D1609" i="48"/>
  <c r="F1609" i="48" s="1"/>
  <c r="G1609" i="48" s="1"/>
  <c r="D2581" i="48"/>
  <c r="F2581" i="48" s="1"/>
  <c r="G2581" i="48" s="1"/>
  <c r="D3067" i="48"/>
  <c r="F3067" i="48" s="1"/>
  <c r="G3067" i="48" s="1"/>
  <c r="D636" i="48"/>
  <c r="F636" i="48" s="1"/>
  <c r="D1933" i="48"/>
  <c r="F1933" i="48" s="1"/>
  <c r="G1933" i="48" s="1"/>
  <c r="D2095" i="48"/>
  <c r="F2095" i="48" s="1"/>
  <c r="G2095" i="48" s="1"/>
  <c r="D1122" i="48"/>
  <c r="F1122" i="48" s="1"/>
  <c r="D473" i="48"/>
  <c r="F473" i="48" s="1"/>
  <c r="D1771" i="48"/>
  <c r="F1771" i="48" s="1"/>
  <c r="G1771" i="48" s="1"/>
  <c r="D798" i="48"/>
  <c r="F798" i="48" s="1"/>
  <c r="D960" i="48"/>
  <c r="F960" i="48" s="1"/>
  <c r="D1284" i="48"/>
  <c r="F1284" i="48" s="1"/>
  <c r="G1284" i="48" s="1"/>
  <c r="D147" i="48"/>
  <c r="F147" i="48" s="1"/>
  <c r="D310" i="48"/>
  <c r="F310" i="48" s="1"/>
  <c r="D2419" i="48"/>
  <c r="F2419" i="48" s="1"/>
  <c r="G2419" i="48" s="1"/>
  <c r="D1447" i="48"/>
  <c r="F1447" i="48" s="1"/>
  <c r="G1447" i="48" s="1"/>
  <c r="F1087" i="48"/>
  <c r="H85" i="125"/>
  <c r="J85" i="125" s="1"/>
  <c r="D412" i="48"/>
  <c r="F412" i="48" s="1"/>
  <c r="F1096" i="48"/>
  <c r="H90" i="125"/>
  <c r="J90" i="125" s="1"/>
  <c r="D2111" i="48"/>
  <c r="F2111" i="48" s="1"/>
  <c r="G2111" i="48" s="1"/>
  <c r="D2921" i="48"/>
  <c r="F2921" i="48" s="1"/>
  <c r="G2921" i="48" s="1"/>
  <c r="D2597" i="48"/>
  <c r="F2597" i="48" s="1"/>
  <c r="G2597" i="48" s="1"/>
  <c r="D163" i="48"/>
  <c r="F163" i="48" s="1"/>
  <c r="D1949" i="48"/>
  <c r="F1949" i="48" s="1"/>
  <c r="G1949" i="48" s="1"/>
  <c r="D652" i="48"/>
  <c r="F652" i="48" s="1"/>
  <c r="D1463" i="48"/>
  <c r="F1463" i="48" s="1"/>
  <c r="G1463" i="48" s="1"/>
  <c r="D326" i="48"/>
  <c r="F326" i="48" s="1"/>
  <c r="D489" i="48"/>
  <c r="F489" i="48" s="1"/>
  <c r="D1625" i="48"/>
  <c r="F1625" i="48" s="1"/>
  <c r="G1625" i="48" s="1"/>
  <c r="D1787" i="48"/>
  <c r="F1787" i="48" s="1"/>
  <c r="G1787" i="48" s="1"/>
  <c r="D3083" i="48"/>
  <c r="F3083" i="48" s="1"/>
  <c r="G3083" i="48" s="1"/>
  <c r="D2273" i="48"/>
  <c r="F2273" i="48" s="1"/>
  <c r="G2273" i="48" s="1"/>
  <c r="D976" i="48"/>
  <c r="F976" i="48" s="1"/>
  <c r="D1300" i="48"/>
  <c r="F1300" i="48" s="1"/>
  <c r="G1300" i="48" s="1"/>
  <c r="D1138" i="48"/>
  <c r="F1138" i="48" s="1"/>
  <c r="D814" i="48"/>
  <c r="F814" i="48" s="1"/>
  <c r="D2759" i="48"/>
  <c r="F2759" i="48" s="1"/>
  <c r="G2759" i="48" s="1"/>
  <c r="D2435" i="48"/>
  <c r="F2435" i="48" s="1"/>
  <c r="G2435" i="48" s="1"/>
  <c r="H21" i="111"/>
  <c r="J21" i="111" s="1"/>
  <c r="F108" i="48"/>
  <c r="H83" i="111"/>
  <c r="J83" i="111" s="1"/>
  <c r="D110" i="48"/>
  <c r="D599" i="48"/>
  <c r="F599" i="48" s="1"/>
  <c r="D2058" i="48"/>
  <c r="F2058" i="48" s="1"/>
  <c r="G2058" i="48" s="1"/>
  <c r="D3030" i="48"/>
  <c r="F3030" i="48" s="1"/>
  <c r="G3030" i="48" s="1"/>
  <c r="D2868" i="48"/>
  <c r="F2868" i="48" s="1"/>
  <c r="G2868" i="48" s="1"/>
  <c r="D1896" i="48"/>
  <c r="F1896" i="48" s="1"/>
  <c r="G1896" i="48" s="1"/>
  <c r="D2706" i="48"/>
  <c r="F2706" i="48" s="1"/>
  <c r="G2706" i="48" s="1"/>
  <c r="D2544" i="48"/>
  <c r="F2544" i="48" s="1"/>
  <c r="G2544" i="48" s="1"/>
  <c r="D2220" i="48"/>
  <c r="F2220" i="48" s="1"/>
  <c r="G2220" i="48" s="1"/>
  <c r="D1734" i="48"/>
  <c r="F1734" i="48" s="1"/>
  <c r="G1734" i="48" s="1"/>
  <c r="D273" i="48"/>
  <c r="F273" i="48" s="1"/>
  <c r="D1572" i="48"/>
  <c r="F1572" i="48" s="1"/>
  <c r="G1572" i="48" s="1"/>
  <c r="D436" i="48"/>
  <c r="F436" i="48" s="1"/>
  <c r="D2382" i="48"/>
  <c r="F2382" i="48" s="1"/>
  <c r="G2382" i="48" s="1"/>
  <c r="D1247" i="48"/>
  <c r="F1247" i="48" s="1"/>
  <c r="G1247" i="48" s="1"/>
  <c r="D923" i="48"/>
  <c r="D761" i="48"/>
  <c r="F761" i="48" s="1"/>
  <c r="D1085" i="48"/>
  <c r="F1085" i="48" s="1"/>
  <c r="D1409" i="48"/>
  <c r="F1409" i="48" s="1"/>
  <c r="G1409" i="48" s="1"/>
  <c r="D1285" i="48"/>
  <c r="F1285" i="48" s="1"/>
  <c r="G1285" i="48" s="1"/>
  <c r="D799" i="48"/>
  <c r="F799" i="48" s="1"/>
  <c r="D1448" i="48"/>
  <c r="F1448" i="48" s="1"/>
  <c r="G1448" i="48" s="1"/>
  <c r="D311" i="48"/>
  <c r="F311" i="48" s="1"/>
  <c r="D2582" i="48"/>
  <c r="F2582" i="48" s="1"/>
  <c r="G2582" i="48" s="1"/>
  <c r="D2906" i="48"/>
  <c r="F2906" i="48" s="1"/>
  <c r="G2906" i="48" s="1"/>
  <c r="D474" i="48"/>
  <c r="F474" i="48" s="1"/>
  <c r="D1934" i="48"/>
  <c r="F1934" i="48" s="1"/>
  <c r="G1934" i="48" s="1"/>
  <c r="D961" i="48"/>
  <c r="F961" i="48" s="1"/>
  <c r="D2258" i="48"/>
  <c r="F2258" i="48" s="1"/>
  <c r="G2258" i="48" s="1"/>
  <c r="D148" i="48"/>
  <c r="F148" i="48" s="1"/>
  <c r="D2096" i="48"/>
  <c r="F2096" i="48" s="1"/>
  <c r="G2096" i="48" s="1"/>
  <c r="D1772" i="48"/>
  <c r="F1772" i="48" s="1"/>
  <c r="G1772" i="48" s="1"/>
  <c r="D2420" i="48"/>
  <c r="F2420" i="48" s="1"/>
  <c r="G2420" i="48" s="1"/>
  <c r="D2744" i="48"/>
  <c r="F2744" i="48" s="1"/>
  <c r="G2744" i="48" s="1"/>
  <c r="D3068" i="48"/>
  <c r="F3068" i="48" s="1"/>
  <c r="G3068" i="48" s="1"/>
  <c r="D1123" i="48"/>
  <c r="F1123" i="48" s="1"/>
  <c r="D1610" i="48"/>
  <c r="F1610" i="48" s="1"/>
  <c r="G1610" i="48" s="1"/>
  <c r="D637" i="48"/>
  <c r="F637" i="48" s="1"/>
  <c r="D2912" i="48"/>
  <c r="F2912" i="48" s="1"/>
  <c r="G2912" i="48" s="1"/>
  <c r="D3074" i="48"/>
  <c r="F3074" i="48" s="1"/>
  <c r="G3074" i="48" s="1"/>
  <c r="D1940" i="48"/>
  <c r="F1940" i="48" s="1"/>
  <c r="G1940" i="48" s="1"/>
  <c r="D1778" i="48"/>
  <c r="F1778" i="48" s="1"/>
  <c r="G1778" i="48" s="1"/>
  <c r="D643" i="48"/>
  <c r="F643" i="48" s="1"/>
  <c r="D2426" i="48"/>
  <c r="F2426" i="48" s="1"/>
  <c r="G2426" i="48" s="1"/>
  <c r="D2264" i="48"/>
  <c r="F2264" i="48" s="1"/>
  <c r="G2264" i="48" s="1"/>
  <c r="D1454" i="48"/>
  <c r="F1454" i="48" s="1"/>
  <c r="G1454" i="48" s="1"/>
  <c r="D2588" i="48"/>
  <c r="F2588" i="48" s="1"/>
  <c r="G2588" i="48" s="1"/>
  <c r="D967" i="48"/>
  <c r="F967" i="48" s="1"/>
  <c r="D1616" i="48"/>
  <c r="F1616" i="48" s="1"/>
  <c r="G1616" i="48" s="1"/>
  <c r="D1129" i="48"/>
  <c r="F1129" i="48" s="1"/>
  <c r="D2750" i="48"/>
  <c r="F2750" i="48" s="1"/>
  <c r="G2750" i="48" s="1"/>
  <c r="D480" i="48"/>
  <c r="F480" i="48" s="1"/>
  <c r="D317" i="48"/>
  <c r="F317" i="48" s="1"/>
  <c r="D805" i="48"/>
  <c r="F805" i="48" s="1"/>
  <c r="D154" i="48"/>
  <c r="F154" i="48" s="1"/>
  <c r="D2102" i="48"/>
  <c r="F2102" i="48" s="1"/>
  <c r="G2102" i="48" s="1"/>
  <c r="D1291" i="48"/>
  <c r="F1291" i="48" s="1"/>
  <c r="G1291" i="48" s="1"/>
  <c r="D2690" i="48"/>
  <c r="F2690" i="48" s="1"/>
  <c r="G2690" i="48" s="1"/>
  <c r="D2204" i="48"/>
  <c r="F2204" i="48" s="1"/>
  <c r="G2204" i="48" s="1"/>
  <c r="D1231" i="48"/>
  <c r="F1231" i="48" s="1"/>
  <c r="G1231" i="48" s="1"/>
  <c r="D1777" i="48"/>
  <c r="F1777" i="48" s="1"/>
  <c r="G1777" i="48" s="1"/>
  <c r="D2425" i="48"/>
  <c r="F2425" i="48" s="1"/>
  <c r="G2425" i="48" s="1"/>
  <c r="D1718" i="48"/>
  <c r="F1718" i="48" s="1"/>
  <c r="G1718" i="48" s="1"/>
  <c r="D1393" i="48"/>
  <c r="H36" i="127" s="1"/>
  <c r="J36" i="127" s="1"/>
  <c r="D1556" i="48"/>
  <c r="H35" i="128" s="1"/>
  <c r="J35" i="128" s="1"/>
  <c r="D907" i="48"/>
  <c r="F907" i="48" s="1"/>
  <c r="D2911" i="48"/>
  <c r="F2911" i="48" s="1"/>
  <c r="G2911" i="48" s="1"/>
  <c r="D2749" i="48"/>
  <c r="F2749" i="48" s="1"/>
  <c r="G2749" i="48" s="1"/>
  <c r="D642" i="48"/>
  <c r="F642" i="48" s="1"/>
  <c r="D889" i="48"/>
  <c r="D1939" i="48"/>
  <c r="F1939" i="48" s="1"/>
  <c r="G1939" i="48" s="1"/>
  <c r="D565" i="48"/>
  <c r="D1700" i="48"/>
  <c r="F1700" i="48" s="1"/>
  <c r="G1700" i="48" s="1"/>
  <c r="D1862" i="48"/>
  <c r="F1862" i="48" s="1"/>
  <c r="G1862" i="48" s="1"/>
  <c r="D2672" i="48"/>
  <c r="F2672" i="48" s="1"/>
  <c r="G2672" i="48" s="1"/>
  <c r="D1069" i="48"/>
  <c r="F1069" i="48" s="1"/>
  <c r="D479" i="48"/>
  <c r="F479" i="48" s="1"/>
  <c r="D2101" i="48"/>
  <c r="F2101" i="48" s="1"/>
  <c r="G2101" i="48" s="1"/>
  <c r="D2587" i="48"/>
  <c r="F2587" i="48" s="1"/>
  <c r="G2587" i="48" s="1"/>
  <c r="D1290" i="48"/>
  <c r="F1290" i="48" s="1"/>
  <c r="G1290" i="48" s="1"/>
  <c r="S24" i="114"/>
  <c r="D2348" i="48"/>
  <c r="F2348" i="48" s="1"/>
  <c r="G2348" i="48" s="1"/>
  <c r="D966" i="48"/>
  <c r="F966" i="48" s="1"/>
  <c r="D316" i="48"/>
  <c r="F316" i="48" s="1"/>
  <c r="D2042" i="48"/>
  <c r="F2042" i="48" s="1"/>
  <c r="G2042" i="48" s="1"/>
  <c r="D745" i="48"/>
  <c r="F745" i="48" s="1"/>
  <c r="D2528" i="48"/>
  <c r="F2528" i="48" s="1"/>
  <c r="G2528" i="48" s="1"/>
  <c r="D257" i="48"/>
  <c r="D1880" i="48"/>
  <c r="F1880" i="48" s="1"/>
  <c r="G1880" i="48" s="1"/>
  <c r="D1213" i="48"/>
  <c r="F1213" i="48" s="1"/>
  <c r="G1213" i="48" s="1"/>
  <c r="D2834" i="48"/>
  <c r="F2834" i="48" s="1"/>
  <c r="G2834" i="48" s="1"/>
  <c r="D964" i="48"/>
  <c r="F964" i="48" s="1"/>
  <c r="D2261" i="48"/>
  <c r="F2261" i="48" s="1"/>
  <c r="G2261" i="48" s="1"/>
  <c r="D420" i="48"/>
  <c r="F420" i="48" s="1"/>
  <c r="D583" i="48"/>
  <c r="F583" i="48" s="1"/>
  <c r="D1375" i="48"/>
  <c r="F1375" i="48" s="1"/>
  <c r="G1375" i="48" s="1"/>
  <c r="D2510" i="48"/>
  <c r="F2510" i="48" s="1"/>
  <c r="G2510" i="48" s="1"/>
  <c r="D2366" i="48"/>
  <c r="F2366" i="48" s="1"/>
  <c r="G2366" i="48" s="1"/>
  <c r="D3014" i="48"/>
  <c r="F3014" i="48" s="1"/>
  <c r="G3014" i="48" s="1"/>
  <c r="D76" i="48"/>
  <c r="D2589" i="48"/>
  <c r="F2589" i="48" s="1"/>
  <c r="G2589" i="48" s="1"/>
  <c r="D1455" i="48"/>
  <c r="F1455" i="48" s="1"/>
  <c r="G1455" i="48" s="1"/>
  <c r="D318" i="48"/>
  <c r="F318" i="48" s="1"/>
  <c r="D640" i="48"/>
  <c r="F640" i="48" s="1"/>
  <c r="D481" i="48"/>
  <c r="F481" i="48" s="1"/>
  <c r="D1937" i="48"/>
  <c r="F1937" i="48" s="1"/>
  <c r="G1937" i="48" s="1"/>
  <c r="D153" i="48"/>
  <c r="F153" i="48" s="1"/>
  <c r="D1613" i="48"/>
  <c r="F1613" i="48" s="1"/>
  <c r="G1613" i="48" s="1"/>
  <c r="D334" i="48"/>
  <c r="F334" i="48" s="1"/>
  <c r="D1957" i="48"/>
  <c r="F1957" i="48" s="1"/>
  <c r="G1957" i="48" s="1"/>
  <c r="D2605" i="48"/>
  <c r="F2605" i="48" s="1"/>
  <c r="G2605" i="48" s="1"/>
  <c r="S15" i="114"/>
  <c r="D727" i="48"/>
  <c r="D1051" i="48"/>
  <c r="D2119" i="48"/>
  <c r="F2119" i="48" s="1"/>
  <c r="G2119" i="48" s="1"/>
  <c r="D2443" i="48"/>
  <c r="F2443" i="48" s="1"/>
  <c r="G2443" i="48" s="1"/>
  <c r="D2585" i="48"/>
  <c r="F2585" i="48" s="1"/>
  <c r="G2585" i="48" s="1"/>
  <c r="D2929" i="48"/>
  <c r="F2929" i="48" s="1"/>
  <c r="G2929" i="48" s="1"/>
  <c r="D660" i="48"/>
  <c r="F660" i="48" s="1"/>
  <c r="D1308" i="48"/>
  <c r="F1308" i="48" s="1"/>
  <c r="G1308" i="48" s="1"/>
  <c r="D497" i="48"/>
  <c r="F497" i="48" s="1"/>
  <c r="D1795" i="48"/>
  <c r="F1795" i="48" s="1"/>
  <c r="G1795" i="48" s="1"/>
  <c r="D2767" i="48"/>
  <c r="F2767" i="48" s="1"/>
  <c r="G2767" i="48" s="1"/>
  <c r="D3091" i="48"/>
  <c r="F3091" i="48" s="1"/>
  <c r="G3091" i="48" s="1"/>
  <c r="D2186" i="48"/>
  <c r="F2186" i="48" s="1"/>
  <c r="G2186" i="48" s="1"/>
  <c r="D402" i="48"/>
  <c r="D1471" i="48"/>
  <c r="F1471" i="48" s="1"/>
  <c r="G1471" i="48" s="1"/>
  <c r="D822" i="48"/>
  <c r="F822" i="48" s="1"/>
  <c r="D3073" i="48"/>
  <c r="F3073" i="48" s="1"/>
  <c r="G3073" i="48" s="1"/>
  <c r="D2263" i="48"/>
  <c r="F2263" i="48" s="1"/>
  <c r="G2263" i="48" s="1"/>
  <c r="D2265" i="48"/>
  <c r="F2265" i="48" s="1"/>
  <c r="G2265" i="48" s="1"/>
  <c r="D984" i="48"/>
  <c r="F984" i="48" s="1"/>
  <c r="D171" i="48"/>
  <c r="F171" i="48" s="1"/>
  <c r="D94" i="48"/>
  <c r="F94" i="48" s="1"/>
  <c r="D1538" i="48"/>
  <c r="F1538" i="48" s="1"/>
  <c r="G1538" i="48" s="1"/>
  <c r="D239" i="48"/>
  <c r="D2281" i="48"/>
  <c r="F2281" i="48" s="1"/>
  <c r="G2281" i="48" s="1"/>
  <c r="D1146" i="48"/>
  <c r="F1146" i="48" s="1"/>
  <c r="D1128" i="48"/>
  <c r="F1128" i="48" s="1"/>
  <c r="D1615" i="48"/>
  <c r="F1615" i="48" s="1"/>
  <c r="G1615" i="48" s="1"/>
  <c r="D2103" i="48"/>
  <c r="F2103" i="48" s="1"/>
  <c r="G2103" i="48" s="1"/>
  <c r="D1292" i="48"/>
  <c r="F1292" i="48" s="1"/>
  <c r="G1292" i="48" s="1"/>
  <c r="D1617" i="48"/>
  <c r="F1617" i="48" s="1"/>
  <c r="G1617" i="48" s="1"/>
  <c r="D1130" i="48"/>
  <c r="F1130" i="48" s="1"/>
  <c r="D806" i="48"/>
  <c r="F806" i="48" s="1"/>
  <c r="D2751" i="48"/>
  <c r="F2751" i="48" s="1"/>
  <c r="G2751" i="48" s="1"/>
  <c r="D2427" i="48"/>
  <c r="F2427" i="48" s="1"/>
  <c r="G2427" i="48" s="1"/>
  <c r="D644" i="48"/>
  <c r="F644" i="48" s="1"/>
  <c r="D3075" i="48"/>
  <c r="F3075" i="48" s="1"/>
  <c r="G3075" i="48" s="1"/>
  <c r="D155" i="48"/>
  <c r="F155" i="48" s="1"/>
  <c r="D1453" i="48"/>
  <c r="F1453" i="48" s="1"/>
  <c r="G1453" i="48" s="1"/>
  <c r="D1779" i="48"/>
  <c r="F1779" i="48" s="1"/>
  <c r="G1779" i="48" s="1"/>
  <c r="D1941" i="48"/>
  <c r="F1941" i="48" s="1"/>
  <c r="G1941" i="48" s="1"/>
  <c r="D2038" i="48"/>
  <c r="F2038" i="48" s="1"/>
  <c r="G2038" i="48" s="1"/>
  <c r="D1607" i="48"/>
  <c r="F1607" i="48" s="1"/>
  <c r="G1607" i="48" s="1"/>
  <c r="D579" i="48"/>
  <c r="F579" i="48" s="1"/>
  <c r="D151" i="48"/>
  <c r="F151" i="48" s="1"/>
  <c r="D1451" i="48"/>
  <c r="F1451" i="48" s="1"/>
  <c r="G1451" i="48" s="1"/>
  <c r="D1126" i="48"/>
  <c r="F1126" i="48" s="1"/>
  <c r="D2747" i="48"/>
  <c r="F2747" i="48" s="1"/>
  <c r="G2747" i="48" s="1"/>
  <c r="D477" i="48"/>
  <c r="F477" i="48" s="1"/>
  <c r="S19" i="114"/>
  <c r="D2832" i="48"/>
  <c r="F2832" i="48" s="1"/>
  <c r="G2832" i="48" s="1"/>
  <c r="D725" i="48"/>
  <c r="D634" i="48"/>
  <c r="F634" i="48" s="1"/>
  <c r="D1049" i="48"/>
  <c r="D1860" i="48"/>
  <c r="F1860" i="48" s="1"/>
  <c r="G1860" i="48" s="1"/>
  <c r="D887" i="48"/>
  <c r="D471" i="48"/>
  <c r="F471" i="48" s="1"/>
  <c r="D1211" i="48"/>
  <c r="F1211" i="48" s="1"/>
  <c r="G1211" i="48" s="1"/>
  <c r="D2093" i="48"/>
  <c r="F2093" i="48" s="1"/>
  <c r="G2093" i="48" s="1"/>
  <c r="D400" i="48"/>
  <c r="F400" i="48" s="1"/>
  <c r="D2508" i="48"/>
  <c r="F2508" i="48" s="1"/>
  <c r="G2508" i="48" s="1"/>
  <c r="D1931" i="48"/>
  <c r="F1931" i="48" s="1"/>
  <c r="G1931" i="48" s="1"/>
  <c r="D2184" i="48"/>
  <c r="F2184" i="48" s="1"/>
  <c r="G2184" i="48" s="1"/>
  <c r="D1536" i="48"/>
  <c r="F1536" i="48" s="1"/>
  <c r="G1536" i="48" s="1"/>
  <c r="D74" i="48"/>
  <c r="F74" i="48" s="1"/>
  <c r="D2346" i="48"/>
  <c r="F2346" i="48" s="1"/>
  <c r="G2346" i="48" s="1"/>
  <c r="D2579" i="48"/>
  <c r="F2579" i="48" s="1"/>
  <c r="G2579" i="48" s="1"/>
  <c r="D237" i="48"/>
  <c r="D2670" i="48"/>
  <c r="F2670" i="48" s="1"/>
  <c r="G2670" i="48" s="1"/>
  <c r="D796" i="48"/>
  <c r="F796" i="48" s="1"/>
  <c r="D2022" i="48"/>
  <c r="F2022" i="48" s="1"/>
  <c r="G2022" i="48" s="1"/>
  <c r="D563" i="48"/>
  <c r="F563" i="48" s="1"/>
  <c r="D1373" i="48"/>
  <c r="F1373" i="48" s="1"/>
  <c r="G1373" i="48" s="1"/>
  <c r="D1698" i="48"/>
  <c r="F1698" i="48" s="1"/>
  <c r="G1698" i="48" s="1"/>
  <c r="D2913" i="48"/>
  <c r="F2913" i="48" s="1"/>
  <c r="G2913" i="48" s="1"/>
  <c r="D145" i="48"/>
  <c r="F145" i="48" s="1"/>
  <c r="D2741" i="48"/>
  <c r="F2741" i="48" s="1"/>
  <c r="G2741" i="48" s="1"/>
  <c r="D1288" i="48"/>
  <c r="F1288" i="48" s="1"/>
  <c r="G1288" i="48" s="1"/>
  <c r="D2909" i="48"/>
  <c r="F2909" i="48" s="1"/>
  <c r="G2909" i="48" s="1"/>
  <c r="D1552" i="48"/>
  <c r="H26" i="128" s="1"/>
  <c r="J26" i="128" s="1"/>
  <c r="D2200" i="48"/>
  <c r="F2200" i="48" s="1"/>
  <c r="G2200" i="48" s="1"/>
  <c r="D575" i="48"/>
  <c r="F575" i="48" s="1"/>
  <c r="D2682" i="48"/>
  <c r="F2682" i="48" s="1"/>
  <c r="G2682" i="48" s="1"/>
  <c r="D86" i="48"/>
  <c r="F86" i="48" s="1"/>
  <c r="D2034" i="48"/>
  <c r="F2034" i="48" s="1"/>
  <c r="G2034" i="48" s="1"/>
  <c r="D1227" i="48"/>
  <c r="F1227" i="48" s="1"/>
  <c r="G1227" i="48" s="1"/>
  <c r="D1876" i="48"/>
  <c r="F1876" i="48" s="1"/>
  <c r="G1876" i="48" s="1"/>
  <c r="D2196" i="48"/>
  <c r="F2196" i="48" s="1"/>
  <c r="G2196" i="48" s="1"/>
  <c r="D1872" i="48"/>
  <c r="F1872" i="48" s="1"/>
  <c r="G1872" i="48" s="1"/>
  <c r="D899" i="48"/>
  <c r="F899" i="48" s="1"/>
  <c r="D1769" i="48"/>
  <c r="F1769" i="48" s="1"/>
  <c r="G1769" i="48" s="1"/>
  <c r="D2520" i="48"/>
  <c r="F2520" i="48" s="1"/>
  <c r="G2520" i="48" s="1"/>
  <c r="D2362" i="48"/>
  <c r="F2362" i="48" s="1"/>
  <c r="G2362" i="48" s="1"/>
  <c r="D249" i="48"/>
  <c r="D2844" i="48"/>
  <c r="H24" i="140" s="1"/>
  <c r="J24" i="140" s="1"/>
  <c r="D1061" i="48"/>
  <c r="F1061" i="48" s="1"/>
  <c r="D958" i="48"/>
  <c r="F958" i="48" s="1"/>
  <c r="D1120" i="48"/>
  <c r="F1120" i="48" s="1"/>
  <c r="S27" i="114"/>
  <c r="D2686" i="48"/>
  <c r="F2686" i="48" s="1"/>
  <c r="G2686" i="48" s="1"/>
  <c r="D1714" i="48"/>
  <c r="F1714" i="48" s="1"/>
  <c r="G1714" i="48" s="1"/>
  <c r="D2848" i="48"/>
  <c r="F2848" i="48" s="1"/>
  <c r="G2848" i="48" s="1"/>
  <c r="D1223" i="48"/>
  <c r="F1223" i="48" s="1"/>
  <c r="G1223" i="48" s="1"/>
  <c r="D3006" i="48"/>
  <c r="F3006" i="48" s="1"/>
  <c r="G3006" i="48" s="1"/>
  <c r="S10" i="114"/>
  <c r="D1445" i="48"/>
  <c r="F1445" i="48" s="1"/>
  <c r="G1445" i="48" s="1"/>
  <c r="D2417" i="48"/>
  <c r="F2417" i="48" s="1"/>
  <c r="G2417" i="48" s="1"/>
  <c r="S20" i="114"/>
  <c r="D2524" i="48"/>
  <c r="F2524" i="48" s="1"/>
  <c r="G2524" i="48" s="1"/>
  <c r="D1065" i="48"/>
  <c r="F1065" i="48" s="1"/>
  <c r="D741" i="48"/>
  <c r="F741" i="48" s="1"/>
  <c r="D1548" i="48"/>
  <c r="H24" i="128" s="1"/>
  <c r="J24" i="128" s="1"/>
  <c r="S18" i="114"/>
  <c r="D308" i="48"/>
  <c r="F308" i="48" s="1"/>
  <c r="D1282" i="48"/>
  <c r="F1282" i="48" s="1"/>
  <c r="G1282" i="48" s="1"/>
  <c r="D3065" i="48"/>
  <c r="F3065" i="48" s="1"/>
  <c r="G3065" i="48" s="1"/>
  <c r="S16" i="114"/>
  <c r="S12" i="114"/>
  <c r="D1389" i="48"/>
  <c r="H27" i="127" s="1"/>
  <c r="J27" i="127" s="1"/>
  <c r="D903" i="48"/>
  <c r="F903" i="48" s="1"/>
  <c r="D416" i="48"/>
  <c r="F416" i="48" s="1"/>
  <c r="D2423" i="48"/>
  <c r="F2423" i="48" s="1"/>
  <c r="G2423" i="48" s="1"/>
  <c r="D2099" i="48"/>
  <c r="F2099" i="48" s="1"/>
  <c r="G2099" i="48" s="1"/>
  <c r="S17" i="114"/>
  <c r="D314" i="48"/>
  <c r="F314" i="48" s="1"/>
  <c r="D1775" i="48"/>
  <c r="F1775" i="48" s="1"/>
  <c r="G1775" i="48" s="1"/>
  <c r="D3010" i="48"/>
  <c r="F3010" i="48" s="1"/>
  <c r="G3010" i="48" s="1"/>
  <c r="D253" i="48"/>
  <c r="S32" i="114"/>
  <c r="D2024" i="48"/>
  <c r="F2024" i="48" s="1"/>
  <c r="G2024" i="48" s="1"/>
  <c r="D2255" i="48"/>
  <c r="F2255" i="48" s="1"/>
  <c r="G2255" i="48" s="1"/>
  <c r="D3071" i="48"/>
  <c r="F3071" i="48" s="1"/>
  <c r="G3071" i="48" s="1"/>
  <c r="D2580" i="48"/>
  <c r="F2580" i="48" s="1"/>
  <c r="G2580" i="48" s="1"/>
  <c r="D1770" i="48"/>
  <c r="F1770" i="48" s="1"/>
  <c r="G1770" i="48" s="1"/>
  <c r="D2904" i="48"/>
  <c r="F2904" i="48" s="1"/>
  <c r="G2904" i="48" s="1"/>
  <c r="D635" i="48"/>
  <c r="F635" i="48" s="1"/>
  <c r="D3066" i="48"/>
  <c r="F3066" i="48" s="1"/>
  <c r="G3066" i="48" s="1"/>
  <c r="D2742" i="48"/>
  <c r="F2742" i="48" s="1"/>
  <c r="G2742" i="48" s="1"/>
  <c r="D1283" i="48"/>
  <c r="F1283" i="48" s="1"/>
  <c r="G1283" i="48" s="1"/>
  <c r="D797" i="48"/>
  <c r="F797" i="48" s="1"/>
  <c r="D2094" i="48"/>
  <c r="F2094" i="48" s="1"/>
  <c r="G2094" i="48" s="1"/>
  <c r="D2256" i="48"/>
  <c r="F2256" i="48" s="1"/>
  <c r="G2256" i="48" s="1"/>
  <c r="D1932" i="48"/>
  <c r="F1932" i="48" s="1"/>
  <c r="G1932" i="48" s="1"/>
  <c r="D1446" i="48"/>
  <c r="F1446" i="48" s="1"/>
  <c r="G1446" i="48" s="1"/>
  <c r="D309" i="48"/>
  <c r="F309" i="48" s="1"/>
  <c r="D472" i="48"/>
  <c r="F472" i="48" s="1"/>
  <c r="D2418" i="48"/>
  <c r="F2418" i="48" s="1"/>
  <c r="G2418" i="48" s="1"/>
  <c r="D146" i="48"/>
  <c r="F146" i="48" s="1"/>
  <c r="D1121" i="48"/>
  <c r="F1121" i="48" s="1"/>
  <c r="D1608" i="48"/>
  <c r="F1608" i="48" s="1"/>
  <c r="G1608" i="48" s="1"/>
  <c r="D959" i="48"/>
  <c r="F959" i="48" s="1"/>
  <c r="D2428" i="48"/>
  <c r="F2428" i="48" s="1"/>
  <c r="G2428" i="48" s="1"/>
  <c r="D969" i="48"/>
  <c r="F969" i="48" s="1"/>
  <c r="D2590" i="48"/>
  <c r="F2590" i="48" s="1"/>
  <c r="G2590" i="48" s="1"/>
  <c r="D807" i="48"/>
  <c r="F807" i="48" s="1"/>
  <c r="D2752" i="48"/>
  <c r="F2752" i="48" s="1"/>
  <c r="G2752" i="48" s="1"/>
  <c r="D1618" i="48"/>
  <c r="F1618" i="48" s="1"/>
  <c r="G1618" i="48" s="1"/>
  <c r="D319" i="48"/>
  <c r="F319" i="48" s="1"/>
  <c r="D156" i="48"/>
  <c r="F156" i="48" s="1"/>
  <c r="D1942" i="48"/>
  <c r="F1942" i="48" s="1"/>
  <c r="G1942" i="48" s="1"/>
  <c r="D1456" i="48"/>
  <c r="F1456" i="48" s="1"/>
  <c r="G1456" i="48" s="1"/>
  <c r="D2914" i="48"/>
  <c r="F2914" i="48" s="1"/>
  <c r="G2914" i="48" s="1"/>
  <c r="D482" i="48"/>
  <c r="F482" i="48" s="1"/>
  <c r="D3076" i="48"/>
  <c r="F3076" i="48" s="1"/>
  <c r="G3076" i="48" s="1"/>
  <c r="D1293" i="48"/>
  <c r="F1293" i="48" s="1"/>
  <c r="G1293" i="48" s="1"/>
  <c r="D1131" i="48"/>
  <c r="F1131" i="48" s="1"/>
  <c r="D645" i="48"/>
  <c r="F645" i="48" s="1"/>
  <c r="D2104" i="48"/>
  <c r="F2104" i="48" s="1"/>
  <c r="G2104" i="48" s="1"/>
  <c r="D1780" i="48"/>
  <c r="F1780" i="48" s="1"/>
  <c r="G1780" i="48" s="1"/>
  <c r="D2266" i="48"/>
  <c r="F2266" i="48" s="1"/>
  <c r="G2266" i="48" s="1"/>
  <c r="D269" i="48"/>
  <c r="F269" i="48" s="1"/>
  <c r="D595" i="48"/>
  <c r="F595" i="48" s="1"/>
  <c r="D1081" i="48"/>
  <c r="F1081" i="48" s="1"/>
  <c r="D2540" i="48"/>
  <c r="F2540" i="48" s="1"/>
  <c r="G2540" i="48" s="1"/>
  <c r="D3026" i="48"/>
  <c r="F3026" i="48" s="1"/>
  <c r="G3026" i="48" s="1"/>
  <c r="D919" i="48"/>
  <c r="F919" i="48" s="1"/>
  <c r="D432" i="48"/>
  <c r="F432" i="48" s="1"/>
  <c r="D106" i="48"/>
  <c r="F106" i="48" s="1"/>
  <c r="D2378" i="48"/>
  <c r="F2378" i="48" s="1"/>
  <c r="G2378" i="48" s="1"/>
  <c r="D2702" i="48"/>
  <c r="F2702" i="48" s="1"/>
  <c r="G2702" i="48" s="1"/>
  <c r="D2864" i="48"/>
  <c r="F2864" i="48" s="1"/>
  <c r="G2864" i="48" s="1"/>
  <c r="D757" i="48"/>
  <c r="F757" i="48" s="1"/>
  <c r="D1243" i="48"/>
  <c r="F1243" i="48" s="1"/>
  <c r="G1243" i="48" s="1"/>
  <c r="D1730" i="48"/>
  <c r="F1730" i="48" s="1"/>
  <c r="G1730" i="48" s="1"/>
  <c r="D1892" i="48"/>
  <c r="F1892" i="48" s="1"/>
  <c r="G1892" i="48" s="1"/>
  <c r="D1405" i="48"/>
  <c r="D1568" i="48"/>
  <c r="F1568" i="48" s="1"/>
  <c r="G1568" i="48" s="1"/>
  <c r="D2054" i="48"/>
  <c r="F2054" i="48" s="1"/>
  <c r="G2054" i="48" s="1"/>
  <c r="D2216" i="48"/>
  <c r="F2216" i="48" s="1"/>
  <c r="G2216" i="48" s="1"/>
  <c r="D3018" i="48"/>
  <c r="F3018" i="48" s="1"/>
  <c r="G3018" i="48" s="1"/>
  <c r="D1560" i="48"/>
  <c r="F1560" i="48" s="1"/>
  <c r="G1560" i="48" s="1"/>
  <c r="D1722" i="48"/>
  <c r="F1722" i="48" s="1"/>
  <c r="G1722" i="48" s="1"/>
  <c r="D2856" i="48"/>
  <c r="D587" i="48"/>
  <c r="F587" i="48" s="1"/>
  <c r="D1235" i="48"/>
  <c r="F1235" i="48" s="1"/>
  <c r="G1235" i="48" s="1"/>
  <c r="D1397" i="48"/>
  <c r="F1397" i="48" s="1"/>
  <c r="G1397" i="48" s="1"/>
  <c r="D2694" i="48"/>
  <c r="F2694" i="48" s="1"/>
  <c r="G2694" i="48" s="1"/>
  <c r="D2370" i="48"/>
  <c r="F2370" i="48" s="1"/>
  <c r="G2370" i="48" s="1"/>
  <c r="D261" i="48"/>
  <c r="F261" i="48" s="1"/>
  <c r="D911" i="48"/>
  <c r="D424" i="48"/>
  <c r="F424" i="48" s="1"/>
  <c r="D2532" i="48"/>
  <c r="F2532" i="48" s="1"/>
  <c r="G2532" i="48" s="1"/>
  <c r="D2208" i="48"/>
  <c r="F2208" i="48" s="1"/>
  <c r="G2208" i="48" s="1"/>
  <c r="D749" i="48"/>
  <c r="F749" i="48" s="1"/>
  <c r="D2046" i="48"/>
  <c r="D1884" i="48"/>
  <c r="D1073" i="48"/>
  <c r="D98" i="48"/>
  <c r="D2368" i="48"/>
  <c r="F2368" i="48" s="1"/>
  <c r="G2368" i="48" s="1"/>
  <c r="D747" i="48"/>
  <c r="F747" i="48" s="1"/>
  <c r="D909" i="48"/>
  <c r="F909" i="48" s="1"/>
  <c r="D2530" i="48"/>
  <c r="F2530" i="48" s="1"/>
  <c r="G2530" i="48" s="1"/>
  <c r="D96" i="48"/>
  <c r="F96" i="48" s="1"/>
  <c r="D1882" i="48"/>
  <c r="F1882" i="48" s="1"/>
  <c r="G1882" i="48" s="1"/>
  <c r="D1395" i="48"/>
  <c r="D585" i="48"/>
  <c r="F585" i="48" s="1"/>
  <c r="D2854" i="48"/>
  <c r="F2854" i="48" s="1"/>
  <c r="G2854" i="48" s="1"/>
  <c r="D1558" i="48"/>
  <c r="D422" i="48"/>
  <c r="F422" i="48" s="1"/>
  <c r="D3016" i="48"/>
  <c r="F3016" i="48" s="1"/>
  <c r="G3016" i="48" s="1"/>
  <c r="D1233" i="48"/>
  <c r="F1233" i="48" s="1"/>
  <c r="G1233" i="48" s="1"/>
  <c r="D1071" i="48"/>
  <c r="F1071" i="48" s="1"/>
  <c r="D2692" i="48"/>
  <c r="F2692" i="48" s="1"/>
  <c r="G2692" i="48" s="1"/>
  <c r="D2206" i="48"/>
  <c r="F2206" i="48" s="1"/>
  <c r="G2206" i="48" s="1"/>
  <c r="D259" i="48"/>
  <c r="D1720" i="48"/>
  <c r="F1720" i="48" s="1"/>
  <c r="G1720" i="48" s="1"/>
  <c r="D2044" i="48"/>
  <c r="F2044" i="48" s="1"/>
  <c r="G2044" i="48" s="1"/>
  <c r="S13" i="114"/>
  <c r="D2765" i="48"/>
  <c r="F2765" i="48" s="1"/>
  <c r="G2765" i="48" s="1"/>
  <c r="D495" i="48"/>
  <c r="F495" i="48" s="1"/>
  <c r="D2441" i="48"/>
  <c r="F2441" i="48" s="1"/>
  <c r="G2441" i="48" s="1"/>
  <c r="D1631" i="48"/>
  <c r="F1631" i="48" s="1"/>
  <c r="G1631" i="48" s="1"/>
  <c r="D2927" i="48"/>
  <c r="F2927" i="48" s="1"/>
  <c r="G2927" i="48" s="1"/>
  <c r="D1144" i="48"/>
  <c r="F1144" i="48" s="1"/>
  <c r="D1306" i="48"/>
  <c r="F1306" i="48" s="1"/>
  <c r="G1306" i="48" s="1"/>
  <c r="D1793" i="48"/>
  <c r="F1793" i="48" s="1"/>
  <c r="G1793" i="48" s="1"/>
  <c r="D169" i="48"/>
  <c r="F169" i="48" s="1"/>
  <c r="D332" i="48"/>
  <c r="F332" i="48" s="1"/>
  <c r="D820" i="48"/>
  <c r="F820" i="48" s="1"/>
  <c r="D1955" i="48"/>
  <c r="F1955" i="48" s="1"/>
  <c r="G1955" i="48" s="1"/>
  <c r="D2603" i="48"/>
  <c r="F2603" i="48" s="1"/>
  <c r="G2603" i="48" s="1"/>
  <c r="D1469" i="48"/>
  <c r="F1469" i="48" s="1"/>
  <c r="G1469" i="48" s="1"/>
  <c r="D658" i="48"/>
  <c r="F658" i="48" s="1"/>
  <c r="D3089" i="48"/>
  <c r="F3089" i="48" s="1"/>
  <c r="G3089" i="48" s="1"/>
  <c r="D2279" i="48"/>
  <c r="F2279" i="48" s="1"/>
  <c r="G2279" i="48" s="1"/>
  <c r="D2117" i="48"/>
  <c r="F2117" i="48" s="1"/>
  <c r="G2117" i="48" s="1"/>
  <c r="D982" i="48"/>
  <c r="F982" i="48" s="1"/>
  <c r="D1098" i="48"/>
  <c r="F1098" i="48" s="1"/>
  <c r="D1260" i="48"/>
  <c r="F1260" i="48" s="1"/>
  <c r="G1260" i="48" s="1"/>
  <c r="D1747" i="48"/>
  <c r="F1747" i="48" s="1"/>
  <c r="G1747" i="48" s="1"/>
  <c r="D123" i="48"/>
  <c r="F123" i="48" s="1"/>
  <c r="D2719" i="48"/>
  <c r="F2719" i="48" s="1"/>
  <c r="G2719" i="48" s="1"/>
  <c r="D449" i="48"/>
  <c r="F449" i="48" s="1"/>
  <c r="D2395" i="48"/>
  <c r="F2395" i="48" s="1"/>
  <c r="G2395" i="48" s="1"/>
  <c r="D2881" i="48"/>
  <c r="D1422" i="48"/>
  <c r="D774" i="48"/>
  <c r="D2557" i="48"/>
  <c r="F2557" i="48" s="1"/>
  <c r="G2557" i="48" s="1"/>
  <c r="D1585" i="48"/>
  <c r="D612" i="48"/>
  <c r="F612" i="48" s="1"/>
  <c r="D286" i="48"/>
  <c r="D3043" i="48"/>
  <c r="D936" i="48"/>
  <c r="F936" i="48" s="1"/>
  <c r="D2071" i="48"/>
  <c r="D1909" i="48"/>
  <c r="D2233" i="48"/>
  <c r="F2233" i="48" s="1"/>
  <c r="G2233" i="48" s="1"/>
  <c r="D3077" i="48"/>
  <c r="F3077" i="48" s="1"/>
  <c r="G3077" i="48" s="1"/>
  <c r="D1781" i="48"/>
  <c r="F1781" i="48" s="1"/>
  <c r="G1781" i="48" s="1"/>
  <c r="D2915" i="48"/>
  <c r="F2915" i="48" s="1"/>
  <c r="G2915" i="48" s="1"/>
  <c r="D1619" i="48"/>
  <c r="F1619" i="48" s="1"/>
  <c r="G1619" i="48" s="1"/>
  <c r="D483" i="48"/>
  <c r="F483" i="48" s="1"/>
  <c r="D2591" i="48"/>
  <c r="F2591" i="48" s="1"/>
  <c r="G2591" i="48" s="1"/>
  <c r="D646" i="48"/>
  <c r="F646" i="48" s="1"/>
  <c r="D1294" i="48"/>
  <c r="F1294" i="48" s="1"/>
  <c r="G1294" i="48" s="1"/>
  <c r="D1457" i="48"/>
  <c r="F1457" i="48" s="1"/>
  <c r="G1457" i="48" s="1"/>
  <c r="D2753" i="48"/>
  <c r="F2753" i="48" s="1"/>
  <c r="G2753" i="48" s="1"/>
  <c r="D2429" i="48"/>
  <c r="F2429" i="48" s="1"/>
  <c r="G2429" i="48" s="1"/>
  <c r="D320" i="48"/>
  <c r="F320" i="48" s="1"/>
  <c r="D970" i="48"/>
  <c r="F970" i="48" s="1"/>
  <c r="D1132" i="48"/>
  <c r="F1132" i="48" s="1"/>
  <c r="D157" i="48"/>
  <c r="F157" i="48" s="1"/>
  <c r="D1943" i="48"/>
  <c r="F1943" i="48" s="1"/>
  <c r="G1943" i="48" s="1"/>
  <c r="D808" i="48"/>
  <c r="F808" i="48" s="1"/>
  <c r="D2105" i="48"/>
  <c r="F2105" i="48" s="1"/>
  <c r="G2105" i="48" s="1"/>
  <c r="D2267" i="48"/>
  <c r="F2267" i="48" s="1"/>
  <c r="G2267" i="48" s="1"/>
  <c r="D2840" i="48"/>
  <c r="D571" i="48"/>
  <c r="F571" i="48" s="1"/>
  <c r="D1706" i="48"/>
  <c r="F1706" i="48" s="1"/>
  <c r="G1706" i="48" s="1"/>
  <c r="D408" i="48"/>
  <c r="F408" i="48" s="1"/>
  <c r="D895" i="48"/>
  <c r="F895" i="48" s="1"/>
  <c r="D82" i="48"/>
  <c r="F82" i="48" s="1"/>
  <c r="D1219" i="48"/>
  <c r="F1219" i="48" s="1"/>
  <c r="G1219" i="48" s="1"/>
  <c r="D733" i="48"/>
  <c r="D1544" i="48"/>
  <c r="F1544" i="48" s="1"/>
  <c r="G1544" i="48" s="1"/>
  <c r="D2678" i="48"/>
  <c r="F2678" i="48" s="1"/>
  <c r="G2678" i="48" s="1"/>
  <c r="D1868" i="48"/>
  <c r="F1868" i="48" s="1"/>
  <c r="G1868" i="48" s="1"/>
  <c r="D2354" i="48"/>
  <c r="F2354" i="48" s="1"/>
  <c r="G2354" i="48" s="1"/>
  <c r="D245" i="48"/>
  <c r="F245" i="48" s="1"/>
  <c r="D2516" i="48"/>
  <c r="F2516" i="48" s="1"/>
  <c r="G2516" i="48" s="1"/>
  <c r="D1057" i="48"/>
  <c r="F1057" i="48" s="1"/>
  <c r="D1381" i="48"/>
  <c r="D2192" i="48"/>
  <c r="F2192" i="48" s="1"/>
  <c r="G2192" i="48" s="1"/>
  <c r="D2030" i="48"/>
  <c r="F2030" i="48" s="1"/>
  <c r="G2030" i="48" s="1"/>
  <c r="D3002" i="48"/>
  <c r="F3002" i="48" s="1"/>
  <c r="G3002" i="48" s="1"/>
  <c r="D1589" i="48"/>
  <c r="D1264" i="48"/>
  <c r="D778" i="48"/>
  <c r="D127" i="48"/>
  <c r="D2723" i="48"/>
  <c r="F2723" i="48" s="1"/>
  <c r="G2723" i="48" s="1"/>
  <c r="D2561" i="48"/>
  <c r="F2561" i="48" s="1"/>
  <c r="G2561" i="48" s="1"/>
  <c r="D2885" i="48"/>
  <c r="D1102" i="48"/>
  <c r="F1102" i="48" s="1"/>
  <c r="D1426" i="48"/>
  <c r="D940" i="48"/>
  <c r="D290" i="48"/>
  <c r="D2399" i="48"/>
  <c r="F2399" i="48" s="1"/>
  <c r="G2399" i="48" s="1"/>
  <c r="D2237" i="48"/>
  <c r="F2237" i="48" s="1"/>
  <c r="G2237" i="48" s="1"/>
  <c r="D2075" i="48"/>
  <c r="D453" i="48"/>
  <c r="D1913" i="48"/>
  <c r="D3047" i="48"/>
  <c r="D1751" i="48"/>
  <c r="F1751" i="48" s="1"/>
  <c r="G1751" i="48" s="1"/>
  <c r="D616" i="48"/>
  <c r="F616" i="48" s="1"/>
  <c r="S34" i="114"/>
  <c r="D149" i="48"/>
  <c r="F149" i="48" s="1"/>
  <c r="D638" i="48"/>
  <c r="F638" i="48" s="1"/>
  <c r="D2907" i="48"/>
  <c r="F2907" i="48" s="1"/>
  <c r="G2907" i="48" s="1"/>
  <c r="D2259" i="48"/>
  <c r="F2259" i="48" s="1"/>
  <c r="G2259" i="48" s="1"/>
  <c r="D1124" i="48"/>
  <c r="F1124" i="48" s="1"/>
  <c r="D1611" i="48"/>
  <c r="F1611" i="48" s="1"/>
  <c r="G1611" i="48" s="1"/>
  <c r="D2583" i="48"/>
  <c r="F2583" i="48" s="1"/>
  <c r="G2583" i="48" s="1"/>
  <c r="D475" i="48"/>
  <c r="F475" i="48" s="1"/>
  <c r="D1773" i="48"/>
  <c r="F1773" i="48" s="1"/>
  <c r="G1773" i="48" s="1"/>
  <c r="D2421" i="48"/>
  <c r="F2421" i="48" s="1"/>
  <c r="G2421" i="48" s="1"/>
  <c r="D2097" i="48"/>
  <c r="F2097" i="48" s="1"/>
  <c r="G2097" i="48" s="1"/>
  <c r="D1449" i="48"/>
  <c r="F1449" i="48" s="1"/>
  <c r="G1449" i="48" s="1"/>
  <c r="D962" i="48"/>
  <c r="F962" i="48" s="1"/>
  <c r="D1935" i="48"/>
  <c r="F1935" i="48" s="1"/>
  <c r="G1935" i="48" s="1"/>
  <c r="D2745" i="48"/>
  <c r="F2745" i="48" s="1"/>
  <c r="G2745" i="48" s="1"/>
  <c r="D800" i="48"/>
  <c r="F800" i="48" s="1"/>
  <c r="D312" i="48"/>
  <c r="F312" i="48" s="1"/>
  <c r="D1286" i="48"/>
  <c r="F1286" i="48" s="1"/>
  <c r="G1286" i="48" s="1"/>
  <c r="D3069" i="48"/>
  <c r="F3069" i="48" s="1"/>
  <c r="G3069" i="48" s="1"/>
  <c r="S36" i="114"/>
  <c r="S26" i="114"/>
  <c r="S23" i="114"/>
  <c r="S22" i="114"/>
  <c r="S14" i="114"/>
  <c r="S30" i="114"/>
  <c r="S29" i="114"/>
  <c r="D487" i="48"/>
  <c r="F487" i="48" s="1"/>
  <c r="D161" i="48"/>
  <c r="F161" i="48" s="1"/>
  <c r="D2433" i="48"/>
  <c r="F2433" i="48" s="1"/>
  <c r="G2433" i="48" s="1"/>
  <c r="D2757" i="48"/>
  <c r="F2757" i="48" s="1"/>
  <c r="G2757" i="48" s="1"/>
  <c r="D2919" i="48"/>
  <c r="F2919" i="48" s="1"/>
  <c r="G2919" i="48" s="1"/>
  <c r="D324" i="48"/>
  <c r="F324" i="48" s="1"/>
  <c r="D650" i="48"/>
  <c r="F650" i="48" s="1"/>
  <c r="D1136" i="48"/>
  <c r="F1136" i="48" s="1"/>
  <c r="D2595" i="48"/>
  <c r="F2595" i="48" s="1"/>
  <c r="G2595" i="48" s="1"/>
  <c r="D3081" i="48"/>
  <c r="F3081" i="48" s="1"/>
  <c r="G3081" i="48" s="1"/>
  <c r="D1785" i="48"/>
  <c r="F1785" i="48" s="1"/>
  <c r="G1785" i="48" s="1"/>
  <c r="D974" i="48"/>
  <c r="F974" i="48" s="1"/>
  <c r="D1298" i="48"/>
  <c r="F1298" i="48" s="1"/>
  <c r="G1298" i="48" s="1"/>
  <c r="D1947" i="48"/>
  <c r="F1947" i="48" s="1"/>
  <c r="G1947" i="48" s="1"/>
  <c r="D1461" i="48"/>
  <c r="F1461" i="48" s="1"/>
  <c r="G1461" i="48" s="1"/>
  <c r="D1623" i="48"/>
  <c r="F1623" i="48" s="1"/>
  <c r="G1623" i="48" s="1"/>
  <c r="D812" i="48"/>
  <c r="F812" i="48" s="1"/>
  <c r="D2109" i="48"/>
  <c r="F2109" i="48" s="1"/>
  <c r="G2109" i="48" s="1"/>
  <c r="D2271" i="48"/>
  <c r="F2271" i="48" s="1"/>
  <c r="G2271" i="48" s="1"/>
  <c r="S25" i="114"/>
  <c r="F923" i="48" l="1"/>
  <c r="H84" i="124"/>
  <c r="J84" i="124" s="1"/>
  <c r="I111" i="145"/>
  <c r="J111" i="145" s="1"/>
  <c r="I112" i="143"/>
  <c r="J112" i="143" s="1"/>
  <c r="J113" i="143" s="1"/>
  <c r="I111" i="144"/>
  <c r="J111" i="144" s="1"/>
  <c r="J112" i="144" s="1"/>
  <c r="I112" i="132"/>
  <c r="J112" i="132" s="1"/>
  <c r="J113" i="132" s="1"/>
  <c r="I111" i="140"/>
  <c r="J111" i="140" s="1"/>
  <c r="H1472" i="48"/>
  <c r="I111" i="142"/>
  <c r="J111" i="142" s="1"/>
  <c r="H3091" i="48"/>
  <c r="F1315" i="48"/>
  <c r="G1315" i="48" s="1"/>
  <c r="I109" i="130"/>
  <c r="J109" i="130" s="1"/>
  <c r="J110" i="130" s="1"/>
  <c r="I111" i="122"/>
  <c r="J111" i="122" s="1"/>
  <c r="N16" i="122" s="1"/>
  <c r="I108" i="126"/>
  <c r="J108" i="126" s="1"/>
  <c r="J109" i="126" s="1"/>
  <c r="I111" i="129"/>
  <c r="J111" i="129" s="1"/>
  <c r="J112" i="129" s="1"/>
  <c r="I109" i="131"/>
  <c r="J109" i="131" s="1"/>
  <c r="I109" i="128"/>
  <c r="J109" i="128" s="1"/>
  <c r="J110" i="128" s="1"/>
  <c r="I116" i="127"/>
  <c r="J116" i="127" s="1"/>
  <c r="J117" i="127" s="1"/>
  <c r="I112" i="121"/>
  <c r="J112" i="121" s="1"/>
  <c r="J113" i="121" s="1"/>
  <c r="I109" i="111"/>
  <c r="J109" i="111" s="1"/>
  <c r="J110" i="111" s="1"/>
  <c r="I110" i="119"/>
  <c r="J110" i="119" s="1"/>
  <c r="I109" i="125"/>
  <c r="J109" i="125" s="1"/>
  <c r="I109" i="124"/>
  <c r="J109" i="124" s="1"/>
  <c r="J110" i="124" s="1"/>
  <c r="I109" i="123"/>
  <c r="J109" i="123" s="1"/>
  <c r="J110" i="123" s="1"/>
  <c r="F255" i="48"/>
  <c r="H25" i="127"/>
  <c r="J25" i="127" s="1"/>
  <c r="H19" i="126"/>
  <c r="J19" i="126" s="1"/>
  <c r="H19" i="131"/>
  <c r="J19" i="131" s="1"/>
  <c r="F727" i="48"/>
  <c r="H19" i="123"/>
  <c r="J19" i="123" s="1"/>
  <c r="F887" i="48"/>
  <c r="H18" i="124"/>
  <c r="F911" i="48"/>
  <c r="H34" i="124"/>
  <c r="J34" i="124" s="1"/>
  <c r="F733" i="48"/>
  <c r="H22" i="123"/>
  <c r="J22" i="123" s="1"/>
  <c r="F1073" i="48"/>
  <c r="H34" i="125"/>
  <c r="J34" i="125" s="1"/>
  <c r="F778" i="48"/>
  <c r="H52" i="123"/>
  <c r="J52" i="123" s="1"/>
  <c r="F1049" i="48"/>
  <c r="H18" i="125"/>
  <c r="F889" i="48"/>
  <c r="H19" i="124"/>
  <c r="J19" i="124" s="1"/>
  <c r="F940" i="48"/>
  <c r="H53" i="124"/>
  <c r="J53" i="124" s="1"/>
  <c r="F1089" i="48"/>
  <c r="H86" i="125"/>
  <c r="J86" i="125" s="1"/>
  <c r="F1053" i="48"/>
  <c r="H20" i="125"/>
  <c r="J20" i="125" s="1"/>
  <c r="F725" i="48"/>
  <c r="H18" i="123"/>
  <c r="F891" i="48"/>
  <c r="H20" i="124"/>
  <c r="J20" i="124" s="1"/>
  <c r="F774" i="48"/>
  <c r="H41" i="123"/>
  <c r="J41" i="123" s="1"/>
  <c r="F1051" i="48"/>
  <c r="H19" i="125"/>
  <c r="J19" i="125" s="1"/>
  <c r="F110" i="48"/>
  <c r="H84" i="111"/>
  <c r="J84" i="111" s="1"/>
  <c r="F127" i="48"/>
  <c r="H53" i="111"/>
  <c r="J53" i="111" s="1"/>
  <c r="F76" i="48"/>
  <c r="H19" i="111"/>
  <c r="F98" i="48"/>
  <c r="H34" i="111"/>
  <c r="J34" i="111" s="1"/>
  <c r="F237" i="48"/>
  <c r="H19" i="119"/>
  <c r="F453" i="48"/>
  <c r="H54" i="121"/>
  <c r="J54" i="121" s="1"/>
  <c r="F259" i="48"/>
  <c r="H64" i="119"/>
  <c r="J64" i="119" s="1"/>
  <c r="F253" i="48"/>
  <c r="H27" i="119"/>
  <c r="J27" i="119" s="1"/>
  <c r="F239" i="48"/>
  <c r="H20" i="119"/>
  <c r="J20" i="119" s="1"/>
  <c r="F257" i="48"/>
  <c r="H36" i="119"/>
  <c r="J36" i="119" s="1"/>
  <c r="F565" i="48"/>
  <c r="F626" i="48" s="1"/>
  <c r="H20" i="122"/>
  <c r="F286" i="48"/>
  <c r="H43" i="119"/>
  <c r="J43" i="119" s="1"/>
  <c r="F290" i="48"/>
  <c r="H54" i="119"/>
  <c r="J54" i="119" s="1"/>
  <c r="F249" i="48"/>
  <c r="H25" i="119"/>
  <c r="J25" i="119" s="1"/>
  <c r="F402" i="48"/>
  <c r="H20" i="121"/>
  <c r="F1393" i="48"/>
  <c r="G1393" i="48" s="1"/>
  <c r="F1389" i="48"/>
  <c r="G1389" i="48" s="1"/>
  <c r="F1552" i="48"/>
  <c r="G1552" i="48" s="1"/>
  <c r="F1548" i="48"/>
  <c r="G1548" i="48" s="1"/>
  <c r="F1556" i="48"/>
  <c r="G1556" i="48" s="1"/>
  <c r="H19" i="127"/>
  <c r="J19" i="127" s="1"/>
  <c r="H19" i="140"/>
  <c r="J19" i="140" s="1"/>
  <c r="H19" i="130"/>
  <c r="J19" i="130" s="1"/>
  <c r="H20" i="127"/>
  <c r="J20" i="127" s="1"/>
  <c r="H18" i="140"/>
  <c r="J18" i="140" s="1"/>
  <c r="H19" i="128"/>
  <c r="J19" i="128" s="1"/>
  <c r="H18" i="131"/>
  <c r="J18" i="131" s="1"/>
  <c r="H18" i="130"/>
  <c r="J18" i="130" s="1"/>
  <c r="H18" i="128"/>
  <c r="J18" i="128" s="1"/>
  <c r="F2571" i="48"/>
  <c r="G2571" i="48" s="1"/>
  <c r="F2409" i="48"/>
  <c r="G2409" i="48" s="1"/>
  <c r="F2844" i="48"/>
  <c r="G2844" i="48" s="1"/>
  <c r="F2247" i="48"/>
  <c r="G2247" i="48" s="1"/>
  <c r="C63" i="110"/>
  <c r="B63" i="110"/>
  <c r="H22" i="140"/>
  <c r="J22" i="140" s="1"/>
  <c r="F2840" i="48"/>
  <c r="G2840" i="48" s="1"/>
  <c r="H53" i="126"/>
  <c r="J53" i="126" s="1"/>
  <c r="F1264" i="48"/>
  <c r="G1264" i="48" s="1"/>
  <c r="F1381" i="48"/>
  <c r="G1381" i="48" s="1"/>
  <c r="H23" i="127"/>
  <c r="J23" i="127" s="1"/>
  <c r="F1909" i="48"/>
  <c r="G1909" i="48" s="1"/>
  <c r="H42" i="130"/>
  <c r="J42" i="130" s="1"/>
  <c r="H63" i="128"/>
  <c r="J63" i="128" s="1"/>
  <c r="F1558" i="48"/>
  <c r="G1558" i="48" s="1"/>
  <c r="F1761" i="48"/>
  <c r="G1761" i="48" s="1"/>
  <c r="F3047" i="48"/>
  <c r="G3047" i="48" s="1"/>
  <c r="H54" i="132"/>
  <c r="J54" i="132" s="1"/>
  <c r="F1426" i="48"/>
  <c r="G1426" i="48" s="1"/>
  <c r="H54" i="127"/>
  <c r="J54" i="127" s="1"/>
  <c r="F1589" i="48"/>
  <c r="G1589" i="48" s="1"/>
  <c r="H53" i="128"/>
  <c r="J53" i="128" s="1"/>
  <c r="H42" i="131"/>
  <c r="J42" i="131" s="1"/>
  <c r="F2071" i="48"/>
  <c r="G2071" i="48" s="1"/>
  <c r="H43" i="127"/>
  <c r="J43" i="127" s="1"/>
  <c r="F1422" i="48"/>
  <c r="G1422" i="48" s="1"/>
  <c r="F2856" i="48"/>
  <c r="G2856" i="48" s="1"/>
  <c r="H34" i="140"/>
  <c r="J34" i="140" s="1"/>
  <c r="F1913" i="48"/>
  <c r="G1913" i="48" s="1"/>
  <c r="H53" i="130"/>
  <c r="J53" i="130" s="1"/>
  <c r="F2881" i="48"/>
  <c r="G2881" i="48" s="1"/>
  <c r="H42" i="140"/>
  <c r="J42" i="140" s="1"/>
  <c r="H53" i="140"/>
  <c r="J53" i="140" s="1"/>
  <c r="F2885" i="48"/>
  <c r="G2885" i="48" s="1"/>
  <c r="F3043" i="48"/>
  <c r="G3043" i="48" s="1"/>
  <c r="H43" i="132"/>
  <c r="F1395" i="48"/>
  <c r="G1395" i="48" s="1"/>
  <c r="H64" i="127"/>
  <c r="J64" i="127" s="1"/>
  <c r="F2733" i="48"/>
  <c r="G2733" i="48" s="1"/>
  <c r="H53" i="131"/>
  <c r="J53" i="131" s="1"/>
  <c r="F2075" i="48"/>
  <c r="G2075" i="48" s="1"/>
  <c r="F1884" i="48"/>
  <c r="G1884" i="48" s="1"/>
  <c r="H34" i="130"/>
  <c r="J34" i="130" s="1"/>
  <c r="F1405" i="48"/>
  <c r="G1405" i="48" s="1"/>
  <c r="H29" i="127"/>
  <c r="J29" i="127" s="1"/>
  <c r="F2046" i="48"/>
  <c r="G2046" i="48" s="1"/>
  <c r="H34" i="131"/>
  <c r="J34" i="131" s="1"/>
  <c r="F1585" i="48"/>
  <c r="G1585" i="48" s="1"/>
  <c r="H42" i="128"/>
  <c r="J42" i="128" s="1"/>
  <c r="G300" i="48" l="1"/>
  <c r="G301" i="48" s="1"/>
  <c r="F1437" i="48"/>
  <c r="G1437" i="48" s="1"/>
  <c r="F1762" i="48"/>
  <c r="G1762" i="48" s="1"/>
  <c r="F2572" i="48"/>
  <c r="G2572" i="48" s="1"/>
  <c r="F2734" i="48"/>
  <c r="G2734" i="48" s="1"/>
  <c r="F2410" i="48"/>
  <c r="G2410" i="48" s="1"/>
  <c r="N15" i="140"/>
  <c r="L15" i="140" s="1"/>
  <c r="J112" i="140"/>
  <c r="N15" i="126"/>
  <c r="L15" i="126" s="1"/>
  <c r="N15" i="145"/>
  <c r="L15" i="145" s="1"/>
  <c r="J112" i="145"/>
  <c r="N15" i="131"/>
  <c r="L15" i="131" s="1"/>
  <c r="J110" i="131"/>
  <c r="N15" i="125"/>
  <c r="L15" i="125" s="1"/>
  <c r="J110" i="125"/>
  <c r="N15" i="142"/>
  <c r="L15" i="142" s="1"/>
  <c r="J112" i="142"/>
  <c r="N16" i="119"/>
  <c r="L16" i="119" s="1"/>
  <c r="J111" i="119"/>
  <c r="F463" i="48"/>
  <c r="F464" i="48" s="1"/>
  <c r="F465" i="48" s="1"/>
  <c r="F788" i="48"/>
  <c r="F789" i="48" s="1"/>
  <c r="F790" i="48" s="1"/>
  <c r="F1112" i="48"/>
  <c r="F1113" i="48" s="1"/>
  <c r="F1114" i="48" s="1"/>
  <c r="F950" i="48"/>
  <c r="F951" i="48" s="1"/>
  <c r="F952" i="48" s="1"/>
  <c r="F300" i="48"/>
  <c r="F301" i="48" s="1"/>
  <c r="J5" i="88" s="1"/>
  <c r="I16" i="88" s="1"/>
  <c r="J16" i="88" s="1"/>
  <c r="H96" i="123"/>
  <c r="N14" i="123" s="1"/>
  <c r="L14" i="123" s="1"/>
  <c r="J18" i="123"/>
  <c r="J18" i="125"/>
  <c r="H96" i="125"/>
  <c r="N14" i="125" s="1"/>
  <c r="L14" i="125" s="1"/>
  <c r="F137" i="48"/>
  <c r="F138" i="48" s="1"/>
  <c r="F139" i="48" s="1"/>
  <c r="J18" i="124"/>
  <c r="H96" i="124"/>
  <c r="N14" i="124" s="1"/>
  <c r="L14" i="124" s="1"/>
  <c r="J19" i="111"/>
  <c r="H96" i="111"/>
  <c r="N14" i="111" s="1"/>
  <c r="L14" i="111" s="1"/>
  <c r="J20" i="121"/>
  <c r="I95" i="121" s="1"/>
  <c r="H97" i="121"/>
  <c r="N15" i="121" s="1"/>
  <c r="L15" i="121" s="1"/>
  <c r="H97" i="122"/>
  <c r="N15" i="122" s="1"/>
  <c r="L15" i="122" s="1"/>
  <c r="J20" i="122"/>
  <c r="H97" i="119"/>
  <c r="N15" i="119" s="1"/>
  <c r="L15" i="119" s="1"/>
  <c r="J19" i="119"/>
  <c r="N15" i="144"/>
  <c r="L15" i="144" s="1"/>
  <c r="N16" i="121"/>
  <c r="L16" i="121" s="1"/>
  <c r="N15" i="128"/>
  <c r="L15" i="128" s="1"/>
  <c r="N15" i="111"/>
  <c r="L15" i="111" s="1"/>
  <c r="N15" i="130"/>
  <c r="L15" i="130" s="1"/>
  <c r="N15" i="123"/>
  <c r="L15" i="123" s="1"/>
  <c r="F1923" i="48"/>
  <c r="G1923" i="48" s="1"/>
  <c r="N15" i="124"/>
  <c r="L15" i="124" s="1"/>
  <c r="F3057" i="48"/>
  <c r="G3057" i="48" s="1"/>
  <c r="F1599" i="48"/>
  <c r="G1599" i="48" s="1"/>
  <c r="F2248" i="48"/>
  <c r="G2248" i="48" s="1"/>
  <c r="N15" i="143"/>
  <c r="L15" i="143" s="1"/>
  <c r="H96" i="131"/>
  <c r="N14" i="131" s="1"/>
  <c r="L14" i="131" s="1"/>
  <c r="H96" i="130"/>
  <c r="N14" i="130" s="1"/>
  <c r="L14" i="130" s="1"/>
  <c r="H96" i="126"/>
  <c r="N14" i="126" s="1"/>
  <c r="L14" i="126" s="1"/>
  <c r="I94" i="130"/>
  <c r="F627" i="48"/>
  <c r="I101" i="127"/>
  <c r="N15" i="129"/>
  <c r="L15" i="129" s="1"/>
  <c r="H103" i="127"/>
  <c r="N15" i="127" s="1"/>
  <c r="L15" i="127" s="1"/>
  <c r="I94" i="128"/>
  <c r="F2895" i="48"/>
  <c r="G2895" i="48" s="1"/>
  <c r="I94" i="140"/>
  <c r="I94" i="131"/>
  <c r="N16" i="127"/>
  <c r="L16" i="127" s="1"/>
  <c r="N15" i="132"/>
  <c r="L15" i="132" s="1"/>
  <c r="J43" i="132"/>
  <c r="H97" i="132"/>
  <c r="N14" i="132" s="1"/>
  <c r="L14" i="132" s="1"/>
  <c r="I94" i="126"/>
  <c r="H96" i="128"/>
  <c r="N14" i="128" s="1"/>
  <c r="L14" i="128" s="1"/>
  <c r="H96" i="140"/>
  <c r="N14" i="140" s="1"/>
  <c r="L14" i="140" s="1"/>
  <c r="F2085" i="48"/>
  <c r="G2085" i="48" s="1"/>
  <c r="F1274" i="48"/>
  <c r="G1274" i="48" s="1"/>
  <c r="F2735" i="48" l="1"/>
  <c r="G2735" i="48" s="1"/>
  <c r="F1763" i="48"/>
  <c r="G1763" i="48" s="1"/>
  <c r="F2411" i="48"/>
  <c r="G2411" i="48" s="1"/>
  <c r="F2573" i="48"/>
  <c r="G2573" i="48" s="1"/>
  <c r="F2896" i="48"/>
  <c r="G2896" i="48" s="1"/>
  <c r="F1275" i="48"/>
  <c r="G1275" i="48" s="1"/>
  <c r="F1600" i="48"/>
  <c r="G1600" i="48" s="1"/>
  <c r="F1924" i="48"/>
  <c r="G1924" i="48" s="1"/>
  <c r="F1438" i="48"/>
  <c r="G1438" i="48" s="1"/>
  <c r="J9" i="88"/>
  <c r="K9" i="88" s="1"/>
  <c r="J7" i="88"/>
  <c r="K7" i="88" s="1"/>
  <c r="K5" i="88"/>
  <c r="F302" i="48"/>
  <c r="G302" i="48" s="1"/>
  <c r="F22" i="133"/>
  <c r="G22" i="133" s="1"/>
  <c r="G9" i="133" s="1"/>
  <c r="I94" i="124"/>
  <c r="I94" i="125"/>
  <c r="I94" i="123"/>
  <c r="I94" i="111"/>
  <c r="I95" i="119"/>
  <c r="I95" i="122"/>
  <c r="J95" i="121"/>
  <c r="I96" i="121" s="1"/>
  <c r="J96" i="121" s="1"/>
  <c r="J97" i="121" s="1"/>
  <c r="T13" i="147"/>
  <c r="U13" i="147" s="1"/>
  <c r="F3058" i="48"/>
  <c r="G3058" i="48" s="1"/>
  <c r="F2249" i="48"/>
  <c r="G2249" i="48" s="1"/>
  <c r="F2086" i="48"/>
  <c r="G2086" i="48" s="1"/>
  <c r="I37" i="88"/>
  <c r="K16" i="88"/>
  <c r="J94" i="128"/>
  <c r="J94" i="130"/>
  <c r="J8" i="88"/>
  <c r="F628" i="48"/>
  <c r="J6" i="88"/>
  <c r="J94" i="126"/>
  <c r="J94" i="140"/>
  <c r="J94" i="131"/>
  <c r="J101" i="127"/>
  <c r="J10" i="88"/>
  <c r="F2897" i="48" l="1"/>
  <c r="G2897" i="48" s="1"/>
  <c r="F1276" i="48"/>
  <c r="F1601" i="48"/>
  <c r="G1601" i="48" s="1"/>
  <c r="F1925" i="48"/>
  <c r="G1925" i="48" s="1"/>
  <c r="F1439" i="48"/>
  <c r="G1439" i="48" s="1"/>
  <c r="I20" i="88"/>
  <c r="J20" i="88" s="1"/>
  <c r="I41" i="88" s="1"/>
  <c r="I18" i="88"/>
  <c r="J18" i="88" s="1"/>
  <c r="I39" i="88" s="1"/>
  <c r="I302" i="48"/>
  <c r="J94" i="125"/>
  <c r="I95" i="125" s="1"/>
  <c r="J95" i="125" s="1"/>
  <c r="J96" i="125" s="1"/>
  <c r="J94" i="124"/>
  <c r="J94" i="123"/>
  <c r="I95" i="123" s="1"/>
  <c r="J95" i="123" s="1"/>
  <c r="J96" i="123" s="1"/>
  <c r="J94" i="111"/>
  <c r="I95" i="111" s="1"/>
  <c r="J95" i="111" s="1"/>
  <c r="J96" i="111" s="1"/>
  <c r="I97" i="121"/>
  <c r="D12" i="110"/>
  <c r="D10" i="110"/>
  <c r="J99" i="121"/>
  <c r="J95" i="122"/>
  <c r="I96" i="122" s="1"/>
  <c r="J96" i="122" s="1"/>
  <c r="J97" i="122" s="1"/>
  <c r="J11" i="88"/>
  <c r="J95" i="119"/>
  <c r="I96" i="119" s="1"/>
  <c r="J96" i="119" s="1"/>
  <c r="J97" i="119" s="1"/>
  <c r="F2087" i="48"/>
  <c r="G2087" i="48" s="1"/>
  <c r="F3059" i="48"/>
  <c r="G3059" i="48" s="1"/>
  <c r="I17" i="88"/>
  <c r="J17" i="88" s="1"/>
  <c r="K6" i="88"/>
  <c r="I95" i="131"/>
  <c r="K8" i="88"/>
  <c r="I19" i="88"/>
  <c r="J19" i="88" s="1"/>
  <c r="K10" i="88"/>
  <c r="I21" i="88"/>
  <c r="J21" i="88" s="1"/>
  <c r="I95" i="140"/>
  <c r="I95" i="128"/>
  <c r="I95" i="130"/>
  <c r="I95" i="126"/>
  <c r="I102" i="127"/>
  <c r="F1317" i="48" l="1"/>
  <c r="G1276" i="48"/>
  <c r="I96" i="123"/>
  <c r="I95" i="124"/>
  <c r="I96" i="125"/>
  <c r="I96" i="111"/>
  <c r="I97" i="119"/>
  <c r="I97" i="122"/>
  <c r="D13" i="110"/>
  <c r="D9" i="110"/>
  <c r="D11" i="110"/>
  <c r="K11" i="88"/>
  <c r="J10" i="110"/>
  <c r="D8" i="110"/>
  <c r="I40" i="88"/>
  <c r="J95" i="128"/>
  <c r="J96" i="128" s="1"/>
  <c r="I96" i="128"/>
  <c r="J95" i="140"/>
  <c r="J96" i="140" s="1"/>
  <c r="I96" i="140"/>
  <c r="J102" i="127"/>
  <c r="J103" i="127" s="1"/>
  <c r="I103" i="127"/>
  <c r="J95" i="131"/>
  <c r="J96" i="131" s="1"/>
  <c r="I96" i="131"/>
  <c r="J95" i="126"/>
  <c r="J96" i="126" s="1"/>
  <c r="I96" i="126"/>
  <c r="J95" i="130"/>
  <c r="J96" i="130" s="1"/>
  <c r="I96" i="130"/>
  <c r="I42" i="88"/>
  <c r="I38" i="88"/>
  <c r="K17" i="88"/>
  <c r="K18" i="88" s="1"/>
  <c r="K19" i="88" s="1"/>
  <c r="K20" i="88" s="1"/>
  <c r="K21" i="88" s="1"/>
  <c r="F1318" i="48" l="1"/>
  <c r="G1317" i="48"/>
  <c r="I43" i="88"/>
  <c r="C33" i="88" s="1"/>
  <c r="J95" i="124"/>
  <c r="J96" i="124" s="1"/>
  <c r="I96" i="124"/>
  <c r="J9" i="110"/>
  <c r="J8" i="110"/>
  <c r="J111" i="126"/>
  <c r="J112" i="126" s="1"/>
  <c r="G1318" i="48" l="1"/>
  <c r="C8" i="48"/>
  <c r="J11" i="110"/>
  <c r="J12" i="110" s="1"/>
  <c r="L17" i="126"/>
  <c r="C5" i="149"/>
  <c r="I106" i="121" l="1"/>
  <c r="I104" i="122"/>
  <c r="I104" i="132"/>
  <c r="I103" i="140"/>
  <c r="I104" i="119"/>
  <c r="D340" i="48" s="1"/>
  <c r="F340" i="48" s="1"/>
  <c r="F342" i="48" s="1"/>
  <c r="I342" i="48" s="1"/>
  <c r="I105" i="142"/>
  <c r="D2287" i="48" s="1"/>
  <c r="F2287" i="48" s="1"/>
  <c r="G2287" i="48" s="1"/>
  <c r="I106" i="143"/>
  <c r="D2449" i="48" s="1"/>
  <c r="F2449" i="48" s="1"/>
  <c r="G2449" i="48" s="1"/>
  <c r="I103" i="123"/>
  <c r="D828" i="48" s="1"/>
  <c r="F828" i="48" s="1"/>
  <c r="I103" i="130"/>
  <c r="I105" i="145"/>
  <c r="D2773" i="48" s="1"/>
  <c r="F2773" i="48" s="1"/>
  <c r="G2773" i="48" s="1"/>
  <c r="I103" i="124"/>
  <c r="D990" i="48" s="1"/>
  <c r="F990" i="48" s="1"/>
  <c r="I105" i="129"/>
  <c r="D1801" i="48" s="1"/>
  <c r="F1801" i="48" s="1"/>
  <c r="G1801" i="48" s="1"/>
  <c r="I105" i="144"/>
  <c r="D2611" i="48" s="1"/>
  <c r="F2611" i="48" s="1"/>
  <c r="G2611" i="48" s="1"/>
  <c r="I103" i="131"/>
  <c r="I103" i="128"/>
  <c r="I103" i="125"/>
  <c r="D1152" i="48" s="1"/>
  <c r="F1152" i="48" s="1"/>
  <c r="I110" i="127"/>
  <c r="I103" i="111"/>
  <c r="D177" i="48" s="1"/>
  <c r="F177" i="48" s="1"/>
  <c r="F179" i="48" s="1"/>
  <c r="F2451" i="48" l="1"/>
  <c r="G2451" i="48" s="1"/>
  <c r="F2613" i="48"/>
  <c r="G2613" i="48" s="1"/>
  <c r="F2775" i="48"/>
  <c r="G2775" i="48" s="1"/>
  <c r="D1963" i="48"/>
  <c r="F1963" i="48" s="1"/>
  <c r="G1963" i="48" s="1"/>
  <c r="M103" i="130"/>
  <c r="D2125" i="48"/>
  <c r="F2125" i="48" s="1"/>
  <c r="G2125" i="48" s="1"/>
  <c r="M103" i="131"/>
  <c r="D3097" i="48"/>
  <c r="F3097" i="48" s="1"/>
  <c r="G3097" i="48" s="1"/>
  <c r="M104" i="132"/>
  <c r="D1477" i="48"/>
  <c r="F1477" i="48" s="1"/>
  <c r="G1477" i="48" s="1"/>
  <c r="M110" i="127"/>
  <c r="D1639" i="48"/>
  <c r="F1639" i="48" s="1"/>
  <c r="G1639" i="48" s="1"/>
  <c r="M103" i="128"/>
  <c r="D2935" i="48"/>
  <c r="F2935" i="48" s="1"/>
  <c r="G2935" i="48" s="1"/>
  <c r="M103" i="140"/>
  <c r="F2289" i="48"/>
  <c r="G2289" i="48" s="1"/>
  <c r="F1154" i="48"/>
  <c r="F1156" i="48" s="1"/>
  <c r="F1157" i="48" s="1"/>
  <c r="F830" i="48"/>
  <c r="F832" i="48" s="1"/>
  <c r="F833" i="48" s="1"/>
  <c r="F1803" i="48"/>
  <c r="G1803" i="48" s="1"/>
  <c r="F992" i="48"/>
  <c r="F994" i="48" s="1"/>
  <c r="F995" i="48" s="1"/>
  <c r="C6" i="48" s="1"/>
  <c r="F181" i="48"/>
  <c r="G181" i="48" s="1"/>
  <c r="G182" i="48" s="1"/>
  <c r="F344" i="48"/>
  <c r="G344" i="48" s="1"/>
  <c r="G345" i="48" s="1"/>
  <c r="J105" i="129"/>
  <c r="J107" i="129" s="1"/>
  <c r="J114" i="129" s="1"/>
  <c r="J115" i="129" s="1"/>
  <c r="J105" i="142"/>
  <c r="J107" i="142" s="1"/>
  <c r="J103" i="131"/>
  <c r="J105" i="131" s="1"/>
  <c r="J104" i="132"/>
  <c r="J106" i="132" s="1"/>
  <c r="J105" i="144"/>
  <c r="J107" i="144" s="1"/>
  <c r="J106" i="143"/>
  <c r="J108" i="143" s="1"/>
  <c r="J110" i="127"/>
  <c r="J112" i="127" s="1"/>
  <c r="J105" i="145"/>
  <c r="J107" i="145" s="1"/>
  <c r="J103" i="128"/>
  <c r="J105" i="128" s="1"/>
  <c r="J103" i="123"/>
  <c r="J105" i="123" s="1"/>
  <c r="J112" i="123" s="1"/>
  <c r="J113" i="123" s="1"/>
  <c r="J104" i="119"/>
  <c r="J106" i="119" s="1"/>
  <c r="J113" i="119" s="1"/>
  <c r="C17" i="48"/>
  <c r="C5" i="48"/>
  <c r="J103" i="125"/>
  <c r="J105" i="125" s="1"/>
  <c r="J112" i="125" s="1"/>
  <c r="J113" i="125" s="1"/>
  <c r="J103" i="130"/>
  <c r="J105" i="130" s="1"/>
  <c r="J103" i="140"/>
  <c r="J105" i="140" s="1"/>
  <c r="J107" i="140" s="1"/>
  <c r="C7" i="48"/>
  <c r="J103" i="124"/>
  <c r="J105" i="124" s="1"/>
  <c r="J112" i="124" s="1"/>
  <c r="J113" i="124" s="1"/>
  <c r="C16" i="48"/>
  <c r="C15" i="48"/>
  <c r="C14" i="48"/>
  <c r="J104" i="122"/>
  <c r="J106" i="122" s="1"/>
  <c r="E9" i="110" s="1"/>
  <c r="D666" i="48"/>
  <c r="F666" i="48" s="1"/>
  <c r="J106" i="121"/>
  <c r="J108" i="121" s="1"/>
  <c r="E10" i="110" s="1"/>
  <c r="D503" i="48"/>
  <c r="F503" i="48" s="1"/>
  <c r="I10" i="147"/>
  <c r="K10" i="147"/>
  <c r="I8" i="147"/>
  <c r="K8" i="147"/>
  <c r="I9" i="147"/>
  <c r="K9" i="147"/>
  <c r="J103" i="111"/>
  <c r="J105" i="111" s="1"/>
  <c r="J112" i="111" s="1"/>
  <c r="J113" i="111" s="1"/>
  <c r="P8" i="94" l="1"/>
  <c r="O10" i="94"/>
  <c r="M11" i="94"/>
  <c r="O7" i="94"/>
  <c r="L11" i="94"/>
  <c r="N13" i="94"/>
  <c r="L12" i="94"/>
  <c r="P10" i="94"/>
  <c r="P11" i="94"/>
  <c r="L8" i="94"/>
  <c r="M10" i="94"/>
  <c r="N8" i="94"/>
  <c r="P13" i="94"/>
  <c r="M8" i="94"/>
  <c r="M13" i="94"/>
  <c r="M9" i="94"/>
  <c r="O8" i="94"/>
  <c r="P9" i="94"/>
  <c r="N12" i="94"/>
  <c r="L7" i="94"/>
  <c r="N9" i="94"/>
  <c r="O13" i="94"/>
  <c r="L9" i="94"/>
  <c r="N7" i="94"/>
  <c r="N11" i="94"/>
  <c r="O9" i="94"/>
  <c r="L13" i="94"/>
  <c r="O12" i="94"/>
  <c r="M7" i="94"/>
  <c r="P7" i="94"/>
  <c r="L10" i="94"/>
  <c r="M12" i="94"/>
  <c r="P12" i="94"/>
  <c r="N10" i="94"/>
  <c r="O11" i="94"/>
  <c r="F2615" i="48"/>
  <c r="F2453" i="48"/>
  <c r="G2453" i="48" s="1"/>
  <c r="F2777" i="48"/>
  <c r="F1641" i="48"/>
  <c r="G1641" i="48" s="1"/>
  <c r="F1965" i="48"/>
  <c r="G1965" i="48" s="1"/>
  <c r="F1805" i="48"/>
  <c r="G1805" i="48" s="1"/>
  <c r="F2291" i="48"/>
  <c r="G2291" i="48" s="1"/>
  <c r="F2937" i="48"/>
  <c r="G2937" i="48" s="1"/>
  <c r="F2127" i="48"/>
  <c r="G2127" i="48" s="1"/>
  <c r="F1479" i="48"/>
  <c r="G1479" i="48" s="1"/>
  <c r="I15" i="147"/>
  <c r="K15" i="147"/>
  <c r="M105" i="132"/>
  <c r="F3099" i="48"/>
  <c r="G3099" i="48" s="1"/>
  <c r="E6" i="48"/>
  <c r="I344" i="48"/>
  <c r="F668" i="48"/>
  <c r="F670" i="48" s="1"/>
  <c r="G670" i="48" s="1"/>
  <c r="G671" i="48" s="1"/>
  <c r="F505" i="48"/>
  <c r="F507" i="48" s="1"/>
  <c r="F182" i="48"/>
  <c r="H181" i="48"/>
  <c r="H182" i="48" s="1"/>
  <c r="I22" i="133"/>
  <c r="J22" i="133" s="1"/>
  <c r="H344" i="48"/>
  <c r="L5" i="88"/>
  <c r="M5" i="88" s="1"/>
  <c r="F345" i="48"/>
  <c r="H5" i="88"/>
  <c r="I5" i="88" s="1"/>
  <c r="J112" i="131"/>
  <c r="I17" i="147" s="1"/>
  <c r="N17" i="147" s="1"/>
  <c r="J119" i="127"/>
  <c r="J114" i="140"/>
  <c r="J115" i="140" s="1"/>
  <c r="I32" i="132" s="1"/>
  <c r="J112" i="128"/>
  <c r="E8" i="110"/>
  <c r="F8" i="110" s="1"/>
  <c r="J112" i="130"/>
  <c r="E13" i="110"/>
  <c r="F13" i="110" s="1"/>
  <c r="E11" i="110"/>
  <c r="F11" i="110" s="1"/>
  <c r="J115" i="121"/>
  <c r="J116" i="121" s="1"/>
  <c r="E12" i="110"/>
  <c r="F12" i="110" s="1"/>
  <c r="K7" i="147"/>
  <c r="I7" i="147"/>
  <c r="O15" i="94"/>
  <c r="M20" i="94"/>
  <c r="M16" i="94"/>
  <c r="O14" i="94"/>
  <c r="P18" i="94"/>
  <c r="P17" i="94"/>
  <c r="L16" i="94"/>
  <c r="M18" i="94"/>
  <c r="P15" i="94"/>
  <c r="N19" i="94"/>
  <c r="N16" i="94"/>
  <c r="L20" i="94"/>
  <c r="N20" i="94"/>
  <c r="P20" i="94"/>
  <c r="L14" i="94"/>
  <c r="O17" i="94"/>
  <c r="P14" i="94"/>
  <c r="N14" i="94"/>
  <c r="N17" i="94"/>
  <c r="L19" i="94"/>
  <c r="O19" i="94"/>
  <c r="P16" i="94"/>
  <c r="N15" i="94"/>
  <c r="O18" i="94"/>
  <c r="O20" i="94"/>
  <c r="M15" i="94"/>
  <c r="L15" i="94"/>
  <c r="M17" i="94"/>
  <c r="O16" i="94"/>
  <c r="M19" i="94"/>
  <c r="L18" i="94"/>
  <c r="N18" i="94"/>
  <c r="M14" i="94"/>
  <c r="P19" i="94"/>
  <c r="L17" i="94"/>
  <c r="F9" i="110"/>
  <c r="I9" i="110"/>
  <c r="J114" i="119"/>
  <c r="F10" i="110"/>
  <c r="I10" i="110"/>
  <c r="L24" i="94" l="1"/>
  <c r="L21" i="94"/>
  <c r="P21" i="94"/>
  <c r="N24" i="94"/>
  <c r="O21" i="94"/>
  <c r="M26" i="94"/>
  <c r="L26" i="94"/>
  <c r="P26" i="94"/>
  <c r="M24" i="94"/>
  <c r="M27" i="94"/>
  <c r="P27" i="94"/>
  <c r="O25" i="94"/>
  <c r="P22" i="94"/>
  <c r="P23" i="94"/>
  <c r="N22" i="94"/>
  <c r="L27" i="94"/>
  <c r="O22" i="94"/>
  <c r="L23" i="94"/>
  <c r="M21" i="94"/>
  <c r="L22" i="94"/>
  <c r="N21" i="94"/>
  <c r="P25" i="94"/>
  <c r="M22" i="94"/>
  <c r="N23" i="94"/>
  <c r="N25" i="94"/>
  <c r="O27" i="94"/>
  <c r="N27" i="94"/>
  <c r="M25" i="94"/>
  <c r="P24" i="94"/>
  <c r="O23" i="94"/>
  <c r="M23" i="94"/>
  <c r="O24" i="94"/>
  <c r="N26" i="94"/>
  <c r="O26" i="94"/>
  <c r="L25" i="94"/>
  <c r="F2778" i="48"/>
  <c r="G2778" i="48" s="1"/>
  <c r="G2777" i="48"/>
  <c r="G6" i="48"/>
  <c r="G507" i="48"/>
  <c r="F2616" i="48"/>
  <c r="G2616" i="48" s="1"/>
  <c r="G2615" i="48"/>
  <c r="F2454" i="48"/>
  <c r="G2454" i="48" s="1"/>
  <c r="F2939" i="48"/>
  <c r="G2939" i="48" s="1"/>
  <c r="H2937" i="48"/>
  <c r="F1806" i="48"/>
  <c r="G1806" i="48" s="1"/>
  <c r="F1967" i="48"/>
  <c r="G1967" i="48" s="1"/>
  <c r="F1643" i="48"/>
  <c r="G1643" i="48" s="1"/>
  <c r="F2129" i="48"/>
  <c r="G2129" i="48" s="1"/>
  <c r="F2292" i="48"/>
  <c r="G2292" i="48" s="1"/>
  <c r="F1481" i="48"/>
  <c r="G1481" i="48" s="1"/>
  <c r="F3101" i="48"/>
  <c r="G3101" i="48" s="1"/>
  <c r="J113" i="131"/>
  <c r="C8" i="149" s="1"/>
  <c r="K17" i="147"/>
  <c r="O17" i="147" s="1"/>
  <c r="L10" i="88"/>
  <c r="M10" i="88" s="1"/>
  <c r="L8" i="88"/>
  <c r="M19" i="88" s="1"/>
  <c r="N19" i="88" s="1"/>
  <c r="H10" i="88"/>
  <c r="I10" i="88" s="1"/>
  <c r="F669" i="48"/>
  <c r="H8" i="88"/>
  <c r="I8" i="88" s="1"/>
  <c r="F671" i="48"/>
  <c r="F673" i="48" s="1"/>
  <c r="F6" i="48"/>
  <c r="L6" i="88"/>
  <c r="M17" i="88" s="1"/>
  <c r="N17" i="88" s="1"/>
  <c r="H670" i="48"/>
  <c r="H6" i="88"/>
  <c r="I6" i="88" s="1"/>
  <c r="J670" i="48"/>
  <c r="H9" i="88"/>
  <c r="I9" i="88" s="1"/>
  <c r="H7" i="88"/>
  <c r="I7" i="88" s="1"/>
  <c r="L9" i="88"/>
  <c r="M9" i="88" s="1"/>
  <c r="H507" i="48"/>
  <c r="G8" i="48" s="1"/>
  <c r="F508" i="48"/>
  <c r="F506" i="48" s="1"/>
  <c r="L7" i="88"/>
  <c r="H345" i="48"/>
  <c r="E8" i="48"/>
  <c r="E7" i="48"/>
  <c r="G8" i="133"/>
  <c r="G5" i="133"/>
  <c r="G6" i="133" s="1"/>
  <c r="M16" i="88"/>
  <c r="N16" i="88" s="1"/>
  <c r="O16" i="88" s="1"/>
  <c r="J120" i="127"/>
  <c r="C7" i="149" s="1"/>
  <c r="I12" i="147"/>
  <c r="N12" i="147" s="1"/>
  <c r="K13" i="147"/>
  <c r="O13" i="147" s="1"/>
  <c r="K12" i="147"/>
  <c r="O12" i="147" s="1"/>
  <c r="K22" i="147"/>
  <c r="O22" i="147" s="1"/>
  <c r="I22" i="147"/>
  <c r="N22" i="147" s="1"/>
  <c r="K16" i="147"/>
  <c r="O16" i="147" s="1"/>
  <c r="J113" i="130"/>
  <c r="C9" i="149" s="1"/>
  <c r="I16" i="147"/>
  <c r="N16" i="147" s="1"/>
  <c r="I14" i="147"/>
  <c r="N14" i="147" s="1"/>
  <c r="K14" i="147"/>
  <c r="O14" i="147" s="1"/>
  <c r="J113" i="128"/>
  <c r="C10" i="149" s="1"/>
  <c r="I8" i="110"/>
  <c r="I11" i="110" s="1"/>
  <c r="I109" i="122"/>
  <c r="J109" i="122" s="1"/>
  <c r="F17" i="110"/>
  <c r="J32" i="132"/>
  <c r="G7" i="48" l="1"/>
  <c r="G508" i="48"/>
  <c r="F3102" i="48"/>
  <c r="G3102" i="48" s="1"/>
  <c r="F1644" i="48"/>
  <c r="G1644" i="48" s="1"/>
  <c r="F1968" i="48"/>
  <c r="G1968" i="48" s="1"/>
  <c r="C11" i="48"/>
  <c r="F2130" i="48"/>
  <c r="G2130" i="48" s="1"/>
  <c r="F2940" i="48"/>
  <c r="G2940" i="48" s="1"/>
  <c r="F1482" i="48"/>
  <c r="G1482" i="48" s="1"/>
  <c r="H671" i="48"/>
  <c r="F8" i="48"/>
  <c r="H508" i="48"/>
  <c r="F7" i="48"/>
  <c r="M21" i="88"/>
  <c r="N21" i="88" s="1"/>
  <c r="M8" i="88"/>
  <c r="M20" i="88"/>
  <c r="N20" i="88" s="1"/>
  <c r="M6" i="88"/>
  <c r="L11" i="88"/>
  <c r="J112" i="122"/>
  <c r="J114" i="122" s="1"/>
  <c r="M18" i="88"/>
  <c r="N18" i="88" s="1"/>
  <c r="M7" i="88"/>
  <c r="I11" i="88"/>
  <c r="C30" i="88" s="1"/>
  <c r="E30" i="88" s="1"/>
  <c r="H6" i="48"/>
  <c r="G11" i="94" s="1"/>
  <c r="H11" i="88"/>
  <c r="L16" i="122"/>
  <c r="T14" i="147" s="1"/>
  <c r="U14" i="147" s="1"/>
  <c r="O17" i="88"/>
  <c r="N7" i="110"/>
  <c r="Q11" i="110"/>
  <c r="Q8" i="110"/>
  <c r="M8" i="110"/>
  <c r="O10" i="110"/>
  <c r="M6" i="110"/>
  <c r="N10" i="110"/>
  <c r="M11" i="110"/>
  <c r="P6" i="110"/>
  <c r="M9" i="110"/>
  <c r="P10" i="110"/>
  <c r="M10" i="110"/>
  <c r="N6" i="110"/>
  <c r="P9" i="110"/>
  <c r="N11" i="110"/>
  <c r="O6" i="110"/>
  <c r="N12" i="110"/>
  <c r="N8" i="110"/>
  <c r="M7" i="110"/>
  <c r="O12" i="110"/>
  <c r="P12" i="110"/>
  <c r="P8" i="110"/>
  <c r="O11" i="110"/>
  <c r="O7" i="110"/>
  <c r="Q12" i="110"/>
  <c r="Q7" i="110"/>
  <c r="I23" i="110"/>
  <c r="I16" i="110"/>
  <c r="Q9" i="110"/>
  <c r="I12" i="110"/>
  <c r="P7" i="110"/>
  <c r="O8" i="110"/>
  <c r="P11" i="110"/>
  <c r="Q10" i="110"/>
  <c r="O9" i="110"/>
  <c r="M12" i="110"/>
  <c r="Q6" i="110"/>
  <c r="N9" i="110"/>
  <c r="I95" i="132"/>
  <c r="H7" i="48" l="1"/>
  <c r="H17" i="94" s="1"/>
  <c r="C12" i="48"/>
  <c r="H8" i="48"/>
  <c r="D26" i="94" s="1"/>
  <c r="C18" i="48"/>
  <c r="C10" i="48"/>
  <c r="C13" i="48"/>
  <c r="C19" i="48"/>
  <c r="C9" i="48"/>
  <c r="M11" i="88"/>
  <c r="C31" i="88" s="1"/>
  <c r="D31" i="88" s="1"/>
  <c r="C32" i="88"/>
  <c r="I6" i="147"/>
  <c r="N6" i="147" s="1"/>
  <c r="K6" i="147"/>
  <c r="O6" i="147" s="1"/>
  <c r="J115" i="122"/>
  <c r="D30" i="88"/>
  <c r="O18" i="88"/>
  <c r="O19" i="88" s="1"/>
  <c r="O20" i="88" s="1"/>
  <c r="O21" i="88" s="1"/>
  <c r="H13" i="94"/>
  <c r="G9" i="94"/>
  <c r="F8" i="94"/>
  <c r="E9" i="94"/>
  <c r="D9" i="94"/>
  <c r="F13" i="94"/>
  <c r="D7" i="94"/>
  <c r="H7" i="94"/>
  <c r="D8" i="94"/>
  <c r="F10" i="94"/>
  <c r="E13" i="94"/>
  <c r="H10" i="94"/>
  <c r="G8" i="94"/>
  <c r="F9" i="94"/>
  <c r="F7" i="94"/>
  <c r="H9" i="94"/>
  <c r="G7" i="94"/>
  <c r="E12" i="94"/>
  <c r="F11" i="94"/>
  <c r="F12" i="94"/>
  <c r="D12" i="94"/>
  <c r="E7" i="94"/>
  <c r="D11" i="94"/>
  <c r="D10" i="94"/>
  <c r="G12" i="94"/>
  <c r="H8" i="94"/>
  <c r="E10" i="94"/>
  <c r="G13" i="94"/>
  <c r="D13" i="94"/>
  <c r="H11" i="94"/>
  <c r="G10" i="94"/>
  <c r="E8" i="94"/>
  <c r="E11" i="94"/>
  <c r="H12" i="94"/>
  <c r="N26" i="110"/>
  <c r="P21" i="110"/>
  <c r="Q25" i="110"/>
  <c r="M25" i="110"/>
  <c r="Q26" i="110"/>
  <c r="O24" i="110"/>
  <c r="M21" i="110"/>
  <c r="P20" i="110"/>
  <c r="P24" i="110"/>
  <c r="M20" i="110"/>
  <c r="N22" i="110"/>
  <c r="P25" i="110"/>
  <c r="M24" i="110"/>
  <c r="Q21" i="110"/>
  <c r="N20" i="110"/>
  <c r="Q20" i="110"/>
  <c r="O23" i="110"/>
  <c r="Q22" i="110"/>
  <c r="P22" i="110"/>
  <c r="M23" i="110"/>
  <c r="Q24" i="110"/>
  <c r="O22" i="110"/>
  <c r="O20" i="110"/>
  <c r="P23" i="110"/>
  <c r="M26" i="110"/>
  <c r="P26" i="110"/>
  <c r="N24" i="110"/>
  <c r="O26" i="110"/>
  <c r="N21" i="110"/>
  <c r="O21" i="110"/>
  <c r="Q23" i="110"/>
  <c r="O25" i="110"/>
  <c r="N25" i="110"/>
  <c r="N23" i="110"/>
  <c r="M22" i="110"/>
  <c r="M14" i="110"/>
  <c r="N16" i="110"/>
  <c r="P16" i="110"/>
  <c r="O13" i="110"/>
  <c r="N13" i="110"/>
  <c r="N17" i="110"/>
  <c r="O14" i="110"/>
  <c r="M18" i="110"/>
  <c r="Q19" i="110"/>
  <c r="M16" i="110"/>
  <c r="Q16" i="110"/>
  <c r="P14" i="110"/>
  <c r="M19" i="110"/>
  <c r="Q18" i="110"/>
  <c r="M17" i="110"/>
  <c r="N15" i="110"/>
  <c r="O17" i="110"/>
  <c r="M15" i="110"/>
  <c r="N19" i="110"/>
  <c r="O16" i="110"/>
  <c r="N18" i="110"/>
  <c r="P17" i="110"/>
  <c r="M13" i="110"/>
  <c r="O19" i="110"/>
  <c r="Q14" i="110"/>
  <c r="P15" i="110"/>
  <c r="N14" i="110"/>
  <c r="Q13" i="110"/>
  <c r="Q17" i="110"/>
  <c r="O15" i="110"/>
  <c r="Q15" i="110"/>
  <c r="P19" i="110"/>
  <c r="O18" i="110"/>
  <c r="P18" i="110"/>
  <c r="P13" i="110"/>
  <c r="J95" i="132"/>
  <c r="F25" i="94" l="1"/>
  <c r="D23" i="94"/>
  <c r="F23" i="94"/>
  <c r="D21" i="94"/>
  <c r="H21" i="94"/>
  <c r="E21" i="94"/>
  <c r="G25" i="94"/>
  <c r="H26" i="94"/>
  <c r="D25" i="94"/>
  <c r="E27" i="94"/>
  <c r="F27" i="94"/>
  <c r="G21" i="94"/>
  <c r="D27" i="94"/>
  <c r="G27" i="94"/>
  <c r="F22" i="94"/>
  <c r="E25" i="94"/>
  <c r="F21" i="94"/>
  <c r="H24" i="94"/>
  <c r="F26" i="94"/>
  <c r="G26" i="94"/>
  <c r="G24" i="94"/>
  <c r="E22" i="94"/>
  <c r="E23" i="94"/>
  <c r="H23" i="94"/>
  <c r="E24" i="94"/>
  <c r="E26" i="94"/>
  <c r="H22" i="94"/>
  <c r="D24" i="94"/>
  <c r="G22" i="94"/>
  <c r="D22" i="94"/>
  <c r="F24" i="94"/>
  <c r="H27" i="94"/>
  <c r="G23" i="94"/>
  <c r="H25" i="94"/>
  <c r="E18" i="94"/>
  <c r="H19" i="94"/>
  <c r="D17" i="94"/>
  <c r="D16" i="94"/>
  <c r="H20" i="94"/>
  <c r="E20" i="94"/>
  <c r="G20" i="94"/>
  <c r="G15" i="94"/>
  <c r="G14" i="94"/>
  <c r="F17" i="94"/>
  <c r="D18" i="94"/>
  <c r="H18" i="94"/>
  <c r="E14" i="94"/>
  <c r="D19" i="94"/>
  <c r="F18" i="94"/>
  <c r="E17" i="94"/>
  <c r="D15" i="94"/>
  <c r="D14" i="94"/>
  <c r="F20" i="94"/>
  <c r="H15" i="94"/>
  <c r="E16" i="94"/>
  <c r="E15" i="94"/>
  <c r="E19" i="94"/>
  <c r="H16" i="94"/>
  <c r="G16" i="94"/>
  <c r="F19" i="94"/>
  <c r="G18" i="94"/>
  <c r="D20" i="94"/>
  <c r="G19" i="94"/>
  <c r="H14" i="94"/>
  <c r="F14" i="94"/>
  <c r="G17" i="94"/>
  <c r="F15" i="94"/>
  <c r="F16" i="94"/>
  <c r="C20" i="48"/>
  <c r="W11" i="94" s="1"/>
  <c r="E31" i="88"/>
  <c r="I96" i="132"/>
  <c r="V27" i="94" l="1"/>
  <c r="V8" i="94"/>
  <c r="X27" i="94"/>
  <c r="U27" i="94"/>
  <c r="U13" i="94"/>
  <c r="V24" i="94"/>
  <c r="X19" i="94"/>
  <c r="V16" i="94"/>
  <c r="U21" i="94"/>
  <c r="W16" i="94"/>
  <c r="T15" i="94"/>
  <c r="W14" i="94"/>
  <c r="U18" i="94"/>
  <c r="W9" i="94"/>
  <c r="X21" i="94"/>
  <c r="T9" i="94"/>
  <c r="V19" i="94"/>
  <c r="T22" i="94"/>
  <c r="U17" i="94"/>
  <c r="W15" i="94"/>
  <c r="X25" i="94"/>
  <c r="U12" i="94"/>
  <c r="V26" i="94"/>
  <c r="T12" i="94"/>
  <c r="T14" i="94"/>
  <c r="V15" i="94"/>
  <c r="V14" i="94"/>
  <c r="U19" i="94"/>
  <c r="V18" i="94"/>
  <c r="W20" i="94"/>
  <c r="X13" i="94"/>
  <c r="X8" i="94"/>
  <c r="X17" i="94"/>
  <c r="T11" i="94"/>
  <c r="V11" i="94"/>
  <c r="X16" i="94"/>
  <c r="X14" i="94"/>
  <c r="U15" i="94"/>
  <c r="T19" i="94"/>
  <c r="U20" i="94"/>
  <c r="T8" i="94"/>
  <c r="X12" i="94"/>
  <c r="U25" i="94"/>
  <c r="W27" i="94"/>
  <c r="V17" i="94"/>
  <c r="W17" i="94"/>
  <c r="W19" i="94"/>
  <c r="U16" i="94"/>
  <c r="T27" i="94"/>
  <c r="W26" i="94"/>
  <c r="W13" i="94"/>
  <c r="U22" i="94"/>
  <c r="X23" i="94"/>
  <c r="W21" i="94"/>
  <c r="V10" i="94"/>
  <c r="T5" i="147" s="1"/>
  <c r="U5" i="147" s="1"/>
  <c r="T26" i="94"/>
  <c r="T21" i="94"/>
  <c r="W23" i="94"/>
  <c r="W8" i="94"/>
  <c r="X9" i="94"/>
  <c r="U23" i="94"/>
  <c r="T13" i="94"/>
  <c r="V13" i="94"/>
  <c r="T7" i="94"/>
  <c r="W22" i="94"/>
  <c r="V9" i="94"/>
  <c r="V7" i="94"/>
  <c r="U14" i="94"/>
  <c r="W7" i="94"/>
  <c r="T25" i="94"/>
  <c r="U10" i="94"/>
  <c r="U9" i="94"/>
  <c r="W24" i="94"/>
  <c r="T24" i="94"/>
  <c r="U7" i="94"/>
  <c r="X24" i="94"/>
  <c r="X20" i="94"/>
  <c r="V25" i="94"/>
  <c r="T20" i="94"/>
  <c r="X15" i="94"/>
  <c r="X18" i="94"/>
  <c r="T16" i="94"/>
  <c r="W12" i="94"/>
  <c r="W10" i="94"/>
  <c r="X26" i="94"/>
  <c r="V23" i="94"/>
  <c r="X10" i="94"/>
  <c r="T10" i="94"/>
  <c r="X22" i="94"/>
  <c r="X11" i="94"/>
  <c r="X7" i="94"/>
  <c r="W18" i="94"/>
  <c r="V20" i="94"/>
  <c r="T18" i="94"/>
  <c r="T17" i="94"/>
  <c r="U11" i="94"/>
  <c r="U8" i="94"/>
  <c r="W25" i="94"/>
  <c r="T23" i="94"/>
  <c r="V12" i="94"/>
  <c r="V22" i="94"/>
  <c r="U26" i="94"/>
  <c r="U24" i="94"/>
  <c r="V21" i="94"/>
  <c r="J96" i="132"/>
  <c r="J97" i="132" s="1"/>
  <c r="I97" i="132"/>
  <c r="J115" i="132" l="1"/>
  <c r="J108" i="132"/>
  <c r="K23" i="147" l="1"/>
  <c r="O23" i="147" s="1"/>
  <c r="I23" i="147"/>
  <c r="N23" i="147" s="1"/>
  <c r="J116" i="132"/>
  <c r="C6" i="149" s="1"/>
</calcChain>
</file>

<file path=xl/sharedStrings.xml><?xml version="1.0" encoding="utf-8"?>
<sst xmlns="http://purl.oclc.org/ooxml/spreadsheetml/main" count="4579" uniqueCount="547">
  <si>
    <t>Value</t>
  </si>
  <si>
    <t>Unit</t>
  </si>
  <si>
    <t>Efficiency</t>
  </si>
  <si>
    <t>Yield</t>
  </si>
  <si>
    <t>C</t>
  </si>
  <si>
    <t>Guar</t>
  </si>
  <si>
    <t>Guayule</t>
  </si>
  <si>
    <t>Total</t>
  </si>
  <si>
    <t>Machinery</t>
  </si>
  <si>
    <t>Tractor</t>
  </si>
  <si>
    <t/>
  </si>
  <si>
    <t>Cotton</t>
  </si>
  <si>
    <t>Sorghum</t>
  </si>
  <si>
    <t>% Irrigation Type</t>
  </si>
  <si>
    <t>Field Operations</t>
  </si>
  <si>
    <t>X/Acre</t>
  </si>
  <si>
    <t>Budget Unit</t>
  </si>
  <si>
    <t>Acres</t>
  </si>
  <si>
    <t>CROP</t>
  </si>
  <si>
    <t>% of farm</t>
  </si>
  <si>
    <t>Flood</t>
  </si>
  <si>
    <t>V-Ripper</t>
  </si>
  <si>
    <t>Returns</t>
  </si>
  <si>
    <t>Name</t>
  </si>
  <si>
    <t>$/Unit</t>
  </si>
  <si>
    <t>Quantity</t>
  </si>
  <si>
    <t>Moldboard Plow</t>
  </si>
  <si>
    <t>Total Returns</t>
  </si>
  <si>
    <t>Landplane</t>
  </si>
  <si>
    <t>Bed Shaper</t>
  </si>
  <si>
    <t>Drill</t>
  </si>
  <si>
    <t>Combine</t>
  </si>
  <si>
    <t>Grain Cart</t>
  </si>
  <si>
    <t>Non-Harvest Production Inputs and Machine Costs</t>
  </si>
  <si>
    <t>Bale Wagon</t>
  </si>
  <si>
    <t>Hour</t>
  </si>
  <si>
    <t xml:space="preserve">With Power Unit </t>
  </si>
  <si>
    <t>Purchase</t>
  </si>
  <si>
    <t xml:space="preserve">Fuel Use </t>
  </si>
  <si>
    <t xml:space="preserve">Repair  </t>
  </si>
  <si>
    <t xml:space="preserve">Acres per </t>
  </si>
  <si>
    <t>LABOR</t>
  </si>
  <si>
    <t>REPAIRS</t>
  </si>
  <si>
    <t>REPLACE</t>
  </si>
  <si>
    <t>Harvest</t>
  </si>
  <si>
    <t>Price</t>
  </si>
  <si>
    <t>Budget Life</t>
  </si>
  <si>
    <t>Repair Factors</t>
  </si>
  <si>
    <t>RFV Factor</t>
  </si>
  <si>
    <t>per Hour</t>
  </si>
  <si>
    <t>Width</t>
  </si>
  <si>
    <t>Speed</t>
  </si>
  <si>
    <t>Cost/Hour</t>
  </si>
  <si>
    <t xml:space="preserve"> Cost/Hour</t>
  </si>
  <si>
    <t>Year</t>
  </si>
  <si>
    <t>Hours/year</t>
  </si>
  <si>
    <t>$/Acre</t>
  </si>
  <si>
    <t xml:space="preserve">   Quantity</t>
  </si>
  <si>
    <t>N/A</t>
  </si>
  <si>
    <t>Other Expenses</t>
  </si>
  <si>
    <t>Interest on Operating Capital</t>
  </si>
  <si>
    <t>Total Non-Harvest Costs</t>
  </si>
  <si>
    <t>Production Inputs and Machine Costs</t>
  </si>
  <si>
    <t>Total Annual Costs</t>
  </si>
  <si>
    <t>Returns minus Total Annual Costs</t>
  </si>
  <si>
    <t>Crop Insurance</t>
  </si>
  <si>
    <t>Fuel Price</t>
  </si>
  <si>
    <t>Irrigation Labor Rates</t>
  </si>
  <si>
    <t>Machine Labor Rates</t>
  </si>
  <si>
    <t>Months of Operating Loan</t>
  </si>
  <si>
    <t>Alfalfa Hay Crop</t>
  </si>
  <si>
    <t>Crop</t>
  </si>
  <si>
    <t>FUEL</t>
  </si>
  <si>
    <t>Yield, Lbs/Acre</t>
  </si>
  <si>
    <t>Property Insurance</t>
  </si>
  <si>
    <t>Fuel Use per Hour</t>
  </si>
  <si>
    <t>Variable Cash Costs</t>
  </si>
  <si>
    <t>Total Fixed Non-Cash Costs</t>
  </si>
  <si>
    <t>Fixed Cash Costs</t>
  </si>
  <si>
    <t>Total Fixed Cash Costs</t>
  </si>
  <si>
    <t>BASE</t>
  </si>
  <si>
    <t>Level +1</t>
  </si>
  <si>
    <t>Level +2</t>
  </si>
  <si>
    <t>Level -1</t>
  </si>
  <si>
    <t>Level -2</t>
  </si>
  <si>
    <t>Level +3</t>
  </si>
  <si>
    <t>Level -3</t>
  </si>
  <si>
    <t>Level 1</t>
  </si>
  <si>
    <t>Level 2</t>
  </si>
  <si>
    <t>Annual Returns</t>
  </si>
  <si>
    <t>Annual Costs</t>
  </si>
  <si>
    <t>Total Farm</t>
  </si>
  <si>
    <t>Total Available Water</t>
  </si>
  <si>
    <t>PV of Total Costs</t>
  </si>
  <si>
    <t>Total LO Costs</t>
  </si>
  <si>
    <t>PV of LO Costs</t>
  </si>
  <si>
    <t>Total Tenant Costs</t>
  </si>
  <si>
    <t>PV of Tenant Costs</t>
  </si>
  <si>
    <t>Sprinkler</t>
  </si>
  <si>
    <t>Acres of Crop</t>
  </si>
  <si>
    <t>Price and Crops Yields</t>
  </si>
  <si>
    <t>Annual Appreciation of Land Values</t>
  </si>
  <si>
    <t>Desired Return on Investment (%)</t>
  </si>
  <si>
    <t>Agricultural Value of Land (per acre)</t>
  </si>
  <si>
    <r>
      <rPr>
        <vertAlign val="superscript"/>
        <sz val="16"/>
        <color theme="1"/>
        <rFont val="Calibri (Body)"/>
      </rPr>
      <t>1</t>
    </r>
    <r>
      <rPr>
        <sz val="16"/>
        <color theme="1"/>
        <rFont val="Calibri (Body)"/>
      </rPr>
      <t>Custom harvest DOES include hauling the product out of the field. However, if custom harvest DOES NOT include hauling the product out of the field OR the producer provides the hauling, INCLUDE a price and quantity as a custom hauling cost.</t>
    </r>
  </si>
  <si>
    <t>Crop Share Calculations</t>
  </si>
  <si>
    <t>Cash Rent Calculations</t>
  </si>
  <si>
    <t>Annual Net Returns</t>
  </si>
  <si>
    <r>
      <rPr>
        <sz val="10"/>
        <color theme="1"/>
        <rFont val="Calibri (Body)"/>
      </rPr>
      <t>Accumulated</t>
    </r>
    <r>
      <rPr>
        <sz val="11"/>
        <color theme="1"/>
        <rFont val="Calibri"/>
        <family val="2"/>
        <scheme val="minor"/>
      </rPr>
      <t xml:space="preserve"> Net Returns</t>
    </r>
  </si>
  <si>
    <t>Tenant Returns and Costs</t>
  </si>
  <si>
    <t>Landowner Returns and Costs</t>
  </si>
  <si>
    <t>Drag</t>
  </si>
  <si>
    <t>Offset Disk</t>
  </si>
  <si>
    <t>Price of Irrigation Water Applied w/ Pumping Costs</t>
  </si>
  <si>
    <t>Machine</t>
  </si>
  <si>
    <t>Market Value</t>
  </si>
  <si>
    <t>Hours of Annual Use</t>
  </si>
  <si>
    <t>Expected Life (Years)</t>
  </si>
  <si>
    <t>Width (feet)</t>
  </si>
  <si>
    <t>Fuel  &amp; Lube</t>
  </si>
  <si>
    <t>Repairs &amp; Maint.</t>
  </si>
  <si>
    <t>-- Variable Costs --</t>
  </si>
  <si>
    <t>Fixed Cost</t>
  </si>
  <si>
    <t xml:space="preserve">Total Cost </t>
  </si>
  <si>
    <t>Field Operation</t>
  </si>
  <si>
    <t>1</t>
  </si>
  <si>
    <t>2</t>
  </si>
  <si>
    <t>Machinery Ownership Opportunity Cost</t>
  </si>
  <si>
    <t>Capital Recovery Cost</t>
  </si>
  <si>
    <t>Fixed Costs - Depreciation and Interest</t>
  </si>
  <si>
    <t>Annual Cash Rent Payment</t>
  </si>
  <si>
    <t>Total Fixed Costs</t>
  </si>
  <si>
    <t>Deprec. &amp; Interest</t>
  </si>
  <si>
    <t>Property Taxes</t>
  </si>
  <si>
    <t>Float</t>
  </si>
  <si>
    <t>Boom Sprayer</t>
  </si>
  <si>
    <t>Amortization Charges</t>
  </si>
  <si>
    <t>Machine Operation</t>
  </si>
  <si>
    <t>Harvest Years</t>
  </si>
  <si>
    <t>Growing Years</t>
  </si>
  <si>
    <t>Income</t>
  </si>
  <si>
    <t>Year 1: Establishment</t>
  </si>
  <si>
    <t>Year 3: Growing</t>
  </si>
  <si>
    <t>Year 5: Growing</t>
  </si>
  <si>
    <t>Year 1</t>
  </si>
  <si>
    <t>Years 2, 4, 6</t>
  </si>
  <si>
    <t>Years 3, 5</t>
  </si>
  <si>
    <t>Total Cost</t>
  </si>
  <si>
    <t xml:space="preserve"> Cash Cost</t>
  </si>
  <si>
    <t>Labor</t>
  </si>
  <si>
    <t>Materials</t>
  </si>
  <si>
    <t>Irrigation</t>
  </si>
  <si>
    <t>percent</t>
  </si>
  <si>
    <r>
      <t xml:space="preserve">Total </t>
    </r>
    <r>
      <rPr>
        <b/>
        <sz val="16"/>
        <color theme="1"/>
        <rFont val="Times New Roman"/>
        <family val="1"/>
      </rPr>
      <t>Variable Cash</t>
    </r>
    <r>
      <rPr>
        <sz val="16"/>
        <color theme="1"/>
        <rFont val="Times New Roman"/>
        <family val="1"/>
      </rPr>
      <t xml:space="preserve"> Costs</t>
    </r>
  </si>
  <si>
    <t>Fixed Non-Cash Costs</t>
  </si>
  <si>
    <t>Total Returns minus Total Variable Cash Costs</t>
  </si>
  <si>
    <t>Power Units, Machinery &amp; Equipment, depreciation &amp; interest</t>
  </si>
  <si>
    <t>acre</t>
  </si>
  <si>
    <t>Swather</t>
  </si>
  <si>
    <t>Baler</t>
  </si>
  <si>
    <t>Fertilizer Spreader</t>
  </si>
  <si>
    <t>Table 1</t>
  </si>
  <si>
    <t xml:space="preserve"> Labor</t>
  </si>
  <si>
    <t>Operator</t>
  </si>
  <si>
    <t>Variable</t>
  </si>
  <si>
    <t>Costs</t>
  </si>
  <si>
    <t xml:space="preserve">Costs </t>
  </si>
  <si>
    <t>Fixed</t>
  </si>
  <si>
    <t>---------------  Costs Per Acre  ---------------</t>
  </si>
  <si>
    <t xml:space="preserve"> --------------  Costs Per Hour  --------------</t>
  </si>
  <si>
    <t>Chisel</t>
  </si>
  <si>
    <t>Cotton Picker</t>
  </si>
  <si>
    <t>175 HP Tractor</t>
  </si>
  <si>
    <t>125 HP Tractor</t>
  </si>
  <si>
    <t>Acres/</t>
  </si>
  <si>
    <t>Crop Production</t>
  </si>
  <si>
    <t>spreader</t>
  </si>
  <si>
    <t>injection</t>
  </si>
  <si>
    <t>flood</t>
  </si>
  <si>
    <t>drip</t>
  </si>
  <si>
    <t>sprinkler</t>
  </si>
  <si>
    <t>labor</t>
  </si>
  <si>
    <t>water</t>
  </si>
  <si>
    <t>cost/repairs</t>
  </si>
  <si>
    <t>Other Charges</t>
  </si>
  <si>
    <t>materials</t>
  </si>
  <si>
    <t>repairs</t>
  </si>
  <si>
    <t>Row Cultivator</t>
  </si>
  <si>
    <t>Row Planter</t>
  </si>
  <si>
    <t>Lister</t>
  </si>
  <si>
    <t xml:space="preserve">   - Nitrogen</t>
  </si>
  <si>
    <t xml:space="preserve">   - Phosphorus</t>
  </si>
  <si>
    <t xml:space="preserve">   - Prowl</t>
  </si>
  <si>
    <t xml:space="preserve">   - Aim</t>
  </si>
  <si>
    <t xml:space="preserve">   - Fusilade</t>
  </si>
  <si>
    <t xml:space="preserve">   - Seed</t>
  </si>
  <si>
    <t xml:space="preserve">   - Baling Twine</t>
  </si>
  <si>
    <t>100% Adoption</t>
  </si>
  <si>
    <t>50% Adoption</t>
  </si>
  <si>
    <t>20% Adoption</t>
  </si>
  <si>
    <t>Establish Yr</t>
  </si>
  <si>
    <t>Harvest Year</t>
  </si>
  <si>
    <t>Hemp for Fiber</t>
  </si>
  <si>
    <t>Equitable Percent Split</t>
  </si>
  <si>
    <t>Licenses and Fees</t>
  </si>
  <si>
    <t>QUANTITIES REQUIRED PER CROP</t>
  </si>
  <si>
    <t>Seed Costs per Unit</t>
  </si>
  <si>
    <t>Seeds Applied; Quantity</t>
  </si>
  <si>
    <t>Input Prices and Percentages that Apply the Same to All Crops</t>
  </si>
  <si>
    <t>Input Prices and Quantities by Crop</t>
  </si>
  <si>
    <t>Land Preparation and Maintenance</t>
  </si>
  <si>
    <t>Disk, Custom</t>
  </si>
  <si>
    <t>Drag, Custom</t>
  </si>
  <si>
    <t>Chisel, Custom</t>
  </si>
  <si>
    <t>Moldboard Plow, Custom</t>
  </si>
  <si>
    <t>Landplane, Custom</t>
  </si>
  <si>
    <t>Float, Custom</t>
  </si>
  <si>
    <t>Lister, Custom</t>
  </si>
  <si>
    <t>Bed Shape, Custom</t>
  </si>
  <si>
    <t>Fertilizer Spreader, Custom</t>
  </si>
  <si>
    <t>Boom Sprayer, Custom</t>
  </si>
  <si>
    <t xml:space="preserve">Guayule Grow </t>
  </si>
  <si>
    <t xml:space="preserve">Guayule Harvest </t>
  </si>
  <si>
    <t xml:space="preserve">Guayule Establishment </t>
  </si>
  <si>
    <t xml:space="preserve">Hemp for CBD </t>
  </si>
  <si>
    <t xml:space="preserve">Hemp for Grain </t>
  </si>
  <si>
    <t xml:space="preserve">Hemp for Fiber </t>
  </si>
  <si>
    <t xml:space="preserve">Fallow </t>
  </si>
  <si>
    <t xml:space="preserve">Cotton Lint </t>
  </si>
  <si>
    <t xml:space="preserve">Corn </t>
  </si>
  <si>
    <t xml:space="preserve">Sorghum </t>
  </si>
  <si>
    <t xml:space="preserve">Barley </t>
  </si>
  <si>
    <t xml:space="preserve">Wheat </t>
  </si>
  <si>
    <t xml:space="preserve">Alfalfa Hay </t>
  </si>
  <si>
    <t>$/ac ft</t>
  </si>
  <si>
    <t>ac ft</t>
  </si>
  <si>
    <t xml:space="preserve">   - Inoculant</t>
  </si>
  <si>
    <t xml:space="preserve">   - Anhydrous Ammonia</t>
  </si>
  <si>
    <t xml:space="preserve">   - Trace Elements</t>
  </si>
  <si>
    <t xml:space="preserve">   - Herbicide - #2</t>
  </si>
  <si>
    <t xml:space="preserve">   - Insecticide - #2</t>
  </si>
  <si>
    <t xml:space="preserve">   - Fertilizer - Anhydrous Applicator</t>
  </si>
  <si>
    <t>Establishment Year</t>
  </si>
  <si>
    <t>hour</t>
  </si>
  <si>
    <t>pound</t>
  </si>
  <si>
    <t>pint</t>
  </si>
  <si>
    <t>ounce</t>
  </si>
  <si>
    <t>mile</t>
  </si>
  <si>
    <t>year</t>
  </si>
  <si>
    <t>gallon</t>
  </si>
  <si>
    <t>months</t>
  </si>
  <si>
    <t>bushel</t>
  </si>
  <si>
    <t>ton</t>
  </si>
  <si>
    <t>Guayule Price per Pound of Biomass</t>
  </si>
  <si>
    <t>% Change in Total Costs</t>
  </si>
  <si>
    <t>Landowner's Share: Property Taxes</t>
  </si>
  <si>
    <t>Landowner's Required Cash Rent, $/acre</t>
  </si>
  <si>
    <t>Tenant's Ability to Pay Cash Rent, $/acre</t>
  </si>
  <si>
    <t>Tenant's Share of Total Crop</t>
  </si>
  <si>
    <t>Landowner's Share of Total Crop</t>
  </si>
  <si>
    <t>Tenant's Share: Licenses &amp; Fees</t>
  </si>
  <si>
    <t>Landowner's Share: Property Insurance</t>
  </si>
  <si>
    <t>Tenant's Share: Seed</t>
  </si>
  <si>
    <t>Tenant's Share: Fertilizer</t>
  </si>
  <si>
    <t>Tenant's Share: Herbicides</t>
  </si>
  <si>
    <t>Tenant's Share: Insecticides</t>
  </si>
  <si>
    <t>Tenant's Share: Crop Insurance</t>
  </si>
  <si>
    <t>Tenant and Landowner's Contributions to a Lease</t>
  </si>
  <si>
    <t>Tenant's Share: Irr. Water, Labor &amp; Repairs</t>
  </si>
  <si>
    <t>Amortized Establishment and Maintenance Costs</t>
  </si>
  <si>
    <r>
      <t>Table 2. Annual Net Returns of Income and Expenses to Establish and Produce Guayule, $/acre.</t>
    </r>
    <r>
      <rPr>
        <b/>
        <vertAlign val="superscript"/>
        <sz val="15"/>
        <color theme="1"/>
        <rFont val="Times New Roman"/>
        <family val="1"/>
      </rPr>
      <t>1</t>
    </r>
  </si>
  <si>
    <t>Equitable Cash Rent Payment</t>
  </si>
  <si>
    <t>Total Water Used</t>
  </si>
  <si>
    <t>Fertilizer</t>
  </si>
  <si>
    <t>Herbicide</t>
  </si>
  <si>
    <t>CROP BUDGETS ARE BELOW</t>
  </si>
  <si>
    <t>B</t>
  </si>
  <si>
    <t>D</t>
  </si>
  <si>
    <t xml:space="preserve">E </t>
  </si>
  <si>
    <t>F</t>
  </si>
  <si>
    <t>Harvest, Custom</t>
  </si>
  <si>
    <t>Hauling, Custom</t>
  </si>
  <si>
    <t>Gin Cotton/Drying/Swathing, Custom</t>
  </si>
  <si>
    <t>Drill, Custom</t>
  </si>
  <si>
    <t>Row Planter, Custom</t>
  </si>
  <si>
    <t>Row Cultivator, Custom</t>
  </si>
  <si>
    <t>V Ripper, Custom</t>
  </si>
  <si>
    <t>Modular Unit</t>
  </si>
  <si>
    <t>Machinery calculations begin in cell V38</t>
  </si>
  <si>
    <t>Module Unit</t>
  </si>
  <si>
    <t>CROP PRODUCTION</t>
  </si>
  <si>
    <t>HARVEST OPERATIONS</t>
  </si>
  <si>
    <t>Cotton Shredder/Root Puller</t>
  </si>
  <si>
    <t>LAND PREPARATION AND MAINTENANCE OPERATIONS</t>
  </si>
  <si>
    <t>CROP PRODUCTION OPERATIONS</t>
  </si>
  <si>
    <t>LAND PREPARATIONS AND MAINTENANCE OPERATIONS</t>
  </si>
  <si>
    <t>box</t>
  </si>
  <si>
    <t>Transplanter</t>
  </si>
  <si>
    <t>boxes</t>
  </si>
  <si>
    <t>bale</t>
  </si>
  <si>
    <t>pounds</t>
  </si>
  <si>
    <t>bales</t>
  </si>
  <si>
    <t>Land Prep &amp; Maint. Labor Rates</t>
  </si>
  <si>
    <t>Crop Production Labor Rates</t>
  </si>
  <si>
    <t>Harvest Labor Rates</t>
  </si>
  <si>
    <t>LAND PREPARATIONS AND MAINTENANCE</t>
  </si>
  <si>
    <t>HARVEST</t>
  </si>
  <si>
    <t>PER ACRE COSTS APPLIED TO EACH CROP</t>
  </si>
  <si>
    <t>Laser Landplaning, Custom</t>
  </si>
  <si>
    <t>kilogram</t>
  </si>
  <si>
    <t>kilograms</t>
  </si>
  <si>
    <t>hours</t>
  </si>
  <si>
    <t>cwt</t>
  </si>
  <si>
    <t>square bale</t>
  </si>
  <si>
    <t>square bales</t>
  </si>
  <si>
    <t>bags</t>
  </si>
  <si>
    <t>bag</t>
  </si>
  <si>
    <t>bin</t>
  </si>
  <si>
    <t>bins</t>
  </si>
  <si>
    <t>bushels</t>
  </si>
  <si>
    <t>carton</t>
  </si>
  <si>
    <t>cartons</t>
  </si>
  <si>
    <t>case</t>
  </si>
  <si>
    <t>cases</t>
  </si>
  <si>
    <t>each</t>
  </si>
  <si>
    <t>linear foot</t>
  </si>
  <si>
    <t>linear feet</t>
  </si>
  <si>
    <t>plant</t>
  </si>
  <si>
    <t>plants</t>
  </si>
  <si>
    <t>row</t>
  </si>
  <si>
    <t>rows</t>
  </si>
  <si>
    <t>sack</t>
  </si>
  <si>
    <t>sacks</t>
  </si>
  <si>
    <t>tonnes</t>
  </si>
  <si>
    <t>gross</t>
  </si>
  <si>
    <t>annual</t>
  </si>
  <si>
    <t>miles</t>
  </si>
  <si>
    <t>month</t>
  </si>
  <si>
    <t>other</t>
  </si>
  <si>
    <t>piece</t>
  </si>
  <si>
    <t>pieces</t>
  </si>
  <si>
    <t>sq ft</t>
  </si>
  <si>
    <t>round bale</t>
  </si>
  <si>
    <t>round bales</t>
  </si>
  <si>
    <t>pints</t>
  </si>
  <si>
    <t>ounces</t>
  </si>
  <si>
    <t>Harvest Grow</t>
  </si>
  <si>
    <t>) here</t>
  </si>
  <si>
    <t>remove +</t>
  </si>
  <si>
    <t>Total Water Saved or Deficit</t>
  </si>
  <si>
    <t>Irrigation Water Available, Used, and Saved/Deficit</t>
  </si>
  <si>
    <t>Expected Price, $/pound</t>
  </si>
  <si>
    <t>Actual Price, $/pound</t>
  </si>
  <si>
    <t>Expected Yield, pounds/acre</t>
  </si>
  <si>
    <t>Actual Yield, pounds/acre</t>
  </si>
  <si>
    <t>Annual Cash Rent, Adjusted for Price and Yield, $/acre</t>
  </si>
  <si>
    <t>Chosen Annual Cash Rent Payment, $/acre</t>
  </si>
  <si>
    <t>Equitable Flexible Cash Rent Payment</t>
  </si>
  <si>
    <r>
      <rPr>
        <b/>
        <u/>
        <sz val="11"/>
        <color theme="1"/>
        <rFont val="Calibri (Body)"/>
      </rPr>
      <t>Flexible Cash Rent Lease</t>
    </r>
    <r>
      <rPr>
        <u/>
        <sz val="11"/>
        <color theme="1"/>
        <rFont val="Calibri (Body)"/>
      </rPr>
      <t>:</t>
    </r>
    <r>
      <rPr>
        <sz val="11"/>
        <color theme="1"/>
        <rFont val="Calibri"/>
        <family val="2"/>
        <scheme val="minor"/>
      </rPr>
      <t xml:space="preserve"> Expected and Actual Crop Prices Received and Yield Sold</t>
    </r>
  </si>
  <si>
    <t>Classing Fee</t>
  </si>
  <si>
    <t>seeds/acre</t>
  </si>
  <si>
    <t>No if statements if custom hire is selected, custom hire is now ginning, fees, etc.</t>
  </si>
  <si>
    <r>
      <t>Year 2: Harvest</t>
    </r>
    <r>
      <rPr>
        <vertAlign val="superscript"/>
        <sz val="16"/>
        <color theme="1"/>
        <rFont val="Times New Roman"/>
        <family val="1"/>
      </rPr>
      <t>2</t>
    </r>
  </si>
  <si>
    <t>Fixed Costs</t>
  </si>
  <si>
    <r>
      <t>Year 6: Harvest</t>
    </r>
    <r>
      <rPr>
        <vertAlign val="superscript"/>
        <sz val="16"/>
        <color theme="1"/>
        <rFont val="Times New Roman"/>
        <family val="1"/>
      </rPr>
      <t>2</t>
    </r>
  </si>
  <si>
    <r>
      <t>Year 4: Harvest</t>
    </r>
    <r>
      <rPr>
        <vertAlign val="superscript"/>
        <sz val="16"/>
        <color theme="1"/>
        <rFont val="Times New Roman"/>
        <family val="1"/>
      </rPr>
      <t>2</t>
    </r>
  </si>
  <si>
    <t>NPV of Additional Returns for Rubber Content</t>
  </si>
  <si>
    <t>inserted both tractor's fuel, repairs and maiint. to account for haul plants to transplanter</t>
  </si>
  <si>
    <t>Transplanter hours are in both tractor total hours</t>
  </si>
  <si>
    <t>1 &amp; 2</t>
  </si>
  <si>
    <t>Before Change</t>
  </si>
  <si>
    <t>After Change</t>
  </si>
  <si>
    <t>Percent Difference</t>
  </si>
  <si>
    <t>Hemp for Grain</t>
  </si>
  <si>
    <t>dollars</t>
  </si>
  <si>
    <t>B/E Price</t>
  </si>
  <si>
    <t>B/E Yield</t>
  </si>
  <si>
    <t>Cotton lint and seed are hard-coded</t>
  </si>
  <si>
    <t>tons</t>
  </si>
  <si>
    <t>Change</t>
  </si>
  <si>
    <t>Resources and Inputs</t>
  </si>
  <si>
    <t>Irrigation Water Applied, AF</t>
  </si>
  <si>
    <t>Power Units: Labor (hours)</t>
  </si>
  <si>
    <t>hard coded establishment costs from BASEBUDGET - drip irrigation value + seed costs for 3.5 years of the average life of the alfalfa stand</t>
  </si>
  <si>
    <t>copy e65 to e64 to get correct acre feet applied. For alfalfa only this value is included in the amoriization of establishment costs</t>
  </si>
  <si>
    <t>Additional Land Prep. Labor</t>
  </si>
  <si>
    <t>Additional Crop Prod. Labor</t>
  </si>
  <si>
    <t>Additional Harvest Labor</t>
  </si>
  <si>
    <t>Alt Crop #1</t>
  </si>
  <si>
    <t>Alt Crop #2</t>
  </si>
  <si>
    <t>Alt Crop #3</t>
  </si>
  <si>
    <t>Alt Crop #4</t>
  </si>
  <si>
    <t>Other labor hours</t>
  </si>
  <si>
    <t>Machine labor hours</t>
  </si>
  <si>
    <t>seed</t>
  </si>
  <si>
    <t>fertilizer</t>
  </si>
  <si>
    <t>chemicals</t>
  </si>
  <si>
    <t>Crop Seeds ($)</t>
  </si>
  <si>
    <t>Fertilizers ($)</t>
  </si>
  <si>
    <t>All Other Labor (hours)</t>
  </si>
  <si>
    <t>Machinery Fixed Costs ($)</t>
  </si>
  <si>
    <t>fixed costs</t>
  </si>
  <si>
    <t>Pesticides ($)</t>
  </si>
  <si>
    <t>Custom Hire Operations ($)</t>
  </si>
  <si>
    <t>Machinery Fuel, Maint. &amp; Repairs ($)</t>
  </si>
  <si>
    <t>custom hire</t>
  </si>
  <si>
    <t>Purchase Price</t>
  </si>
  <si>
    <t>Fertility Program</t>
  </si>
  <si>
    <t>Chemical Program</t>
  </si>
  <si>
    <t xml:space="preserve">Total Net Returns </t>
  </si>
  <si>
    <t>Sensitivity Analysis: Net Returns, $/Acre Per Year Average, with</t>
  </si>
  <si>
    <t>of the Farm Planted to Guayule, at Varying Prices, Yields, and Cash Costs.</t>
  </si>
  <si>
    <t>and</t>
  </si>
  <si>
    <t>$/acre</t>
  </si>
  <si>
    <t>hard-coded "$/acre" as unit for fallow only</t>
  </si>
  <si>
    <t>NA</t>
  </si>
  <si>
    <t>Total Farm Net Returns ($)</t>
  </si>
  <si>
    <t>acres</t>
  </si>
  <si>
    <r>
      <rPr>
        <vertAlign val="superscript"/>
        <sz val="16"/>
        <color theme="1"/>
        <rFont val="Calibri (Body)"/>
      </rPr>
      <t>1</t>
    </r>
    <r>
      <rPr>
        <sz val="16"/>
        <color theme="1"/>
        <rFont val="Calibri"/>
        <family val="2"/>
        <scheme val="minor"/>
      </rPr>
      <t>Use the drip ac ft for water applied for establishing the alfalfa crop from the previous year. We assume no alfalfa crop uses drip</t>
    </r>
  </si>
  <si>
    <t>V</t>
  </si>
  <si>
    <t>AL</t>
  </si>
  <si>
    <t>AM</t>
  </si>
  <si>
    <t>AN</t>
  </si>
  <si>
    <t>AO</t>
  </si>
  <si>
    <t>U</t>
  </si>
  <si>
    <t>Haul Cotton</t>
  </si>
  <si>
    <t>Discount Rate</t>
  </si>
  <si>
    <t>Developed by</t>
  </si>
  <si>
    <t>Breakeven for New Crop Options (BENCO) Model</t>
  </si>
  <si>
    <t>Clark Seavert, Oregon State University</t>
  </si>
  <si>
    <t>Trent Teegerstrom, University of Arizona</t>
  </si>
  <si>
    <t>Paul Gutierrez, New Mexico State University</t>
  </si>
  <si>
    <t>Assistance provided by</t>
  </si>
  <si>
    <t>Funding provided by the USDA-NIFA, Grant # 2017-68005-26867.  “Any opinions, findings, conclusions, or recommendations expressed in this publication/work are those of the author(s) and do not necessarily reflect the view of the U.S. Department of Agriculture.”</t>
  </si>
  <si>
    <t>Sita Khanal, New Mexico State University</t>
  </si>
  <si>
    <t>Oluwatobi Omotayo, New Mexico State University</t>
  </si>
  <si>
    <t>Price per Pound</t>
  </si>
  <si>
    <t>MaryFrances Miller, New Mexico State University</t>
  </si>
  <si>
    <t>BENCO budgets include cash variable, cash fixed, and non-cash fixed costs.  Users can modify total farm acres, planted acres, per acre yields, prices received, modify machinery parameters, out-of-pocket input costs, machine use, and times each operation occurs during a season, and any custom hire operations. Not included in BENCO budgets are: family living withdrawals for unpaid labor, returns to management, depreciation and opportunity costs for vehicles, buildings and improvements, and income taxes.</t>
  </si>
  <si>
    <t>Seed Costs</t>
  </si>
  <si>
    <t>Interest on Operating Expenses</t>
  </si>
  <si>
    <r>
      <rPr>
        <b/>
        <u/>
        <sz val="16"/>
        <color theme="1"/>
        <rFont val="Calibri (Body)"/>
      </rPr>
      <t>Guayule</t>
    </r>
    <r>
      <rPr>
        <b/>
        <sz val="16"/>
        <color theme="1"/>
        <rFont val="Calibri"/>
        <family val="2"/>
        <scheme val="minor"/>
      </rPr>
      <t>: Results of Crop Share, Annual Cash Rent, and Flexible Cash Rent Leases</t>
    </r>
  </si>
  <si>
    <r>
      <t>Alfalfa Hay Establishment Costs</t>
    </r>
    <r>
      <rPr>
        <vertAlign val="superscript"/>
        <sz val="16"/>
        <color theme="1"/>
        <rFont val="Times New Roman"/>
        <family val="1"/>
      </rPr>
      <t>1</t>
    </r>
  </si>
  <si>
    <t>Durum Wheat</t>
  </si>
  <si>
    <t>Spring Barley</t>
  </si>
  <si>
    <t>CWT</t>
  </si>
  <si>
    <t xml:space="preserve">   - Herbicides</t>
  </si>
  <si>
    <t>Table 3. Machinery Cost Calculations, on a per hour and per acre basis.</t>
  </si>
  <si>
    <t>Total Returns minus Total Variable and Fixed Cash Costs</t>
  </si>
  <si>
    <t xml:space="preserve">   - Insecticides</t>
  </si>
  <si>
    <r>
      <t>Harvest, Custom</t>
    </r>
    <r>
      <rPr>
        <vertAlign val="superscript"/>
        <sz val="16"/>
        <color theme="1"/>
        <rFont val="Times New Roman"/>
        <family val="1"/>
      </rPr>
      <t>1</t>
    </r>
  </si>
  <si>
    <r>
      <rPr>
        <vertAlign val="superscript"/>
        <sz val="16"/>
        <color theme="1"/>
        <rFont val="Times New Roman"/>
        <family val="1"/>
      </rPr>
      <t>1</t>
    </r>
    <r>
      <rPr>
        <sz val="16"/>
        <color theme="1"/>
        <rFont val="Times New Roman"/>
        <family val="1"/>
      </rPr>
      <t>Cost includes cutting and hauling wheat from field to a market within a round trip of 20 miles.</t>
    </r>
  </si>
  <si>
    <r>
      <t>Land Preparation and Maintenance</t>
    </r>
    <r>
      <rPr>
        <vertAlign val="superscript"/>
        <sz val="16"/>
        <color theme="1"/>
        <rFont val="Times New Roman"/>
        <family val="1"/>
      </rPr>
      <t>1</t>
    </r>
  </si>
  <si>
    <t>Corn Silage</t>
  </si>
  <si>
    <t>cuttings</t>
  </si>
  <si>
    <t>Fertilizer Injection System</t>
  </si>
  <si>
    <t>National Cotton Council Dues</t>
  </si>
  <si>
    <t>Arizona Cotton Growers Association Dues</t>
  </si>
  <si>
    <t>USDA Classing, Grades for Lint</t>
  </si>
  <si>
    <t>AZ Cotton Research &amp; Protection Council Assess.</t>
  </si>
  <si>
    <t>Cotton Board</t>
  </si>
  <si>
    <t>% of Gross</t>
  </si>
  <si>
    <t>Research and Protection Assessment</t>
  </si>
  <si>
    <t xml:space="preserve">  gross lint sales</t>
  </si>
  <si>
    <t>National Cotton Council</t>
  </si>
  <si>
    <t>Arizona Cotton Growers Association</t>
  </si>
  <si>
    <t>Cotton Board Assessment</t>
  </si>
  <si>
    <t>Table 2. Whole Farm Machinery Cost Assumptions</t>
  </si>
  <si>
    <t>Net Returns/Acre</t>
  </si>
  <si>
    <t>Breakeven Price of Guayule to Replace Crops</t>
  </si>
  <si>
    <t>Silage Corn*</t>
  </si>
  <si>
    <t>Barley + 1/3 Wheat</t>
  </si>
  <si>
    <t>Silage Corn* &amp; Barley</t>
  </si>
  <si>
    <r>
      <t>The purpose of this interactive tool is to assist growers in the initial decision-making of whether to plant a new crop.  If a more detailed analysis is desired consider using one of the AgBiz Logic</t>
    </r>
    <r>
      <rPr>
        <i/>
        <vertAlign val="superscript"/>
        <sz val="12"/>
        <rFont val="Times New Roman"/>
        <family val="1"/>
      </rPr>
      <t>TM</t>
    </r>
    <r>
      <rPr>
        <i/>
        <sz val="12"/>
        <rFont val="Times New Roman"/>
        <family val="1"/>
      </rPr>
      <t xml:space="preserve"> modules by visiting https://www.agbizlogic.oregonstate.edu. Also consider discussing your decisions with an accountant and/or lender for the income tax implications and impacts to the liquidity and solvency of your business. However, we claim no credit or fault as to the results provided in this analysis and the outcomes should be used with caution. </t>
    </r>
  </si>
  <si>
    <r>
      <rPr>
        <vertAlign val="superscript"/>
        <sz val="14"/>
        <color theme="1"/>
        <rFont val="Times New Roman"/>
        <family val="1"/>
      </rPr>
      <t>1</t>
    </r>
    <r>
      <rPr>
        <sz val="14"/>
        <color theme="1"/>
        <rFont val="Times New Roman"/>
        <family val="1"/>
      </rPr>
      <t>Guayule yield is estimated to be 22,000 pounds per acre, with 15% moisture content, at a price of $0.08 per pound.</t>
    </r>
  </si>
  <si>
    <r>
      <rPr>
        <vertAlign val="superscript"/>
        <sz val="14"/>
        <color theme="1"/>
        <rFont val="Times New Roman"/>
        <family val="1"/>
      </rPr>
      <t>2</t>
    </r>
    <r>
      <rPr>
        <sz val="14"/>
        <color theme="1"/>
        <rFont val="Times New Roman"/>
        <family val="1"/>
      </rPr>
      <t>Harvest costs are paid by the processor</t>
    </r>
  </si>
  <si>
    <t>Percent of Total Water Available</t>
  </si>
  <si>
    <t>Total Water by Crop</t>
  </si>
  <si>
    <t>Alfalfa Hay</t>
  </si>
  <si>
    <t>Guayule Establishment</t>
  </si>
  <si>
    <t>Guayule Harvest</t>
  </si>
  <si>
    <t>Guayule Grow</t>
  </si>
  <si>
    <t>Crops</t>
  </si>
  <si>
    <t>Total cost of fallow</t>
  </si>
  <si>
    <t>Fallow Costs</t>
  </si>
  <si>
    <t>Table 8. Machine Operations by Year in Guayule Production</t>
  </si>
  <si>
    <t>Years of Harvest - Mature Alfalfa Hay Crop</t>
  </si>
  <si>
    <t>, $/acre.</t>
  </si>
  <si>
    <t>Table 1. Economic and Cash Costs and Returns of Producing</t>
  </si>
  <si>
    <t>Alfalfa Hay Estab.</t>
  </si>
  <si>
    <t>Alfalfa Hay Prod.</t>
  </si>
  <si>
    <t>Tenant's Share: Non-Harvest Costs: Labor, Fuel, Machinery R, M, &amp; R</t>
  </si>
  <si>
    <t>Tenant's Share: Harvest Costs: Labor, Fuel, Machinery R, M, &amp; R</t>
  </si>
  <si>
    <t>TOTAL ACRES IN FARM</t>
  </si>
  <si>
    <t>CWTs</t>
  </si>
  <si>
    <t>Hemp for CBD Oil</t>
  </si>
  <si>
    <r>
      <t xml:space="preserve">The results of a BENCO analysis are two-fold.  The first analysis shows the per-acre net returns (gross returns minus cash and fixed costs) specifically for one or two new crops; and then included with the other existing crops for a whole-farm analysis, found in the "NetReturnsResults" sheet.  The second analysis shows the breakeven price and yields for new and existing crops as well as the increase or decrease in inputs and resources used on a whole-farm basis. This is shown in the "BE&amp;Input&amp;ResourceResults" sheet. Users can modify existing information in the model by overriding the values in any cell that is in </t>
    </r>
    <r>
      <rPr>
        <b/>
        <sz val="12"/>
        <color rgb="FFFF0000"/>
        <rFont val="Times New Roman"/>
        <family val="1"/>
      </rPr>
      <t>bold, red font</t>
    </r>
    <r>
      <rPr>
        <sz val="12"/>
        <rFont val="Times New Roman"/>
        <family val="1"/>
      </rPr>
      <t xml:space="preserve">.  </t>
    </r>
  </si>
  <si>
    <t>The key to a successful BENCO analysis is for growers to construct up-to-date and accurate enterprise budgets. Growers should review and modify crop yields, prices received for crops, and the amount of and prices paid for production inputs. As inflation affects production inputs, so do they impact machinery and equipment prices. Growers should update the purchase price for tractors, combines, tillage, and planting equipment. For best results, growers should modify prices and inputs in the BENCO Model from their own records and accounting system.</t>
  </si>
  <si>
    <r>
      <rPr>
        <b/>
        <sz val="16"/>
        <color theme="1"/>
        <rFont val="Times New Roman"/>
        <family val="1"/>
      </rPr>
      <t>Guayule</t>
    </r>
    <r>
      <rPr>
        <sz val="16"/>
        <color theme="1"/>
        <rFont val="Times New Roman"/>
        <family val="1"/>
      </rPr>
      <t xml:space="preserve"> Price per Pound of Biomass</t>
    </r>
  </si>
  <si>
    <t>Sensitivity Analysis: Net Returns, $/Acre, with</t>
  </si>
  <si>
    <t xml:space="preserve">     per</t>
  </si>
  <si>
    <r>
      <t xml:space="preserve">Planted to </t>
    </r>
    <r>
      <rPr>
        <b/>
        <sz val="16"/>
        <color theme="1"/>
        <rFont val="Times New Roman"/>
        <family val="1"/>
      </rPr>
      <t>Guayule</t>
    </r>
    <r>
      <rPr>
        <sz val="16"/>
        <color theme="1"/>
        <rFont val="Times New Roman"/>
        <family val="1"/>
      </rPr>
      <t xml:space="preserve"> and</t>
    </r>
  </si>
  <si>
    <t>Breakeven Prices and Yields Before and After Adoption by Crop</t>
  </si>
  <si>
    <t>Total Net Returns and Inputs, Before and After Adoption</t>
  </si>
  <si>
    <t>Tenant's Share: Operating Loan Interest Expenses</t>
  </si>
  <si>
    <t>Tenant's Share: Other Expenses, Variable Cost Inputs</t>
  </si>
  <si>
    <t>Biomass</t>
  </si>
  <si>
    <t>Rubber Content</t>
  </si>
  <si>
    <t>Net Present Value of</t>
  </si>
  <si>
    <t>Net Returns, based on</t>
  </si>
  <si>
    <t>Six-Year Total: NPV of Net Returns for Biomass Only</t>
  </si>
  <si>
    <t>Results of Crop Share, Annual Cash Rent, and Flexible Cash Rent Leases</t>
  </si>
  <si>
    <t>Irrigation Systems:</t>
  </si>
  <si>
    <t xml:space="preserve">   - Years of Use Life</t>
  </si>
  <si>
    <t>year(s)</t>
  </si>
  <si>
    <t>Irr. Water Reduction: Set-aside</t>
  </si>
  <si>
    <t>Yield, Per Acre</t>
  </si>
  <si>
    <t>of the Farm Planted to your selected crop, at Varying Prices, Yields, and Cash Costs.</t>
  </si>
  <si>
    <t>respectively, at Varying Prices, Yields, and Cash Costs.</t>
  </si>
  <si>
    <t>The below space is unprotected. Please use this space to build formula's, etc. from the information in the Whole-Farm net returns table.</t>
  </si>
  <si>
    <t xml:space="preserve">Whole-Farm Net Returns, $/Acre Per Year Average, with </t>
  </si>
  <si>
    <t>Cultivator</t>
  </si>
  <si>
    <r>
      <t xml:space="preserve">The </t>
    </r>
    <r>
      <rPr>
        <b/>
        <sz val="12"/>
        <rFont val="Times New Roman"/>
        <family val="1"/>
      </rPr>
      <t>Break-even for New Crop Options model, or BENCO</t>
    </r>
    <r>
      <rPr>
        <sz val="12"/>
        <rFont val="Times New Roman"/>
        <family val="1"/>
      </rPr>
      <t>, is an interactive tool that allows growers to compare the profitability of adopting alternative crops into an existing cropping system. / The results of a BENCO analysis are two-fold. The first analysis shows the per-acre net returns (gross returns minus cash and fixed costs) specifically for one or two new crops and then included with existing crops for a whole-farm analysis. The second analysis shows the breakeven price and yields for new and existing crops and the increase or decrease in inputs and resources used on a whole-farm basis. 
As new crops are planted, current lease arrangements may not be equitable; the BENCO model calculates three lease types to compare to industry norms.</t>
    </r>
  </si>
  <si>
    <t>As new crops are planted, current lease arrangements may not be equitable; the BENCO model calculates three lease types to compare to industry norms.</t>
  </si>
  <si>
    <t>Luis Ramos-Coronado, New Mexico State University</t>
  </si>
  <si>
    <t>Sam Wang, Bridgestone Americas, Inc.</t>
  </si>
  <si>
    <t>Operations that are Custom Hired or Equipment Leased/Rented</t>
  </si>
  <si>
    <r>
      <t xml:space="preserve">Copy range H6..L23 and paste using the </t>
    </r>
    <r>
      <rPr>
        <u/>
        <sz val="16"/>
        <color rgb="FFC00000"/>
        <rFont val="Times New Roman"/>
        <family val="1"/>
      </rPr>
      <t>Special Paste Function</t>
    </r>
    <r>
      <rPr>
        <sz val="16"/>
        <color rgb="FFC00000"/>
        <rFont val="Times New Roman"/>
        <family val="1"/>
      </rPr>
      <t xml:space="preserve"> and "Values and Source Formatting" option cell to C6.</t>
    </r>
  </si>
  <si>
    <r>
      <t xml:space="preserve">Copy range T5..T14 and paste using the </t>
    </r>
    <r>
      <rPr>
        <u/>
        <sz val="16"/>
        <color rgb="FFC00000"/>
        <rFont val="Times New Roman"/>
        <family val="1"/>
      </rPr>
      <t>Special Paste Function</t>
    </r>
    <r>
      <rPr>
        <sz val="16"/>
        <color rgb="FFC00000"/>
        <rFont val="Times New Roman"/>
        <family val="1"/>
      </rPr>
      <t xml:space="preserve"> and "Values and Source Formatting" option to cell S5.</t>
    </r>
  </si>
  <si>
    <r>
      <rPr>
        <vertAlign val="superscript"/>
        <sz val="16"/>
        <color theme="1"/>
        <rFont val="Times New Roman"/>
        <family val="1"/>
      </rPr>
      <t>1</t>
    </r>
    <r>
      <rPr>
        <sz val="16"/>
        <color theme="1"/>
        <rFont val="Times New Roman"/>
        <family val="1"/>
      </rPr>
      <t xml:space="preserve">Alfalfa Hay establishment costs include production nputs not covered by gross returns in year one of establishment. These costs are amortized over the </t>
    </r>
    <r>
      <rPr>
        <i/>
        <sz val="16"/>
        <color theme="1"/>
        <rFont val="Times New Roman"/>
        <family val="1"/>
      </rPr>
      <t>Years of Harvest for a Mature Alfalfa Hay Crop</t>
    </r>
    <r>
      <rPr>
        <sz val="16"/>
        <color theme="1"/>
        <rFont val="Times New Roman"/>
        <family val="1"/>
      </rPr>
      <t xml:space="preserve"> and at an interest rate of </t>
    </r>
    <r>
      <rPr>
        <i/>
        <sz val="16"/>
        <color theme="1"/>
        <rFont val="Times New Roman"/>
        <family val="1"/>
      </rPr>
      <t>Amortization Charges</t>
    </r>
    <r>
      <rPr>
        <sz val="16"/>
        <color theme="1"/>
        <rFont val="Times New Roman"/>
        <family val="1"/>
      </rPr>
      <t xml:space="preserve"> entered in cells D33 and D37 in the "GeneralInputsPrices" sheet. </t>
    </r>
    <r>
      <rPr>
        <i/>
        <sz val="16"/>
        <color theme="1"/>
        <rFont val="Times New Roman"/>
        <family val="1"/>
      </rPr>
      <t>Years of Harvest for a Mature Alfalfa Crop</t>
    </r>
    <r>
      <rPr>
        <sz val="16"/>
        <color theme="1"/>
        <rFont val="Times New Roman"/>
        <family val="1"/>
      </rPr>
      <t xml:space="preserve"> must be greater than 1 or an error will occur.</t>
    </r>
  </si>
  <si>
    <t>Interest on operating capital is treated as a cash expense</t>
  </si>
  <si>
    <t>Whole Farm Net Returns</t>
  </si>
  <si>
    <t>Guayule Production Costs</t>
  </si>
  <si>
    <t>Drip-tape</t>
  </si>
  <si>
    <t xml:space="preserve">Irrigation Systems, New Investments </t>
  </si>
  <si>
    <t>Irrigation Systems, Upfront Investment ($):</t>
  </si>
  <si>
    <t>The below space is unprotected. Please use this space to build formula's, etc. from information in the total net returns table.</t>
  </si>
  <si>
    <t>Base</t>
  </si>
  <si>
    <t>First Level</t>
  </si>
  <si>
    <t>Second Level</t>
  </si>
  <si>
    <t>New Crop Table</t>
  </si>
  <si>
    <t>Average Cost</t>
  </si>
  <si>
    <t>Promotion and Fees</t>
  </si>
  <si>
    <t xml:space="preserve">   - Annual Repairs &amp; Maintenance</t>
  </si>
  <si>
    <t xml:space="preserve">   - Upfront Costs of New System</t>
  </si>
  <si>
    <t>Scenario B</t>
  </si>
  <si>
    <t>Scenario A</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</si>
</sst>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
    <numFmt numFmtId="166" formatCode="0_)"/>
    <numFmt numFmtId="167" formatCode="_(* #,##0.0_);_(* \(#,##0.0\);_(* &quot;-&quot;??_);_(@_)"/>
    <numFmt numFmtId="168" formatCode="_(* #,##0.0_);_(* \(#,##0.0\);_(* &quot;-&quot;?_);_(@_)"/>
    <numFmt numFmtId="169" formatCode="&quot;$&quot;#,##0"/>
    <numFmt numFmtId="170" formatCode="_(* #,##0_);_(* \(#,##0\);_(* &quot;-&quot;??_);_(@_)"/>
    <numFmt numFmtId="171" formatCode="_(* #,##0.000_);_(* \(#,##0.000\);_(* &quot;-&quot;??_);_(@_)"/>
    <numFmt numFmtId="172" formatCode="_(* #,##0.0000_);_(* \(#,##0.0000\);_(* &quot;-&quot;??_);_(@_)"/>
    <numFmt numFmtId="173" formatCode="&quot;$&quot;#,##0.00"/>
    <numFmt numFmtId="174" formatCode="_(&quot;$&quot;* #,##0.0000_);_(&quot;$&quot;* \(#,##0.0000\);_(&quot;$&quot;* &quot;-&quot;??_);_(@_)"/>
    <numFmt numFmtId="175" formatCode="&quot;$&quot;#,##0.0000"/>
    <numFmt numFmtId="176" formatCode="_(&quot;$&quot;* #,##0_);_(&quot;$&quot;* \(#,##0\);_(&quot;$&quot;* &quot;-&quot;??_);_(@_)"/>
    <numFmt numFmtId="177" formatCode="0.000%"/>
    <numFmt numFmtId="178" formatCode="_(* #,##0.00000_);_(* \(#,##0.00000\);_(* &quot;-&quot;??_);_(@_)"/>
    <numFmt numFmtId="179" formatCode="_(&quot;$&quot;* #,##0.000_);_(&quot;$&quot;* \(#,##0.000\);_(&quot;$&quot;* &quot;-&quot;??_);_(@_)"/>
    <numFmt numFmtId="180" formatCode="#,##0.0"/>
    <numFmt numFmtId="181" formatCode="#,##0.0_);\(#,##0.0\)"/>
  </numFmts>
  <fonts count="10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Verdana"/>
      <family val="2"/>
    </font>
    <font>
      <u/>
      <sz val="8.5"/>
      <color theme="10"/>
      <name val="Verdana"/>
      <family val="2"/>
    </font>
    <font>
      <sz val="10"/>
      <name val="Arial"/>
      <family val="2"/>
    </font>
    <font>
      <sz val="11"/>
      <color indexed="8"/>
      <name val="Calibri"/>
      <family val="2"/>
    </font>
    <font>
      <u/>
      <sz val="10"/>
      <color indexed="12"/>
      <name val="Arial"/>
      <family val="2"/>
    </font>
    <font>
      <b/>
      <sz val="12"/>
      <name val="Times New Roman"/>
      <family val="1"/>
    </font>
    <font>
      <sz val="10"/>
      <name val="Helv"/>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2"/>
      <name val="Times"/>
      <family val="1"/>
    </font>
    <font>
      <sz val="10"/>
      <color indexed="8"/>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52"/>
      <name val="Calibri"/>
      <family val="2"/>
    </font>
    <font>
      <sz val="11"/>
      <color indexed="60"/>
      <name val="Calibri"/>
      <family val="2"/>
    </font>
    <font>
      <b/>
      <sz val="18"/>
      <color indexed="56"/>
      <name val="Cambria"/>
      <family val="1"/>
    </font>
    <font>
      <sz val="9"/>
      <name val="Times New Roman"/>
      <family val="1"/>
    </font>
    <font>
      <b/>
      <sz val="9"/>
      <name val="Times New Roman"/>
      <family val="1"/>
    </font>
    <font>
      <sz val="8"/>
      <name val="Helvetica"/>
      <family val="2"/>
    </font>
    <font>
      <b/>
      <sz val="15"/>
      <color indexed="62"/>
      <name val="Calibri"/>
      <family val="2"/>
    </font>
    <font>
      <b/>
      <sz val="13"/>
      <color indexed="62"/>
      <name val="Calibri"/>
      <family val="2"/>
    </font>
    <font>
      <b/>
      <sz val="11"/>
      <color indexed="62"/>
      <name val="Calibri"/>
      <family val="2"/>
    </font>
    <font>
      <b/>
      <sz val="18"/>
      <color indexed="62"/>
      <name val="Cambria"/>
      <family val="1"/>
    </font>
    <font>
      <b/>
      <sz val="11"/>
      <color indexed="10"/>
      <name val="Calibri"/>
      <family val="2"/>
    </font>
    <font>
      <sz val="11"/>
      <color indexed="19"/>
      <name val="Calibri"/>
      <family val="2"/>
    </font>
    <font>
      <b/>
      <sz val="11"/>
      <color theme="1"/>
      <name val="Calibri"/>
      <family val="2"/>
      <scheme val="minor"/>
    </font>
    <font>
      <b/>
      <sz val="11"/>
      <color rgb="FFFF0000"/>
      <name val="Calibri"/>
      <family val="2"/>
      <scheme val="minor"/>
    </font>
    <font>
      <sz val="11"/>
      <name val="Calibri"/>
      <family val="2"/>
      <scheme val="minor"/>
    </font>
    <font>
      <sz val="10"/>
      <color theme="1"/>
      <name val="Calibri"/>
      <family val="2"/>
      <scheme val="minor"/>
    </font>
    <font>
      <sz val="12"/>
      <name val="Calibri"/>
      <family val="2"/>
      <scheme val="minor"/>
    </font>
    <font>
      <b/>
      <sz val="11"/>
      <name val="Calibri"/>
      <family val="2"/>
      <scheme val="minor"/>
    </font>
    <font>
      <sz val="12"/>
      <name val="Arial"/>
      <family val="2"/>
    </font>
    <font>
      <sz val="11"/>
      <name val="Times New Roman"/>
      <family val="1"/>
    </font>
    <font>
      <u/>
      <sz val="11"/>
      <color theme="1"/>
      <name val="Calibri"/>
      <family val="2"/>
      <scheme val="minor"/>
    </font>
    <font>
      <sz val="12"/>
      <name val="Times New Roman"/>
      <family val="1"/>
    </font>
    <font>
      <b/>
      <sz val="11"/>
      <name val="Arial"/>
      <family val="2"/>
    </font>
    <font>
      <i/>
      <sz val="11"/>
      <color theme="1"/>
      <name val="Calibri"/>
      <family val="2"/>
      <scheme val="minor"/>
    </font>
    <font>
      <sz val="12"/>
      <color theme="1"/>
      <name val="Times New Roman"/>
      <family val="1"/>
    </font>
    <font>
      <sz val="16"/>
      <color theme="1"/>
      <name val="Calibri"/>
      <family val="2"/>
      <scheme val="minor"/>
    </font>
    <font>
      <b/>
      <sz val="16"/>
      <color theme="1"/>
      <name val="Times New Roman"/>
      <family val="1"/>
    </font>
    <font>
      <sz val="16"/>
      <color theme="1"/>
      <name val="Times New Roman"/>
      <family val="1"/>
    </font>
    <font>
      <sz val="14"/>
      <color theme="1"/>
      <name val="Times New Roman"/>
      <family val="1"/>
    </font>
    <font>
      <sz val="16"/>
      <name val="Times New Roman"/>
      <family val="1"/>
    </font>
    <font>
      <sz val="16"/>
      <name val="Calibri"/>
      <family val="2"/>
      <scheme val="minor"/>
    </font>
    <font>
      <b/>
      <sz val="16"/>
      <name val="Calibri"/>
      <family val="2"/>
      <scheme val="minor"/>
    </font>
    <font>
      <b/>
      <sz val="16"/>
      <color theme="1"/>
      <name val="Calibri"/>
      <family val="2"/>
      <scheme val="minor"/>
    </font>
    <font>
      <i/>
      <sz val="16"/>
      <color theme="1"/>
      <name val="Calibri"/>
      <family val="2"/>
      <scheme val="minor"/>
    </font>
    <font>
      <b/>
      <sz val="16"/>
      <color rgb="FFC00000"/>
      <name val="Times New Roman"/>
      <family val="1"/>
    </font>
    <font>
      <b/>
      <sz val="16"/>
      <color rgb="FFC00000"/>
      <name val="Calibri"/>
      <family val="2"/>
      <scheme val="minor"/>
    </font>
    <font>
      <b/>
      <i/>
      <sz val="16"/>
      <color rgb="FFC00000"/>
      <name val="Calibri"/>
      <family val="2"/>
      <scheme val="minor"/>
    </font>
    <font>
      <u/>
      <sz val="16"/>
      <color theme="1"/>
      <name val="Times New Roman"/>
      <family val="1"/>
    </font>
    <font>
      <b/>
      <sz val="18"/>
      <color theme="1"/>
      <name val="Times New Roman"/>
      <family val="1"/>
    </font>
    <font>
      <b/>
      <i/>
      <sz val="18"/>
      <color theme="1"/>
      <name val="Times New Roman"/>
      <family val="1"/>
    </font>
    <font>
      <sz val="16"/>
      <color rgb="FF000000"/>
      <name val="Times New Roman"/>
      <family val="1"/>
    </font>
    <font>
      <sz val="11"/>
      <color rgb="FF000000"/>
      <name val="Calibri"/>
      <family val="2"/>
      <scheme val="minor"/>
    </font>
    <font>
      <sz val="16"/>
      <color theme="1"/>
      <name val="Calibri (Body)"/>
    </font>
    <font>
      <i/>
      <sz val="16"/>
      <color theme="1"/>
      <name val="Calibri (Body)"/>
    </font>
    <font>
      <sz val="8"/>
      <name val="Calibri"/>
      <family val="2"/>
      <scheme val="minor"/>
    </font>
    <font>
      <vertAlign val="superscript"/>
      <sz val="16"/>
      <color theme="1"/>
      <name val="Calibri (Body)"/>
    </font>
    <font>
      <sz val="10"/>
      <color theme="1"/>
      <name val="Calibri (Body)"/>
    </font>
    <font>
      <b/>
      <i/>
      <sz val="16"/>
      <color theme="1"/>
      <name val="Times New Roman"/>
      <family val="1"/>
    </font>
    <font>
      <b/>
      <sz val="12"/>
      <color theme="1"/>
      <name val="Calibri"/>
      <family val="2"/>
      <scheme val="minor"/>
    </font>
    <font>
      <vertAlign val="superscript"/>
      <sz val="16"/>
      <color theme="1"/>
      <name val="Times New Roman"/>
      <family val="1"/>
    </font>
    <font>
      <vertAlign val="superscript"/>
      <sz val="14"/>
      <color theme="1"/>
      <name val="Times New Roman"/>
      <family val="1"/>
    </font>
    <font>
      <b/>
      <sz val="15"/>
      <color theme="1"/>
      <name val="Times New Roman"/>
      <family val="1"/>
    </font>
    <font>
      <b/>
      <vertAlign val="superscript"/>
      <sz val="15"/>
      <color theme="1"/>
      <name val="Times New Roman"/>
      <family val="1"/>
    </font>
    <font>
      <b/>
      <sz val="16"/>
      <color rgb="FF000000"/>
      <name val="Calibri"/>
      <family val="2"/>
      <scheme val="minor"/>
    </font>
    <font>
      <sz val="10"/>
      <name val="Times New Roman"/>
      <family val="1"/>
    </font>
    <font>
      <u/>
      <sz val="11"/>
      <color theme="1"/>
      <name val="Calibri (Body)"/>
    </font>
    <font>
      <b/>
      <u/>
      <sz val="11"/>
      <color theme="1"/>
      <name val="Calibri (Body)"/>
    </font>
    <font>
      <sz val="11"/>
      <color theme="1"/>
      <name val="Times New Roman"/>
      <family val="1"/>
    </font>
    <font>
      <b/>
      <sz val="16"/>
      <name val="Times New Roman"/>
      <family val="1"/>
    </font>
    <font>
      <sz val="22"/>
      <name val="Times New Roman"/>
      <family val="1"/>
    </font>
    <font>
      <i/>
      <sz val="12"/>
      <name val="Times New Roman"/>
      <family val="1"/>
    </font>
    <font>
      <i/>
      <vertAlign val="superscript"/>
      <sz val="12"/>
      <name val="Times New Roman"/>
      <family val="1"/>
    </font>
    <font>
      <b/>
      <sz val="20"/>
      <name val="Times New Roman"/>
      <family val="1"/>
    </font>
    <font>
      <sz val="16"/>
      <color rgb="FFC00000"/>
      <name val="Times New Roman"/>
      <family val="1"/>
    </font>
    <font>
      <b/>
      <u/>
      <sz val="16"/>
      <color theme="1"/>
      <name val="Calibri (Body)"/>
    </font>
    <font>
      <u/>
      <sz val="16"/>
      <color rgb="FFC00000"/>
      <name val="Times New Roman"/>
      <family val="1"/>
    </font>
    <font>
      <b/>
      <sz val="12"/>
      <color rgb="FFFF0000"/>
      <name val="Times New Roman"/>
      <family val="1"/>
    </font>
    <font>
      <b/>
      <sz val="14"/>
      <color theme="1"/>
      <name val="Times New Roman"/>
      <family val="1"/>
    </font>
    <font>
      <i/>
      <sz val="16"/>
      <color theme="1"/>
      <name val="Times New Roman"/>
      <family val="1"/>
    </font>
    <font>
      <u/>
      <sz val="16"/>
      <color theme="1"/>
      <name val="Calibri"/>
      <family val="2"/>
      <scheme val="minor"/>
    </font>
    <font>
      <b/>
      <sz val="15"/>
      <color rgb="FF000000"/>
      <name val="Calibri"/>
      <family val="2"/>
      <scheme val="minor"/>
    </font>
    <font>
      <b/>
      <sz val="16"/>
      <color rgb="FFFF0000"/>
      <name val="Times New Roman"/>
      <family val="1"/>
    </font>
    <font>
      <b/>
      <sz val="15"/>
      <color rgb="FFFF0000"/>
      <name val="Calibri"/>
      <family val="2"/>
      <scheme val="minor"/>
    </font>
    <font>
      <b/>
      <sz val="15"/>
      <color theme="1"/>
      <name val="Calibri"/>
      <family val="2"/>
      <scheme val="minor"/>
    </font>
  </fonts>
  <fills count="37">
    <fill>
      <patternFill patternType="none"/>
    </fill>
    <fill>
      <patternFill patternType="gray125"/>
    </fill>
    <fill>
      <patternFill patternType="solid">
        <fgColor theme="7" tint="0.59999389629810485"/>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22"/>
        <bgColor indexed="64"/>
      </patternFill>
    </fill>
    <fill>
      <patternFill patternType="darkTrellis"/>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64"/>
      </patternFill>
    </fill>
    <fill>
      <patternFill patternType="solid">
        <fgColor rgb="FFD8C6E6"/>
        <bgColor indexed="64"/>
      </patternFill>
    </fill>
  </fills>
  <borders count="75">
    <border>
      <start/>
      <end/>
      <top/>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style="thin">
        <color indexed="64"/>
      </start>
      <end style="thin">
        <color indexed="64"/>
      </end>
      <top style="thin">
        <color indexed="64"/>
      </top>
      <bottom style="thin">
        <color indexed="64"/>
      </bottom>
      <diagonal/>
    </border>
    <border>
      <start/>
      <end style="medium">
        <color indexed="64"/>
      </end>
      <top style="medium">
        <color indexed="64"/>
      </top>
      <bottom/>
      <diagonal/>
    </border>
    <border>
      <start style="thin">
        <color indexed="64"/>
      </start>
      <end style="thin">
        <color indexed="64"/>
      </end>
      <top/>
      <bottom style="thin">
        <color indexed="64"/>
      </bottom>
      <diagonal/>
    </border>
    <border>
      <start/>
      <end style="medium">
        <color indexed="64"/>
      </end>
      <top/>
      <bottom/>
      <diagonal/>
    </border>
    <border>
      <start/>
      <end style="medium">
        <color indexed="64"/>
      </end>
      <top/>
      <bottom style="medium">
        <color indexed="64"/>
      </bottom>
      <diagonal/>
    </border>
    <border>
      <start style="medium">
        <color indexed="64"/>
      </start>
      <end style="thin">
        <color indexed="64"/>
      </end>
      <top style="thin">
        <color indexed="64"/>
      </top>
      <bottom style="thin">
        <color indexed="64"/>
      </bottom>
      <diagonal/>
    </border>
    <border>
      <start style="thin">
        <color indexed="23"/>
      </start>
      <end style="thin">
        <color indexed="23"/>
      </end>
      <top style="thin">
        <color indexed="23"/>
      </top>
      <bottom style="thin">
        <color indexed="23"/>
      </bottom>
      <diagonal/>
    </border>
    <border>
      <start style="double">
        <color indexed="63"/>
      </start>
      <end style="double">
        <color indexed="63"/>
      </end>
      <top style="double">
        <color indexed="63"/>
      </top>
      <bottom style="double">
        <color indexed="63"/>
      </bottom>
      <diagonal/>
    </border>
    <border>
      <start/>
      <end/>
      <top/>
      <bottom style="thick">
        <color indexed="56"/>
      </bottom>
      <diagonal/>
    </border>
    <border>
      <start/>
      <end/>
      <top/>
      <bottom style="thick">
        <color indexed="62"/>
      </bottom>
      <diagonal/>
    </border>
    <border>
      <start/>
      <end/>
      <top/>
      <bottom style="thick">
        <color indexed="27"/>
      </bottom>
      <diagonal/>
    </border>
    <border>
      <start/>
      <end/>
      <top/>
      <bottom style="thick">
        <color indexed="22"/>
      </bottom>
      <diagonal/>
    </border>
    <border>
      <start/>
      <end/>
      <top/>
      <bottom style="medium">
        <color indexed="27"/>
      </bottom>
      <diagonal/>
    </border>
    <border>
      <start/>
      <end/>
      <top/>
      <bottom style="medium">
        <color indexed="30"/>
      </bottom>
      <diagonal/>
    </border>
    <border>
      <start/>
      <end/>
      <top/>
      <bottom style="double">
        <color indexed="10"/>
      </bottom>
      <diagonal/>
    </border>
    <border>
      <start/>
      <end/>
      <top/>
      <bottom style="double">
        <color indexed="52"/>
      </bottom>
      <diagonal/>
    </border>
    <border>
      <start style="hair">
        <color auto="1"/>
      </start>
      <end style="hair">
        <color auto="1"/>
      </end>
      <top style="hair">
        <color auto="1"/>
      </top>
      <bottom style="hair">
        <color auto="1"/>
      </bottom>
      <diagonal/>
    </border>
    <border>
      <start style="thin">
        <color indexed="22"/>
      </start>
      <end style="thin">
        <color indexed="22"/>
      </end>
      <top style="thin">
        <color indexed="22"/>
      </top>
      <bottom style="thin">
        <color indexed="22"/>
      </bottom>
      <diagonal/>
    </border>
    <border>
      <start style="thin">
        <color indexed="63"/>
      </start>
      <end style="thin">
        <color indexed="63"/>
      </end>
      <top style="thin">
        <color indexed="63"/>
      </top>
      <bottom style="thin">
        <color indexed="63"/>
      </bottom>
      <diagonal/>
    </border>
    <border>
      <start/>
      <end/>
      <top style="thin">
        <color indexed="56"/>
      </top>
      <bottom style="double">
        <color indexed="56"/>
      </bottom>
      <diagonal/>
    </border>
    <border>
      <start/>
      <end/>
      <top style="thin">
        <color indexed="62"/>
      </top>
      <bottom style="double">
        <color indexed="62"/>
      </bottom>
      <diagonal/>
    </border>
    <border>
      <start style="thin">
        <color auto="1"/>
      </start>
      <end style="thin">
        <color auto="1"/>
      </end>
      <top style="thin">
        <color auto="1"/>
      </top>
      <bottom style="thin">
        <color auto="1"/>
      </bottom>
      <diagonal/>
    </border>
    <border>
      <start style="medium">
        <color auto="1"/>
      </start>
      <end style="thin">
        <color auto="1"/>
      </end>
      <top style="thin">
        <color auto="1"/>
      </top>
      <bottom style="thin">
        <color auto="1"/>
      </bottom>
      <diagonal/>
    </border>
    <border>
      <start/>
      <end/>
      <top/>
      <bottom style="medium">
        <color indexed="27"/>
      </bottom>
      <diagonal/>
    </border>
    <border>
      <start/>
      <end/>
      <top/>
      <bottom style="medium">
        <color indexed="30"/>
      </bottom>
      <diagonal/>
    </border>
    <border>
      <start style="thin">
        <color indexed="63"/>
      </start>
      <end style="thin">
        <color indexed="63"/>
      </end>
      <top style="thin">
        <color indexed="63"/>
      </top>
      <bottom style="thin">
        <color indexed="63"/>
      </bottom>
      <diagonal/>
    </border>
    <border>
      <start/>
      <end/>
      <top style="thin">
        <color indexed="56"/>
      </top>
      <bottom style="double">
        <color indexed="56"/>
      </bottom>
      <diagonal/>
    </border>
    <border>
      <start/>
      <end/>
      <top style="thin">
        <color indexed="62"/>
      </top>
      <bottom style="double">
        <color indexed="62"/>
      </bottom>
      <diagonal/>
    </border>
    <border>
      <start style="medium">
        <color indexed="64"/>
      </start>
      <end style="thin">
        <color indexed="64"/>
      </end>
      <top style="thin">
        <color indexed="64"/>
      </top>
      <bottom style="thin">
        <color indexed="64"/>
      </bottom>
      <diagonal/>
    </border>
    <border>
      <start style="thin">
        <color indexed="23"/>
      </start>
      <end style="thin">
        <color indexed="23"/>
      </end>
      <top style="thin">
        <color indexed="23"/>
      </top>
      <bottom style="thin">
        <color indexed="23"/>
      </bottom>
      <diagonal/>
    </border>
    <border>
      <start style="thin">
        <color indexed="22"/>
      </start>
      <end style="thin">
        <color indexed="22"/>
      </end>
      <top style="thin">
        <color indexed="22"/>
      </top>
      <bottom style="thin">
        <color indexed="22"/>
      </bottom>
      <diagonal/>
    </border>
    <border>
      <start style="thin">
        <color indexed="64"/>
      </start>
      <end/>
      <top/>
      <bottom style="thin">
        <color indexed="64"/>
      </bottom>
      <diagonal/>
    </border>
    <border>
      <start/>
      <end style="thin">
        <color indexed="64"/>
      </end>
      <top style="thin">
        <color auto="1"/>
      </top>
      <bottom style="thin">
        <color indexed="64"/>
      </bottom>
      <diagonal/>
    </border>
    <border>
      <start style="thin">
        <color indexed="64"/>
      </start>
      <end/>
      <top/>
      <bottom/>
      <diagonal/>
    </border>
    <border>
      <start/>
      <end style="thin">
        <color indexed="64"/>
      </end>
      <top/>
      <bottom style="thin">
        <color auto="1"/>
      </bottom>
      <diagonal/>
    </border>
    <border>
      <start style="thin">
        <color indexed="64"/>
      </start>
      <end/>
      <top style="thin">
        <color indexed="64"/>
      </top>
      <bottom style="thin">
        <color indexed="64"/>
      </bottom>
      <diagonal/>
    </border>
    <border>
      <start style="thin">
        <color indexed="64"/>
      </start>
      <end/>
      <top style="thin">
        <color indexed="64"/>
      </top>
      <bottom/>
      <diagonal/>
    </border>
    <border>
      <start/>
      <end style="thin">
        <color indexed="64"/>
      </end>
      <top/>
      <bottom/>
      <diagonal/>
    </border>
    <border>
      <start/>
      <end/>
      <top/>
      <bottom style="thin">
        <color indexed="64"/>
      </bottom>
      <diagonal/>
    </border>
    <border>
      <start/>
      <end/>
      <top/>
      <bottom style="medium">
        <color indexed="27"/>
      </bottom>
      <diagonal/>
    </border>
    <border>
      <start/>
      <end/>
      <top/>
      <bottom style="medium">
        <color indexed="30"/>
      </bottom>
      <diagonal/>
    </border>
    <border>
      <start/>
      <end/>
      <top/>
      <bottom style="medium">
        <color indexed="64"/>
      </bottom>
      <diagonal/>
    </border>
    <border>
      <start style="thin">
        <color auto="1"/>
      </start>
      <end style="thin">
        <color auto="1"/>
      </end>
      <top style="thin">
        <color auto="1"/>
      </top>
      <bottom/>
      <diagonal/>
    </border>
    <border>
      <start/>
      <end/>
      <top style="thin">
        <color indexed="64"/>
      </top>
      <bottom style="thin">
        <color indexed="64"/>
      </bottom>
      <diagonal/>
    </border>
    <border>
      <start/>
      <end style="thin">
        <color indexed="64"/>
      </end>
      <top style="thin">
        <color auto="1"/>
      </top>
      <bottom/>
      <diagonal/>
    </border>
    <border>
      <start/>
      <end/>
      <top style="thin">
        <color indexed="64"/>
      </top>
      <bottom/>
      <diagonal/>
    </border>
    <border>
      <start style="thin">
        <color auto="1"/>
      </start>
      <end style="thin">
        <color auto="1"/>
      </end>
      <top/>
      <bottom/>
      <diagonal/>
    </border>
    <border>
      <start style="medium">
        <color indexed="64"/>
      </start>
      <end style="thin">
        <color auto="1"/>
      </end>
      <top style="medium">
        <color indexed="64"/>
      </top>
      <bottom/>
      <diagonal/>
    </border>
    <border>
      <start style="thin">
        <color auto="1"/>
      </start>
      <end style="thin">
        <color auto="1"/>
      </end>
      <top style="medium">
        <color indexed="64"/>
      </top>
      <bottom/>
      <diagonal/>
    </border>
    <border>
      <start style="medium">
        <color indexed="64"/>
      </start>
      <end style="thin">
        <color indexed="64"/>
      </end>
      <top/>
      <bottom style="medium">
        <color indexed="64"/>
      </bottom>
      <diagonal/>
    </border>
    <border>
      <start style="thin">
        <color indexed="64"/>
      </start>
      <end style="thin">
        <color indexed="64"/>
      </end>
      <top/>
      <bottom style="medium">
        <color indexed="64"/>
      </bottom>
      <diagonal/>
    </border>
    <border>
      <start style="medium">
        <color indexed="64"/>
      </start>
      <end style="thin">
        <color auto="1"/>
      </end>
      <top/>
      <bottom/>
      <diagonal/>
    </border>
    <border>
      <start style="medium">
        <color indexed="64"/>
      </start>
      <end style="thin">
        <color auto="1"/>
      </end>
      <top/>
      <bottom style="thin">
        <color indexed="64"/>
      </bottom>
      <diagonal/>
    </border>
    <border>
      <start/>
      <end style="medium">
        <color indexed="64"/>
      </end>
      <top/>
      <bottom style="thin">
        <color indexed="64"/>
      </bottom>
      <diagonal/>
    </border>
    <border>
      <start style="thin">
        <color auto="1"/>
      </start>
      <end/>
      <top style="medium">
        <color indexed="64"/>
      </top>
      <bottom style="medium">
        <color indexed="64"/>
      </bottom>
      <diagonal/>
    </border>
    <border>
      <start style="thin">
        <color indexed="64"/>
      </start>
      <end/>
      <top/>
      <bottom style="medium">
        <color indexed="64"/>
      </bottom>
      <diagonal/>
    </border>
    <border>
      <start style="thin">
        <color auto="1"/>
      </start>
      <end style="medium">
        <color indexed="64"/>
      </end>
      <top style="thin">
        <color auto="1"/>
      </top>
      <bottom/>
      <diagonal/>
    </border>
    <border>
      <start style="thin">
        <color auto="1"/>
      </start>
      <end style="medium">
        <color indexed="64"/>
      </end>
      <top/>
      <bottom/>
      <diagonal/>
    </border>
    <border>
      <start style="thin">
        <color indexed="64"/>
      </start>
      <end style="medium">
        <color indexed="64"/>
      </end>
      <top/>
      <bottom style="thin">
        <color indexed="64"/>
      </bottom>
      <diagonal/>
    </border>
    <border>
      <start style="thin">
        <color indexed="64"/>
      </start>
      <end style="medium">
        <color indexed="64"/>
      </end>
      <top/>
      <bottom style="medium">
        <color indexed="64"/>
      </bottom>
      <diagonal/>
    </border>
    <border>
      <start/>
      <end/>
      <top style="medium">
        <color indexed="64"/>
      </top>
      <bottom style="thin">
        <color indexed="64"/>
      </bottom>
      <diagonal/>
    </border>
    <border>
      <start/>
      <end style="medium">
        <color indexed="64"/>
      </end>
      <top style="thin">
        <color auto="1"/>
      </top>
      <bottom/>
      <diagonal/>
    </border>
    <border>
      <start style="medium">
        <color indexed="64"/>
      </start>
      <end/>
      <top style="medium">
        <color indexed="64"/>
      </top>
      <bottom/>
      <diagonal/>
    </border>
    <border>
      <start/>
      <end/>
      <top style="medium">
        <color indexed="64"/>
      </top>
      <bottom/>
      <diagonal/>
    </border>
    <border>
      <start style="medium">
        <color indexed="64"/>
      </start>
      <end/>
      <top/>
      <bottom/>
      <diagonal/>
    </border>
    <border>
      <start style="medium">
        <color indexed="64"/>
      </start>
      <end/>
      <top/>
      <bottom style="medium">
        <color indexed="64"/>
      </bottom>
      <diagonal/>
    </border>
    <border>
      <start style="thin">
        <color auto="1"/>
      </start>
      <end/>
      <top style="medium">
        <color indexed="64"/>
      </top>
      <bottom/>
      <diagonal/>
    </border>
    <border>
      <start style="medium">
        <color indexed="64"/>
      </start>
      <end/>
      <top style="medium">
        <color indexed="64"/>
      </top>
      <bottom style="medium">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end style="thin">
        <color indexed="64"/>
      </end>
      <top style="thin">
        <color indexed="64"/>
      </top>
      <bottom/>
      <diagonal/>
    </border>
    <border>
      <start/>
      <end/>
      <top style="thin">
        <color indexed="64"/>
      </top>
      <bottom style="thin">
        <color indexed="64"/>
      </bottom>
      <diagonal/>
    </border>
  </borders>
  <cellStyleXfs count="33024">
    <xf numFmtId="0" fontId="0" fillId="0" borderId="0"/>
    <xf numFmtId="9" fontId="5" fillId="0" borderId="0" applyFont="0" applyFill="0" applyBorder="0" applyAlignment="0" applyProtection="0"/>
    <xf numFmtId="0" fontId="6" fillId="0" borderId="0"/>
    <xf numFmtId="0" fontId="7" fillId="0" borderId="0" applyNumberFormat="0" applyFill="0" applyBorder="0" applyAlignment="0" applyProtection="0">
      <alignment vertical="top"/>
      <protection locked="0"/>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49" fontId="32" fillId="0" borderId="3" applyNumberFormat="0" applyFont="0" applyFill="0" applyBorder="0" applyProtection="0">
      <alignment horizontal="left" vertical="center" indent="2"/>
    </xf>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49" fontId="32" fillId="0" borderId="8" applyNumberFormat="0" applyFont="0" applyFill="0" applyBorder="0" applyProtection="0">
      <alignment horizontal="left" vertical="center" indent="5"/>
    </xf>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1" borderId="0" applyNumberFormat="0" applyBorder="0" applyAlignment="0" applyProtection="0"/>
    <xf numFmtId="0" fontId="13" fillId="1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16"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1" borderId="0" applyNumberFormat="0" applyBorder="0" applyAlignment="0" applyProtection="0"/>
    <xf numFmtId="0" fontId="13" fillId="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5"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16" borderId="0" applyNumberFormat="0" applyBorder="0" applyAlignment="0" applyProtection="0"/>
    <xf numFmtId="0" fontId="13" fillId="14"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4"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2" borderId="0" applyNumberFormat="0" applyBorder="0" applyAlignment="0" applyProtection="0"/>
    <xf numFmtId="0" fontId="14" fillId="10"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4" fontId="33" fillId="0" borderId="5" applyFill="0" applyBorder="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0" fontId="15" fillId="27" borderId="1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35" fillId="0" borderId="11"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36" fillId="0" borderId="13"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37" fillId="0" borderId="15"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 fillId="0" borderId="0" applyNumberFormat="0" applyFill="0" applyBorder="0" applyAlignment="0" applyProtection="0"/>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19" fillId="0" borderId="17" applyNumberFormat="0" applyFill="0" applyAlignment="0" applyProtection="0"/>
    <xf numFmtId="0" fontId="4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19"/>
    <xf numFmtId="0" fontId="8" fillId="0" borderId="19"/>
    <xf numFmtId="0" fontId="8" fillId="0" borderId="0"/>
    <xf numFmtId="0" fontId="8" fillId="0" borderId="19"/>
    <xf numFmtId="0" fontId="8" fillId="0" borderId="19"/>
    <xf numFmtId="0" fontId="8" fillId="0" borderId="19"/>
    <xf numFmtId="0" fontId="8" fillId="0" borderId="19"/>
    <xf numFmtId="0" fontId="23"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8" fillId="0" borderId="19"/>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0" fontId="34" fillId="28" borderId="0" applyNumberFormat="0" applyFont="0" applyBorder="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165" fontId="32" fillId="29" borderId="3" applyNumberFormat="0" applyFont="0" applyBorder="0" applyAlignment="0" applyProtection="0">
      <alignment horizontal="right" vertical="center"/>
    </xf>
    <xf numFmtId="9" fontId="8" fillId="0" borderId="0" applyFont="0" applyFill="0" applyBorder="0" applyAlignment="0" applyProtection="0"/>
    <xf numFmtId="164" fontId="8" fillId="0" borderId="0" applyFont="0" applyFill="0" applyBorder="0" applyAlignment="0" applyProtection="0"/>
    <xf numFmtId="166" fontId="12" fillId="0" borderId="0"/>
    <xf numFmtId="11" fontId="12" fillId="0" borderId="0" applyFont="0" applyFill="0" applyBorder="0" applyAlignment="0" applyProtection="0"/>
    <xf numFmtId="0" fontId="3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3" fontId="6" fillId="0" borderId="0" applyFont="0" applyFill="0" applyBorder="0" applyAlignment="0" applyProtection="0"/>
    <xf numFmtId="9" fontId="6" fillId="0" borderId="0" applyFont="0" applyFill="0" applyBorder="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15"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0" borderId="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7" fillId="0" borderId="26"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27" applyNumberFormat="0" applyFill="0" applyAlignment="0" applyProtection="0"/>
    <xf numFmtId="0" fontId="37" fillId="0" borderId="26"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5"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165" fontId="32" fillId="29" borderId="24" applyNumberFormat="0" applyFont="0" applyBorder="0" applyAlignment="0" applyProtection="0">
      <alignment horizontal="right" vertical="center"/>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4" fillId="26" borderId="9" applyNumberFormat="0" applyAlignment="0" applyProtection="0"/>
    <xf numFmtId="0" fontId="27" fillId="0" borderId="27" applyNumberFormat="0" applyFill="0" applyAlignment="0" applyProtection="0"/>
    <xf numFmtId="0" fontId="18" fillId="9" borderId="9" applyNumberFormat="0" applyAlignment="0" applyProtection="0"/>
    <xf numFmtId="0" fontId="27" fillId="0" borderId="27"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27" applyNumberFormat="0" applyFill="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7" fillId="0" borderId="27" applyNumberFormat="0" applyFill="0" applyAlignment="0" applyProtection="0"/>
    <xf numFmtId="0" fontId="27" fillId="0" borderId="27"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27" applyNumberFormat="0" applyFill="0" applyAlignment="0" applyProtection="0"/>
    <xf numFmtId="165" fontId="32" fillId="29" borderId="24" applyNumberFormat="0" applyFont="0" applyBorder="0" applyAlignment="0" applyProtection="0">
      <alignment horizontal="right" vertical="center"/>
    </xf>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7" fillId="0" borderId="27" applyNumberFormat="0" applyFill="0" applyAlignment="0" applyProtection="0"/>
    <xf numFmtId="0" fontId="37" fillId="0" borderId="26"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7" fillId="0" borderId="27" applyNumberFormat="0" applyFill="0" applyAlignment="0" applyProtection="0"/>
    <xf numFmtId="0" fontId="21" fillId="0" borderId="23" applyNumberFormat="0" applyFill="0" applyAlignment="0" applyProtection="0"/>
    <xf numFmtId="0" fontId="27" fillId="0" borderId="27"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27" applyNumberFormat="0" applyFill="0" applyAlignment="0" applyProtection="0"/>
    <xf numFmtId="0" fontId="18" fillId="9" borderId="9" applyNumberFormat="0" applyAlignment="0" applyProtection="0"/>
    <xf numFmtId="0" fontId="20" fillId="26" borderId="21" applyNumberFormat="0" applyAlignment="0" applyProtection="0"/>
    <xf numFmtId="0" fontId="20" fillId="25" borderId="21" applyNumberFormat="0" applyAlignment="0" applyProtection="0"/>
    <xf numFmtId="0" fontId="27" fillId="0" borderId="27" applyNumberFormat="0" applyFill="0" applyAlignment="0" applyProtection="0"/>
    <xf numFmtId="0" fontId="27" fillId="0" borderId="27" applyNumberFormat="0" applyFill="0" applyAlignment="0" applyProtection="0"/>
    <xf numFmtId="49" fontId="32" fillId="0" borderId="24" applyNumberFormat="0" applyFont="0" applyFill="0" applyBorder="0" applyProtection="0">
      <alignment horizontal="left" vertical="center" indent="2"/>
    </xf>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27" applyNumberFormat="0" applyFill="0" applyAlignment="0" applyProtection="0"/>
    <xf numFmtId="0" fontId="8" fillId="7" borderId="20" applyNumberFormat="0" applyFont="0" applyAlignment="0" applyProtection="0"/>
    <xf numFmtId="49" fontId="32" fillId="0" borderId="25" applyNumberFormat="0" applyFont="0" applyFill="0" applyBorder="0" applyProtection="0">
      <alignment horizontal="left" vertical="center" indent="5"/>
    </xf>
    <xf numFmtId="0" fontId="18" fillId="9" borderId="9" applyNumberFormat="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32" fillId="0" borderId="24" applyNumberFormat="0" applyFill="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20" fillId="26" borderId="21" applyNumberFormat="0" applyAlignment="0" applyProtection="0"/>
    <xf numFmtId="0" fontId="27" fillId="0" borderId="27" applyNumberFormat="0" applyFill="0" applyAlignment="0" applyProtection="0"/>
    <xf numFmtId="0" fontId="18" fillId="9" borderId="9" applyNumberFormat="0" applyAlignment="0" applyProtection="0"/>
    <xf numFmtId="0" fontId="27" fillId="0" borderId="27"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7" fillId="0" borderId="27" applyNumberFormat="0" applyFill="0" applyAlignment="0" applyProtection="0"/>
    <xf numFmtId="0" fontId="39" fillId="25" borderId="9" applyNumberFormat="0" applyAlignment="0" applyProtection="0"/>
    <xf numFmtId="0" fontId="18" fillId="9"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21" fillId="0" borderId="22" applyNumberFormat="0" applyFill="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0" fillId="25" borderId="21" applyNumberFormat="0" applyAlignment="0" applyProtection="0"/>
    <xf numFmtId="0" fontId="27" fillId="0" borderId="27" applyNumberFormat="0" applyFill="0" applyAlignment="0" applyProtection="0"/>
    <xf numFmtId="0" fontId="27" fillId="0" borderId="27"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27" applyNumberFormat="0" applyFill="0" applyAlignment="0" applyProtection="0"/>
    <xf numFmtId="0" fontId="27" fillId="0" borderId="27" applyNumberFormat="0" applyFill="0" applyAlignment="0" applyProtection="0"/>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7" fillId="0" borderId="27"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7" fillId="0" borderId="27" applyNumberFormat="0" applyFill="0" applyAlignment="0" applyProtection="0"/>
    <xf numFmtId="49" fontId="32" fillId="0" borderId="8" applyNumberFormat="0" applyFont="0" applyFill="0" applyBorder="0" applyProtection="0">
      <alignment horizontal="left" vertical="center" indent="5"/>
    </xf>
    <xf numFmtId="0" fontId="27" fillId="0" borderId="27"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165" fontId="32" fillId="29" borderId="24" applyNumberFormat="0" applyFont="0" applyBorder="0" applyAlignment="0" applyProtection="0">
      <alignment horizontal="right" vertical="center"/>
    </xf>
    <xf numFmtId="0" fontId="18" fillId="12" borderId="9" applyNumberFormat="0" applyAlignment="0" applyProtection="0"/>
    <xf numFmtId="0" fontId="24" fillId="26" borderId="9" applyNumberFormat="0" applyAlignment="0" applyProtection="0"/>
    <xf numFmtId="0" fontId="27" fillId="0" borderId="27" applyNumberFormat="0" applyFill="0" applyAlignment="0" applyProtection="0"/>
    <xf numFmtId="0" fontId="24" fillId="26" borderId="9" applyNumberFormat="0" applyAlignment="0" applyProtection="0"/>
    <xf numFmtId="0" fontId="27" fillId="0" borderId="27"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165" fontId="32" fillId="29" borderId="24" applyNumberFormat="0" applyFont="0" applyBorder="0" applyAlignment="0" applyProtection="0">
      <alignment horizontal="right" vertical="center"/>
    </xf>
    <xf numFmtId="0" fontId="20" fillId="26" borderId="21" applyNumberFormat="0" applyAlignment="0" applyProtection="0"/>
    <xf numFmtId="0" fontId="8" fillId="7" borderId="20" applyNumberFormat="0" applyFont="0" applyAlignment="0" applyProtection="0"/>
    <xf numFmtId="4" fontId="32" fillId="0" borderId="24" applyFill="0" applyBorder="0" applyProtection="0">
      <alignment horizontal="right" vertical="center"/>
    </xf>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165" fontId="32" fillId="29" borderId="24" applyNumberFormat="0" applyFont="0" applyBorder="0" applyAlignment="0" applyProtection="0">
      <alignment horizontal="right" vertical="center"/>
    </xf>
    <xf numFmtId="0" fontId="32" fillId="0" borderId="24" applyNumberFormat="0" applyFill="0" applyAlignment="0" applyProtection="0"/>
    <xf numFmtId="4" fontId="32" fillId="0" borderId="24" applyFill="0" applyBorder="0" applyProtection="0">
      <alignment horizontal="right" vertical="center"/>
    </xf>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4" fontId="32" fillId="0" borderId="24" applyFill="0" applyBorder="0" applyProtection="0">
      <alignment horizontal="right" vertical="center"/>
    </xf>
    <xf numFmtId="0" fontId="21" fillId="0" borderId="22" applyNumberFormat="0" applyFill="0" applyAlignment="0" applyProtection="0"/>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24" applyNumberFormat="0" applyFill="0" applyBorder="0" applyProtection="0">
      <alignment horizontal="left" vertical="center"/>
    </xf>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24" applyNumberFormat="0" applyFont="0" applyFill="0" applyBorder="0" applyProtection="0">
      <alignment horizontal="left" vertical="center" indent="2"/>
    </xf>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24" applyNumberFormat="0" applyFont="0" applyFill="0" applyBorder="0" applyProtection="0">
      <alignment horizontal="left" vertical="center" indent="2"/>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27" applyNumberFormat="0" applyFill="0" applyAlignment="0" applyProtection="0"/>
    <xf numFmtId="0" fontId="8" fillId="7" borderId="20" applyNumberFormat="0" applyFont="0" applyAlignment="0" applyProtection="0"/>
    <xf numFmtId="0" fontId="24" fillId="26" borderId="9" applyNumberFormat="0" applyAlignment="0" applyProtection="0"/>
    <xf numFmtId="49" fontId="33" fillId="0" borderId="3" applyNumberFormat="0" applyFill="0" applyBorder="0" applyProtection="0">
      <alignment horizontal="left" vertical="center"/>
    </xf>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24" applyNumberFormat="0" applyFill="0" applyBorder="0" applyProtection="0">
      <alignment horizontal="lef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4" fontId="32" fillId="0" borderId="3" applyFill="0" applyBorder="0" applyProtection="0">
      <alignment horizontal="right" vertical="center"/>
    </xf>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49" fontId="33" fillId="0" borderId="24" applyNumberFormat="0" applyFill="0" applyBorder="0" applyProtection="0">
      <alignment horizontal="left" vertical="center"/>
    </xf>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49" fontId="32" fillId="0" borderId="25" applyNumberFormat="0" applyFont="0" applyFill="0" applyBorder="0" applyProtection="0">
      <alignment horizontal="left" vertical="center" indent="5"/>
    </xf>
    <xf numFmtId="0" fontId="18" fillId="9" borderId="9"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7" fillId="0" borderId="27" applyNumberFormat="0" applyFill="0" applyAlignment="0" applyProtection="0"/>
    <xf numFmtId="0" fontId="8" fillId="7" borderId="20" applyNumberFormat="0" applyFont="0" applyAlignment="0" applyProtection="0"/>
    <xf numFmtId="0" fontId="32" fillId="0" borderId="3" applyNumberFormat="0" applyFill="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49" fontId="32" fillId="0" borderId="24" applyNumberFormat="0" applyFont="0" applyFill="0" applyBorder="0" applyProtection="0">
      <alignment horizontal="left" vertical="center" indent="2"/>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39" fillId="25"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49" fontId="32" fillId="0" borderId="24"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20" fillId="25"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32" fillId="0" borderId="24"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0" fillId="25" borderId="21" applyNumberFormat="0" applyAlignment="0" applyProtection="0"/>
    <xf numFmtId="0" fontId="8" fillId="7" borderId="20" applyNumberFormat="0" applyFont="0" applyAlignment="0" applyProtection="0"/>
    <xf numFmtId="0" fontId="27" fillId="0" borderId="27"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18" fillId="12" borderId="9" applyNumberFormat="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18" fillId="9" borderId="9" applyNumberFormat="0" applyAlignment="0" applyProtection="0"/>
    <xf numFmtId="4" fontId="32" fillId="0" borderId="24" applyFill="0" applyBorder="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32" fillId="0" borderId="24" applyNumberFormat="0" applyFill="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4" fontId="32" fillId="0" borderId="24" applyFill="0" applyBorder="0" applyProtection="0">
      <alignment horizontal="right" vertical="center"/>
    </xf>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0" fillId="25" borderId="21"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7" fillId="0" borderId="27" applyNumberFormat="0" applyFill="0" applyAlignment="0" applyProtection="0"/>
    <xf numFmtId="0" fontId="18" fillId="9" borderId="9" applyNumberFormat="0" applyAlignment="0" applyProtection="0"/>
    <xf numFmtId="0" fontId="24" fillId="26" borderId="9" applyNumberFormat="0" applyAlignment="0" applyProtection="0"/>
    <xf numFmtId="4" fontId="32" fillId="0" borderId="3" applyFill="0" applyBorder="0" applyProtection="0">
      <alignment horizontal="right" vertical="center"/>
    </xf>
    <xf numFmtId="0" fontId="20" fillId="26" borderId="21" applyNumberFormat="0" applyAlignment="0" applyProtection="0"/>
    <xf numFmtId="0" fontId="18" fillId="9" borderId="9" applyNumberFormat="0" applyAlignment="0" applyProtection="0"/>
    <xf numFmtId="49" fontId="32" fillId="0" borderId="25" applyNumberFormat="0" applyFont="0" applyFill="0" applyBorder="0" applyProtection="0">
      <alignment horizontal="left" vertical="center" indent="5"/>
    </xf>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49" fontId="32" fillId="0" borderId="25" applyNumberFormat="0" applyFont="0" applyFill="0" applyBorder="0" applyProtection="0">
      <alignment horizontal="left" vertical="center" indent="5"/>
    </xf>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39" fillId="25"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27" applyNumberFormat="0" applyFill="0" applyAlignment="0" applyProtection="0"/>
    <xf numFmtId="0" fontId="20" fillId="26" borderId="21" applyNumberFormat="0" applyAlignment="0" applyProtection="0"/>
    <xf numFmtId="0" fontId="18" fillId="9" borderId="9" applyNumberFormat="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21" fillId="0" borderId="23" applyNumberFormat="0" applyFill="0" applyAlignment="0" applyProtection="0"/>
    <xf numFmtId="0" fontId="18" fillId="12"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49" fontId="32" fillId="0" borderId="25" applyNumberFormat="0" applyFont="0" applyFill="0" applyBorder="0" applyProtection="0">
      <alignment horizontal="left" vertical="center" indent="5"/>
    </xf>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1" fillId="0" borderId="22" applyNumberFormat="0" applyFill="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37" fillId="0" borderId="26"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5" borderId="21" applyNumberFormat="0" applyAlignment="0" applyProtection="0"/>
    <xf numFmtId="0" fontId="18" fillId="9" borderId="9" applyNumberFormat="0" applyAlignment="0" applyProtection="0"/>
    <xf numFmtId="0" fontId="20" fillId="25"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5" borderId="21"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32" fillId="0" borderId="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8"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3" fillId="0" borderId="24" applyNumberFormat="0" applyFill="0" applyBorder="0" applyProtection="0">
      <alignment horizontal="left" vertical="center"/>
    </xf>
    <xf numFmtId="49" fontId="32" fillId="0" borderId="24"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27" fillId="0" borderId="27" applyNumberFormat="0" applyFill="0" applyAlignment="0" applyProtection="0"/>
    <xf numFmtId="0" fontId="18" fillId="9" borderId="9" applyNumberFormat="0" applyAlignment="0" applyProtection="0"/>
    <xf numFmtId="0" fontId="27" fillId="0" borderId="27" applyNumberFormat="0" applyFill="0" applyAlignment="0" applyProtection="0"/>
    <xf numFmtId="0" fontId="27" fillId="0" borderId="27"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49" fontId="32" fillId="0" borderId="24" applyNumberFormat="0" applyFont="0" applyFill="0" applyBorder="0" applyProtection="0">
      <alignment horizontal="left" vertical="center" indent="2"/>
    </xf>
    <xf numFmtId="0" fontId="18" fillId="9" borderId="9"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7" fillId="0" borderId="27" applyNumberFormat="0" applyFill="0" applyAlignment="0" applyProtection="0"/>
    <xf numFmtId="0" fontId="21" fillId="0" borderId="22" applyNumberFormat="0" applyFill="0" applyAlignment="0" applyProtection="0"/>
    <xf numFmtId="49" fontId="33" fillId="0" borderId="24" applyNumberFormat="0" applyFill="0" applyBorder="0" applyProtection="0">
      <alignment horizontal="left" vertical="center"/>
    </xf>
    <xf numFmtId="0" fontId="27" fillId="0" borderId="27" applyNumberFormat="0" applyFill="0" applyAlignment="0" applyProtection="0"/>
    <xf numFmtId="0" fontId="8" fillId="7" borderId="20" applyNumberFormat="0" applyFont="0" applyAlignment="0" applyProtection="0"/>
    <xf numFmtId="0" fontId="27" fillId="0" borderId="27" applyNumberFormat="0" applyFill="0" applyAlignment="0" applyProtection="0"/>
    <xf numFmtId="0" fontId="20" fillId="25" borderId="21" applyNumberFormat="0" applyAlignment="0" applyProtection="0"/>
    <xf numFmtId="0" fontId="20" fillId="26" borderId="21" applyNumberFormat="0" applyAlignment="0" applyProtection="0"/>
    <xf numFmtId="0" fontId="27" fillId="0" borderId="27" applyNumberFormat="0" applyFill="0" applyAlignment="0" applyProtection="0"/>
    <xf numFmtId="0" fontId="8" fillId="7" borderId="20" applyNumberFormat="0" applyFont="0" applyAlignment="0" applyProtection="0"/>
    <xf numFmtId="0" fontId="18" fillId="9" borderId="9" applyNumberFormat="0" applyAlignment="0" applyProtection="0"/>
    <xf numFmtId="49" fontId="32" fillId="0" borderId="25" applyNumberFormat="0" applyFont="0" applyFill="0" applyBorder="0" applyProtection="0">
      <alignment horizontal="left" vertical="center" indent="5"/>
    </xf>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7" fillId="0" borderId="27" applyNumberFormat="0" applyFill="0" applyAlignment="0" applyProtection="0"/>
    <xf numFmtId="0" fontId="20" fillId="25" borderId="21" applyNumberFormat="0" applyAlignment="0" applyProtection="0"/>
    <xf numFmtId="0" fontId="27" fillId="0" borderId="27"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32" fillId="0" borderId="24"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1" fillId="0" borderId="23" applyNumberFormat="0" applyFill="0" applyAlignment="0" applyProtection="0"/>
    <xf numFmtId="4" fontId="32" fillId="0" borderId="24" applyFill="0" applyBorder="0" applyProtection="0">
      <alignment horizontal="right" vertical="center"/>
    </xf>
    <xf numFmtId="0" fontId="21" fillId="0" borderId="22" applyNumberFormat="0" applyFill="0" applyAlignment="0" applyProtection="0"/>
    <xf numFmtId="0" fontId="18" fillId="12" borderId="9"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5"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37" fillId="0" borderId="26" applyNumberFormat="0" applyFill="0" applyAlignment="0" applyProtection="0"/>
    <xf numFmtId="49" fontId="32" fillId="0" borderId="8" applyNumberFormat="0" applyFont="0" applyFill="0" applyBorder="0" applyProtection="0">
      <alignment horizontal="left" vertical="center" indent="5"/>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7" fillId="0" borderId="15"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15"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165" fontId="32" fillId="29" borderId="3" applyNumberFormat="0" applyFont="0" applyBorder="0" applyAlignment="0" applyProtection="0">
      <alignment horizontal="right" vertical="center"/>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15"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18" fillId="9" borderId="9" applyNumberFormat="0" applyAlignment="0" applyProtection="0"/>
    <xf numFmtId="0" fontId="20" fillId="26" borderId="21" applyNumberFormat="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49" fontId="32" fillId="0" borderId="3" applyNumberFormat="0" applyFont="0" applyFill="0" applyBorder="0" applyProtection="0">
      <alignment horizontal="left" vertical="center" indent="2"/>
    </xf>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18" fillId="9"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32" fillId="0" borderId="3" applyNumberFormat="0" applyFill="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7" fillId="0" borderId="16" applyNumberFormat="0" applyFill="0" applyAlignment="0" applyProtection="0"/>
    <xf numFmtId="0" fontId="39" fillId="25" borderId="9" applyNumberForma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21" fillId="0" borderId="22" applyNumberFormat="0" applyFill="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24" fillId="26" borderId="9" applyNumberFormat="0" applyAlignment="0" applyProtection="0"/>
    <xf numFmtId="0" fontId="27" fillId="0" borderId="16" applyNumberFormat="0" applyFill="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20" fillId="26" borderId="21" applyNumberFormat="0" applyAlignment="0" applyProtection="0"/>
    <xf numFmtId="0" fontId="8" fillId="7" borderId="20" applyNumberFormat="0" applyFont="0" applyAlignment="0" applyProtection="0"/>
    <xf numFmtId="4" fontId="32" fillId="0" borderId="3" applyFill="0" applyBorder="0" applyProtection="0">
      <alignment horizontal="right" vertical="center"/>
    </xf>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165" fontId="32" fillId="29" borderId="3" applyNumberFormat="0" applyFont="0" applyBorder="0" applyAlignment="0" applyProtection="0">
      <alignment horizontal="right" vertical="center"/>
    </xf>
    <xf numFmtId="0" fontId="32" fillId="0" borderId="3" applyNumberFormat="0" applyFill="0" applyAlignment="0" applyProtection="0"/>
    <xf numFmtId="4" fontId="32" fillId="0" borderId="3" applyFill="0" applyBorder="0" applyProtection="0">
      <alignment horizontal="right" vertical="center"/>
    </xf>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4" fontId="32" fillId="0" borderId="3" applyFill="0" applyBorder="0" applyProtection="0">
      <alignment horizontal="right" vertical="center"/>
    </xf>
    <xf numFmtId="0" fontId="21" fillId="0" borderId="22" applyNumberFormat="0" applyFill="0" applyAlignment="0" applyProtection="0"/>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49" fontId="33" fillId="0" borderId="3" applyNumberFormat="0" applyFill="0" applyBorder="0" applyProtection="0">
      <alignment horizontal="left" vertical="center"/>
    </xf>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49" fontId="32" fillId="0" borderId="8" applyNumberFormat="0" applyFont="0" applyFill="0" applyBorder="0" applyProtection="0">
      <alignment horizontal="left" vertical="center" indent="5"/>
    </xf>
    <xf numFmtId="0" fontId="18" fillId="9"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39" fillId="25"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0" fillId="25"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32" fillId="0" borderId="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0" fillId="25"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18" fillId="12" borderId="9" applyNumberFormat="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18" fillId="9" borderId="9" applyNumberFormat="0" applyAlignment="0" applyProtection="0"/>
    <xf numFmtId="4" fontId="32" fillId="0" borderId="3" applyFill="0" applyBorder="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32" fillId="0" borderId="3" applyNumberFormat="0" applyFill="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4" fontId="32" fillId="0" borderId="3" applyFill="0" applyBorder="0" applyProtection="0">
      <alignment horizontal="right" vertical="center"/>
    </xf>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0" fillId="25" borderId="21"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7" fillId="0" borderId="16" applyNumberFormat="0" applyFill="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49" fontId="32" fillId="0" borderId="8" applyNumberFormat="0" applyFont="0" applyFill="0" applyBorder="0" applyProtection="0">
      <alignment horizontal="left" vertical="center" indent="5"/>
    </xf>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39" fillId="25"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1" fillId="0" borderId="23" applyNumberFormat="0" applyFill="0" applyAlignment="0" applyProtection="0"/>
    <xf numFmtId="0" fontId="18" fillId="12"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1" fillId="0" borderId="22" applyNumberFormat="0" applyFill="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37" fillId="0" borderId="15"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5" borderId="21" applyNumberFormat="0" applyAlignment="0" applyProtection="0"/>
    <xf numFmtId="0" fontId="18" fillId="9" borderId="9" applyNumberFormat="0" applyAlignment="0" applyProtection="0"/>
    <xf numFmtId="0" fontId="20" fillId="25"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5" borderId="21"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3" fillId="0" borderId="3" applyNumberFormat="0" applyFill="0" applyBorder="0" applyProtection="0">
      <alignment horizontal="left" vertical="center"/>
    </xf>
    <xf numFmtId="49" fontId="32" fillId="0" borderId="3"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2" applyNumberFormat="0" applyFill="0" applyAlignment="0" applyProtection="0"/>
    <xf numFmtId="49" fontId="33" fillId="0" borderId="3" applyNumberFormat="0" applyFill="0" applyBorder="0" applyProtection="0">
      <alignment horizontal="left" vertical="center"/>
    </xf>
    <xf numFmtId="0" fontId="27" fillId="0" borderId="16"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8" fillId="7" borderId="20" applyNumberFormat="0" applyFont="0" applyAlignment="0" applyProtection="0"/>
    <xf numFmtId="0" fontId="18" fillId="9" borderId="9" applyNumberFormat="0" applyAlignment="0" applyProtection="0"/>
    <xf numFmtId="49" fontId="32" fillId="0" borderId="8" applyNumberFormat="0" applyFont="0" applyFill="0" applyBorder="0" applyProtection="0">
      <alignment horizontal="left" vertical="center" indent="5"/>
    </xf>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32" fillId="0" borderId="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1" fillId="0" borderId="23" applyNumberFormat="0" applyFill="0" applyAlignment="0" applyProtection="0"/>
    <xf numFmtId="4" fontId="32" fillId="0" borderId="3" applyFill="0" applyBorder="0" applyProtection="0">
      <alignment horizontal="right" vertical="center"/>
    </xf>
    <xf numFmtId="0" fontId="21" fillId="0" borderId="22" applyNumberFormat="0" applyFill="0" applyAlignment="0" applyProtection="0"/>
    <xf numFmtId="0" fontId="18" fillId="12" borderId="9" applyNumberFormat="0" applyAlignment="0" applyProtection="0"/>
    <xf numFmtId="49" fontId="32" fillId="0" borderId="8" applyNumberFormat="0" applyFont="0" applyFill="0" applyBorder="0" applyProtection="0">
      <alignment horizontal="left" vertical="center" indent="5"/>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8" applyNumberFormat="0" applyFont="0" applyFill="0" applyBorder="0" applyProtection="0">
      <alignment horizontal="left" vertical="center" indent="5"/>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25"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20" fillId="25"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0" fillId="25" borderId="21" applyNumberFormat="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49" fontId="32" fillId="0" borderId="8" applyNumberFormat="0" applyFont="0" applyFill="0" applyBorder="0" applyProtection="0">
      <alignment horizontal="left" vertical="center" indent="5"/>
    </xf>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2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7" fillId="0" borderId="2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2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3" applyNumberFormat="0" applyFont="0" applyFill="0" applyBorder="0" applyProtection="0">
      <alignment horizontal="left" vertical="center" indent="2"/>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165" fontId="32" fillId="29" borderId="3" applyNumberFormat="0" applyFont="0" applyBorder="0" applyAlignment="0" applyProtection="0">
      <alignment horizontal="right" vertical="center"/>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26"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18" fillId="9" borderId="9" applyNumberFormat="0" applyAlignment="0" applyProtection="0"/>
    <xf numFmtId="0" fontId="20" fillId="26" borderId="21" applyNumberFormat="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49" fontId="32" fillId="0" borderId="3" applyNumberFormat="0" applyFont="0" applyFill="0" applyBorder="0" applyProtection="0">
      <alignment horizontal="left" vertical="center" indent="2"/>
    </xf>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18" fillId="9"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32" fillId="0" borderId="3" applyNumberFormat="0" applyFill="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7" fillId="0" borderId="16" applyNumberFormat="0" applyFill="0" applyAlignment="0" applyProtection="0"/>
    <xf numFmtId="0" fontId="39" fillId="25" borderId="9" applyNumberForma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21" fillId="0" borderId="22" applyNumberFormat="0" applyFill="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7" fillId="0" borderId="16" applyNumberFormat="0" applyFill="0" applyAlignment="0" applyProtection="0"/>
    <xf numFmtId="49" fontId="32" fillId="0" borderId="8" applyNumberFormat="0" applyFont="0" applyFill="0" applyBorder="0" applyProtection="0">
      <alignment horizontal="left" vertical="center" indent="5"/>
    </xf>
    <xf numFmtId="0" fontId="27" fillId="0" borderId="16"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24" fillId="26" borderId="9" applyNumberFormat="0" applyAlignment="0" applyProtection="0"/>
    <xf numFmtId="0" fontId="27" fillId="0" borderId="16" applyNumberFormat="0" applyFill="0" applyAlignment="0" applyProtection="0"/>
    <xf numFmtId="0" fontId="24" fillId="26" borderId="9" applyNumberFormat="0" applyAlignment="0" applyProtection="0"/>
    <xf numFmtId="0" fontId="27" fillId="0" borderId="16"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20" fillId="26" borderId="21" applyNumberFormat="0" applyAlignment="0" applyProtection="0"/>
    <xf numFmtId="0" fontId="8" fillId="7" borderId="20" applyNumberFormat="0" applyFont="0" applyAlignment="0" applyProtection="0"/>
    <xf numFmtId="4" fontId="32" fillId="0" borderId="3" applyFill="0" applyBorder="0" applyProtection="0">
      <alignment horizontal="right" vertical="center"/>
    </xf>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165" fontId="32" fillId="29" borderId="3" applyNumberFormat="0" applyFont="0" applyBorder="0" applyAlignment="0" applyProtection="0">
      <alignment horizontal="right" vertical="center"/>
    </xf>
    <xf numFmtId="0" fontId="32" fillId="0" borderId="3" applyNumberFormat="0" applyFill="0" applyAlignment="0" applyProtection="0"/>
    <xf numFmtId="4" fontId="32" fillId="0" borderId="3" applyFill="0" applyBorder="0" applyProtection="0">
      <alignment horizontal="right" vertical="center"/>
    </xf>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4" fontId="32" fillId="0" borderId="3" applyFill="0" applyBorder="0" applyProtection="0">
      <alignment horizontal="right" vertical="center"/>
    </xf>
    <xf numFmtId="0" fontId="21" fillId="0" borderId="22" applyNumberFormat="0" applyFill="0" applyAlignment="0" applyProtection="0"/>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24" fillId="26" borderId="9" applyNumberFormat="0" applyAlignment="0" applyProtection="0"/>
    <xf numFmtId="49" fontId="33" fillId="0" borderId="3" applyNumberFormat="0" applyFill="0" applyBorder="0" applyProtection="0">
      <alignment horizontal="left" vertical="center"/>
    </xf>
    <xf numFmtId="0" fontId="18" fillId="9" borderId="9"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4" fontId="32" fillId="0" borderId="3" applyFill="0" applyBorder="0" applyProtection="0">
      <alignment horizontal="right" vertical="center"/>
    </xf>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49" fontId="33" fillId="0" borderId="3" applyNumberFormat="0" applyFill="0" applyBorder="0" applyProtection="0">
      <alignment horizontal="left" vertical="center"/>
    </xf>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8" fillId="7" borderId="20" applyNumberFormat="0" applyFont="0" applyAlignment="0" applyProtection="0"/>
    <xf numFmtId="0" fontId="32" fillId="0" borderId="3" applyNumberFormat="0" applyFill="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39" fillId="25"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18" fillId="9" borderId="9"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20" fillId="25"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32" fillId="0" borderId="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12" borderId="9" applyNumberFormat="0" applyAlignment="0" applyProtection="0"/>
    <xf numFmtId="0" fontId="20" fillId="25"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18" fillId="9"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18" fillId="12" borderId="9" applyNumberFormat="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39" fillId="25" borderId="9"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18" fillId="9" borderId="9" applyNumberFormat="0" applyAlignment="0" applyProtection="0"/>
    <xf numFmtId="4" fontId="32" fillId="0" borderId="3" applyFill="0" applyBorder="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32" fillId="0" borderId="3" applyNumberFormat="0" applyFill="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4" fontId="32" fillId="0" borderId="3" applyFill="0" applyBorder="0" applyProtection="0">
      <alignment horizontal="right" vertical="center"/>
    </xf>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0" fillId="25" borderId="21" applyNumberFormat="0" applyAlignment="0" applyProtection="0"/>
    <xf numFmtId="0" fontId="20" fillId="26" borderId="21" applyNumberFormat="0" applyAlignment="0" applyProtection="0"/>
    <xf numFmtId="0" fontId="39" fillId="25"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7" fillId="0" borderId="16" applyNumberFormat="0" applyFill="0" applyAlignment="0" applyProtection="0"/>
    <xf numFmtId="0" fontId="18" fillId="9" borderId="9" applyNumberFormat="0" applyAlignment="0" applyProtection="0"/>
    <xf numFmtId="0" fontId="24" fillId="26" borderId="9" applyNumberFormat="0" applyAlignment="0" applyProtection="0"/>
    <xf numFmtId="4" fontId="32" fillId="0" borderId="3" applyFill="0" applyBorder="0" applyProtection="0">
      <alignment horizontal="right" vertical="center"/>
    </xf>
    <xf numFmtId="0" fontId="20" fillId="26" borderId="21" applyNumberFormat="0" applyAlignment="0" applyProtection="0"/>
    <xf numFmtId="0" fontId="18" fillId="9" borderId="9" applyNumberForma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39" fillId="25"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1" fillId="0" borderId="22"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20" fillId="26" borderId="21" applyNumberFormat="0" applyAlignment="0" applyProtection="0"/>
    <xf numFmtId="0" fontId="39" fillId="25"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8" fillId="7" borderId="20" applyNumberFormat="0" applyFont="0" applyAlignment="0" applyProtection="0"/>
    <xf numFmtId="0" fontId="24" fillId="26" borderId="9" applyNumberFormat="0" applyAlignment="0" applyProtection="0"/>
    <xf numFmtId="0" fontId="27" fillId="0" borderId="16" applyNumberFormat="0" applyFill="0" applyAlignment="0" applyProtection="0"/>
    <xf numFmtId="0" fontId="20" fillId="26" borderId="21" applyNumberFormat="0" applyAlignment="0" applyProtection="0"/>
    <xf numFmtId="0" fontId="18" fillId="9" borderId="9" applyNumberFormat="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18" fillId="12" borderId="9" applyNumberFormat="0" applyAlignment="0" applyProtection="0"/>
    <xf numFmtId="0" fontId="18" fillId="9" borderId="9" applyNumberFormat="0" applyAlignment="0" applyProtection="0"/>
    <xf numFmtId="0" fontId="39" fillId="25"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4" fillId="26" borderId="9" applyNumberFormat="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21" fillId="0" borderId="23" applyNumberFormat="0" applyFill="0" applyAlignment="0" applyProtection="0"/>
    <xf numFmtId="0" fontId="18" fillId="12"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20" fillId="26" borderId="21" applyNumberFormat="0" applyAlignment="0" applyProtection="0"/>
    <xf numFmtId="0" fontId="21" fillId="0" borderId="23" applyNumberFormat="0" applyFill="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18" fillId="9" borderId="9" applyNumberFormat="0" applyAlignment="0" applyProtection="0"/>
    <xf numFmtId="0" fontId="21" fillId="0" borderId="22" applyNumberFormat="0" applyFill="0" applyAlignment="0" applyProtection="0"/>
    <xf numFmtId="0" fontId="24" fillId="26" borderId="9" applyNumberFormat="0" applyAlignment="0" applyProtection="0"/>
    <xf numFmtId="0" fontId="20" fillId="26" borderId="21" applyNumberFormat="0" applyAlignment="0" applyProtection="0"/>
    <xf numFmtId="0" fontId="24" fillId="26"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37" fillId="0" borderId="26" applyNumberFormat="0" applyFill="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4" fillId="26"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9" borderId="9" applyNumberFormat="0" applyAlignment="0" applyProtection="0"/>
    <xf numFmtId="0" fontId="20" fillId="25"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18" fillId="12" borderId="9" applyNumberFormat="0" applyAlignment="0" applyProtection="0"/>
    <xf numFmtId="0" fontId="24" fillId="26" borderId="9" applyNumberFormat="0" applyAlignment="0" applyProtection="0"/>
    <xf numFmtId="0" fontId="18" fillId="9" borderId="9"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4" fillId="26" borderId="9" applyNumberFormat="0" applyAlignment="0" applyProtection="0"/>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4" fillId="26" borderId="9" applyNumberFormat="0" applyAlignment="0" applyProtection="0"/>
    <xf numFmtId="0" fontId="21" fillId="0" borderId="23" applyNumberFormat="0" applyFill="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12" borderId="9" applyNumberFormat="0" applyAlignment="0" applyProtection="0"/>
    <xf numFmtId="0" fontId="24" fillId="26" borderId="9" applyNumberFormat="0" applyAlignment="0" applyProtection="0"/>
    <xf numFmtId="0" fontId="20" fillId="25" borderId="21" applyNumberFormat="0" applyAlignment="0" applyProtection="0"/>
    <xf numFmtId="0" fontId="18" fillId="9" borderId="9" applyNumberFormat="0" applyAlignment="0" applyProtection="0"/>
    <xf numFmtId="0" fontId="20" fillId="25" borderId="21" applyNumberFormat="0" applyAlignment="0" applyProtection="0"/>
    <xf numFmtId="0" fontId="20" fillId="26" borderId="21"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18" fillId="9" borderId="9"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1" fillId="0" borderId="23" applyNumberFormat="0" applyFill="0" applyAlignment="0" applyProtection="0"/>
    <xf numFmtId="0" fontId="18" fillId="9" borderId="9" applyNumberFormat="0" applyAlignment="0" applyProtection="0"/>
    <xf numFmtId="0" fontId="20" fillId="25" borderId="21" applyNumberFormat="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4" fillId="26" borderId="9" applyNumberFormat="0" applyAlignment="0" applyProtection="0"/>
    <xf numFmtId="0" fontId="20" fillId="26" borderId="21" applyNumberFormat="0" applyAlignment="0" applyProtection="0"/>
    <xf numFmtId="0" fontId="18" fillId="9" borderId="9" applyNumberFormat="0" applyAlignment="0" applyProtection="0"/>
    <xf numFmtId="0" fontId="20" fillId="26" borderId="21" applyNumberForma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18" fillId="9" borderId="9" applyNumberFormat="0" applyAlignment="0" applyProtection="0"/>
    <xf numFmtId="0" fontId="21" fillId="0" borderId="23" applyNumberFormat="0" applyFill="0" applyAlignment="0" applyProtection="0"/>
    <xf numFmtId="49" fontId="33" fillId="0" borderId="3" applyNumberFormat="0" applyFill="0" applyBorder="0" applyProtection="0">
      <alignment horizontal="left" vertical="center"/>
    </xf>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0" fillId="26" borderId="21" applyNumberFormat="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8" fillId="7" borderId="20" applyNumberFormat="0" applyFont="0" applyAlignment="0" applyProtection="0"/>
    <xf numFmtId="0" fontId="18" fillId="9" borderId="9"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24" fillId="26" borderId="9" applyNumberFormat="0" applyAlignment="0" applyProtection="0"/>
    <xf numFmtId="0" fontId="8" fillId="7" borderId="20" applyNumberFormat="0" applyFont="0" applyAlignment="0" applyProtection="0"/>
    <xf numFmtId="0" fontId="18" fillId="12" borderId="9" applyNumberFormat="0" applyAlignment="0" applyProtection="0"/>
    <xf numFmtId="0" fontId="8" fillId="7" borderId="20" applyNumberFormat="0" applyFont="0" applyAlignment="0" applyProtection="0"/>
    <xf numFmtId="0" fontId="24" fillId="26" borderId="9" applyNumberFormat="0" applyAlignment="0" applyProtection="0"/>
    <xf numFmtId="0" fontId="21" fillId="0" borderId="23" applyNumberFormat="0" applyFill="0" applyAlignment="0" applyProtection="0"/>
    <xf numFmtId="0" fontId="32" fillId="0" borderId="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8" applyNumberFormat="0" applyFont="0" applyFill="0" applyBorder="0" applyProtection="0">
      <alignment horizontal="left" vertical="center" indent="5"/>
    </xf>
    <xf numFmtId="49" fontId="32" fillId="0" borderId="3" applyNumberFormat="0" applyFont="0" applyFill="0" applyBorder="0" applyProtection="0">
      <alignment horizontal="left" vertical="center" indent="2"/>
    </xf>
    <xf numFmtId="49" fontId="32" fillId="0" borderId="8" applyNumberFormat="0" applyFont="0" applyFill="0" applyBorder="0" applyProtection="0">
      <alignment horizontal="left" vertical="center" indent="5"/>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3" fillId="0" borderId="3" applyNumberFormat="0" applyFill="0" applyBorder="0" applyProtection="0">
      <alignment horizontal="left" vertical="center"/>
    </xf>
    <xf numFmtId="49" fontId="32" fillId="0" borderId="3" applyNumberFormat="0" applyFont="0" applyFill="0" applyBorder="0" applyProtection="0">
      <alignment horizontal="left" vertical="center" indent="2"/>
    </xf>
    <xf numFmtId="0" fontId="21" fillId="0" borderId="23" applyNumberFormat="0" applyFill="0" applyAlignment="0" applyProtection="0"/>
    <xf numFmtId="0" fontId="18" fillId="9" borderId="9" applyNumberFormat="0" applyAlignment="0" applyProtection="0"/>
    <xf numFmtId="0" fontId="27" fillId="0" borderId="16" applyNumberFormat="0" applyFill="0" applyAlignment="0" applyProtection="0"/>
    <xf numFmtId="0" fontId="18" fillId="9" borderId="9"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49" fontId="32" fillId="0" borderId="3" applyNumberFormat="0" applyFont="0" applyFill="0" applyBorder="0" applyProtection="0">
      <alignment horizontal="left" vertical="center" indent="2"/>
    </xf>
    <xf numFmtId="0" fontId="18" fillId="9" borderId="9"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4" fillId="26" borderId="9"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2" applyNumberFormat="0" applyFill="0" applyAlignment="0" applyProtection="0"/>
    <xf numFmtId="49" fontId="33" fillId="0" borderId="3" applyNumberFormat="0" applyFill="0" applyBorder="0" applyProtection="0">
      <alignment horizontal="left" vertical="center"/>
    </xf>
    <xf numFmtId="0" fontId="27" fillId="0" borderId="16"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18" fillId="9"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32" fillId="0" borderId="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18" fillId="9" borderId="9" applyNumberFormat="0" applyAlignment="0" applyProtection="0"/>
    <xf numFmtId="0" fontId="18" fillId="9" borderId="9" applyNumberFormat="0" applyAlignment="0" applyProtection="0"/>
    <xf numFmtId="0" fontId="21" fillId="0" borderId="23" applyNumberFormat="0" applyFill="0" applyAlignment="0" applyProtection="0"/>
    <xf numFmtId="0" fontId="18" fillId="12" borderId="9" applyNumberFormat="0" applyAlignment="0" applyProtection="0"/>
    <xf numFmtId="0" fontId="21" fillId="0" borderId="23" applyNumberFormat="0" applyFill="0" applyAlignment="0" applyProtection="0"/>
    <xf numFmtId="4" fontId="32" fillId="0" borderId="3" applyFill="0" applyBorder="0" applyProtection="0">
      <alignment horizontal="right" vertical="center"/>
    </xf>
    <xf numFmtId="0" fontId="21" fillId="0" borderId="22" applyNumberFormat="0" applyFill="0" applyAlignment="0" applyProtection="0"/>
    <xf numFmtId="0" fontId="18" fillId="12"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3" applyNumberFormat="0" applyFont="0" applyFill="0" applyBorder="0" applyProtection="0">
      <alignment horizontal="left" vertical="center" indent="2"/>
    </xf>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49" fontId="32" fillId="0" borderId="3" applyNumberFormat="0" applyFont="0" applyFill="0" applyBorder="0" applyProtection="0">
      <alignment horizontal="left" vertical="center" indent="2"/>
    </xf>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4" fontId="32" fillId="0" borderId="3" applyFill="0" applyBorder="0" applyProtection="0">
      <alignment horizontal="right" vertical="center"/>
    </xf>
    <xf numFmtId="49" fontId="33" fillId="0" borderId="3" applyNumberFormat="0" applyFill="0" applyBorder="0" applyProtection="0">
      <alignment horizontal="left" vertical="center"/>
    </xf>
    <xf numFmtId="0" fontId="32" fillId="0" borderId="3" applyNumberFormat="0" applyFill="0" applyAlignment="0" applyProtection="0"/>
    <xf numFmtId="165" fontId="32" fillId="29" borderId="3" applyNumberFormat="0" applyFont="0" applyBorder="0" applyAlignment="0" applyProtection="0">
      <alignment horizontal="right" vertical="center"/>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7" fillId="0" borderId="2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8" fillId="7" borderId="20" applyNumberFormat="0" applyFon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39" fillId="25"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4" fillId="26" borderId="9" applyNumberFormat="0" applyAlignment="0" applyProtection="0"/>
    <xf numFmtId="0" fontId="27" fillId="0" borderId="16" applyNumberFormat="0" applyFill="0" applyAlignment="0" applyProtection="0"/>
    <xf numFmtId="0" fontId="37" fillId="0" borderId="2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9" borderId="9" applyNumberFormat="0" applyAlignment="0" applyProtection="0"/>
    <xf numFmtId="0" fontId="18" fillId="12"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18" fillId="9" borderId="9" applyNumberFormat="0" applyAlignment="0" applyProtection="0"/>
    <xf numFmtId="0" fontId="24" fillId="26" borderId="9"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37" fillId="0" borderId="26"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6" borderId="21" applyNumberFormat="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5"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0" fillId="25"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7" fillId="0" borderId="16" applyNumberFormat="0" applyFill="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7" fillId="0" borderId="16"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0" fillId="26"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37" fillId="0" borderId="26"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0" fillId="25" borderId="21" applyNumberFormat="0" applyAlignment="0" applyProtection="0"/>
    <xf numFmtId="0" fontId="20" fillId="25"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3"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7" fillId="0" borderId="16"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7" fillId="0" borderId="16" applyNumberFormat="0" applyFill="0" applyAlignment="0" applyProtection="0"/>
    <xf numFmtId="0" fontId="21" fillId="0" borderId="22" applyNumberFormat="0" applyFill="0" applyAlignment="0" applyProtection="0"/>
    <xf numFmtId="0" fontId="27" fillId="0" borderId="16"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20" fillId="26" borderId="21" applyNumberFormat="0" applyAlignment="0" applyProtection="0"/>
    <xf numFmtId="0" fontId="20" fillId="26"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20" fillId="26" borderId="21" applyNumberFormat="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27" fillId="0" borderId="16" applyNumberFormat="0" applyFill="0" applyAlignment="0" applyProtection="0"/>
    <xf numFmtId="0" fontId="20" fillId="25" borderId="21" applyNumberFormat="0" applyAlignment="0" applyProtection="0"/>
    <xf numFmtId="0" fontId="27" fillId="0" borderId="16"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6" borderId="21" applyNumberFormat="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0" fillId="25" borderId="21"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20" fillId="25" borderId="21" applyNumberFormat="0" applyAlignment="0" applyProtection="0"/>
    <xf numFmtId="0" fontId="21" fillId="0" borderId="22"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0" fillId="26" borderId="21" applyNumberFormat="0" applyAlignment="0" applyProtection="0"/>
    <xf numFmtId="0" fontId="21" fillId="0" borderId="23" applyNumberFormat="0" applyFill="0" applyAlignment="0" applyProtection="0"/>
    <xf numFmtId="0" fontId="8" fillId="7" borderId="20" applyNumberFormat="0" applyFont="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49" fontId="32" fillId="0" borderId="8" applyNumberFormat="0" applyFont="0" applyFill="0" applyBorder="0" applyProtection="0">
      <alignment horizontal="left" vertical="center" indent="5"/>
    </xf>
    <xf numFmtId="49" fontId="32" fillId="0" borderId="8" applyNumberFormat="0" applyFont="0" applyFill="0" applyBorder="0" applyProtection="0">
      <alignment horizontal="left" vertical="center" indent="5"/>
    </xf>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49" fontId="32" fillId="0" borderId="8" applyNumberFormat="0" applyFont="0" applyFill="0" applyBorder="0" applyProtection="0">
      <alignment horizontal="left" vertical="center" indent="5"/>
    </xf>
    <xf numFmtId="49" fontId="32" fillId="0" borderId="8" applyNumberFormat="0" applyFont="0" applyFill="0" applyBorder="0" applyProtection="0">
      <alignment horizontal="left" vertical="center" indent="5"/>
    </xf>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8" fillId="7" borderId="20" applyNumberFormat="0" applyFont="0" applyAlignment="0" applyProtection="0"/>
    <xf numFmtId="0" fontId="20" fillId="25"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6" borderId="21" applyNumberFormat="0" applyAlignment="0" applyProtection="0"/>
    <xf numFmtId="0" fontId="20" fillId="25" borderId="21" applyNumberFormat="0" applyAlignment="0" applyProtection="0"/>
    <xf numFmtId="0" fontId="21" fillId="0" borderId="22"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3" applyNumberFormat="0" applyFill="0" applyAlignment="0" applyProtection="0"/>
    <xf numFmtId="0" fontId="21" fillId="0" borderId="22"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9" fontId="32" fillId="0" borderId="31" applyNumberFormat="0" applyFont="0" applyFill="0" applyBorder="0" applyProtection="0">
      <alignment horizontal="left" vertical="center" indent="5"/>
    </xf>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24" fillId="26" borderId="32" applyNumberFormat="0" applyAlignment="0" applyProtection="0"/>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9" fontId="32" fillId="0" borderId="31" applyNumberFormat="0" applyFont="0" applyFill="0" applyBorder="0" applyProtection="0">
      <alignment horizontal="left" vertical="center" indent="5"/>
    </xf>
    <xf numFmtId="44" fontId="5" fillId="0" borderId="0" applyFont="0" applyFill="0" applyBorder="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39" fillId="25"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49" fontId="32" fillId="0" borderId="25" applyNumberFormat="0" applyFont="0" applyFill="0" applyBorder="0" applyProtection="0">
      <alignment horizontal="left" vertical="center" indent="5"/>
    </xf>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49" fontId="33" fillId="0" borderId="24" applyNumberFormat="0" applyFill="0" applyBorder="0" applyProtection="0">
      <alignment horizontal="left" vertical="center"/>
    </xf>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4" fontId="32" fillId="0" borderId="24" applyFill="0" applyBorder="0" applyProtection="0">
      <alignment horizontal="right" vertical="center"/>
    </xf>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32" fillId="0" borderId="24"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39" fillId="25"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24" fillId="26" borderId="32" applyNumberFormat="0" applyAlignment="0" applyProtection="0"/>
    <xf numFmtId="0" fontId="39" fillId="25" borderId="32" applyNumberFormat="0" applyAlignment="0" applyProtection="0"/>
    <xf numFmtId="0" fontId="18" fillId="9" borderId="32" applyNumberForma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39" fillId="25"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4" fontId="32" fillId="0" borderId="24" applyFill="0" applyBorder="0" applyProtection="0">
      <alignment horizontal="right" vertical="center"/>
    </xf>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39" fillId="25"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37" fillId="0" borderId="42" applyNumberFormat="0" applyFill="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9" borderId="32" applyNumberFormat="0" applyAlignment="0" applyProtection="0"/>
    <xf numFmtId="49" fontId="33" fillId="0" borderId="24" applyNumberFormat="0" applyFill="0" applyBorder="0" applyProtection="0">
      <alignment horizontal="left" vertical="center"/>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32" fillId="0" borderId="24" applyNumberFormat="0" applyFill="0" applyAlignment="0" applyProtection="0"/>
    <xf numFmtId="0" fontId="18" fillId="9" borderId="32" applyNumberForma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18" fillId="9"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37" fillId="0" borderId="42" applyNumberFormat="0" applyFill="0" applyAlignment="0" applyProtection="0"/>
    <xf numFmtId="49" fontId="32" fillId="0" borderId="25" applyNumberFormat="0" applyFont="0" applyFill="0" applyBorder="0" applyProtection="0">
      <alignment horizontal="left" vertical="center" indent="5"/>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49" fontId="32" fillId="0" borderId="24" applyNumberFormat="0" applyFont="0" applyFill="0" applyBorder="0" applyProtection="0">
      <alignment horizontal="left" vertical="center" indent="2"/>
    </xf>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32" fillId="0" borderId="24"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39" fillId="25"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4" fontId="32" fillId="0" borderId="24" applyFill="0" applyBorder="0" applyProtection="0">
      <alignment horizontal="right" vertical="center"/>
    </xf>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165" fontId="32" fillId="29" borderId="24" applyNumberFormat="0" applyFont="0" applyBorder="0" applyAlignment="0" applyProtection="0">
      <alignment horizontal="right" vertical="center"/>
    </xf>
    <xf numFmtId="0" fontId="32" fillId="0" borderId="24" applyNumberFormat="0" applyFill="0" applyAlignment="0" applyProtection="0"/>
    <xf numFmtId="4" fontId="32" fillId="0" borderId="24" applyFill="0" applyBorder="0" applyProtection="0">
      <alignment horizontal="right" vertical="center"/>
    </xf>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3" fillId="0" borderId="24" applyNumberFormat="0" applyFill="0" applyBorder="0" applyProtection="0">
      <alignment horizontal="left" vertical="center"/>
    </xf>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49" fontId="33" fillId="0" borderId="24" applyNumberFormat="0" applyFill="0" applyBorder="0" applyProtection="0">
      <alignment horizontal="lef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49" fontId="33" fillId="0" borderId="24" applyNumberFormat="0" applyFill="0" applyBorder="0" applyProtection="0">
      <alignment horizontal="left" vertical="center"/>
    </xf>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2" fillId="0" borderId="24"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39" fillId="25"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24" fillId="26" borderId="32" applyNumberFormat="0" applyAlignment="0" applyProtection="0"/>
    <xf numFmtId="0" fontId="39" fillId="25" borderId="32" applyNumberFormat="0" applyAlignment="0" applyProtection="0"/>
    <xf numFmtId="0" fontId="18" fillId="9" borderId="32" applyNumberForma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4" fontId="32" fillId="0" borderId="24" applyFill="0" applyBorder="0" applyProtection="0">
      <alignment horizontal="right" vertical="center"/>
    </xf>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8" fillId="7" borderId="33" applyNumberFormat="0" applyFont="0" applyAlignment="0" applyProtection="0"/>
    <xf numFmtId="0" fontId="32" fillId="0" borderId="24" applyNumberFormat="0" applyFill="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4" fontId="32" fillId="0" borderId="24" applyFill="0" applyBorder="0" applyProtection="0">
      <alignment horizontal="right" vertical="center"/>
    </xf>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39" fillId="25"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39" fillId="25"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37" fillId="0" borderId="42" applyNumberFormat="0" applyFill="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3" fillId="0" borderId="24" applyNumberFormat="0" applyFill="0" applyBorder="0" applyProtection="0">
      <alignment horizontal="left" vertical="center"/>
    </xf>
    <xf numFmtId="49" fontId="32" fillId="0" borderId="24" applyNumberFormat="0" applyFont="0" applyFill="0" applyBorder="0" applyProtection="0">
      <alignment horizontal="left" vertical="center" indent="2"/>
    </xf>
    <xf numFmtId="0" fontId="18" fillId="9"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18" fillId="9"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7" fillId="0" borderId="43" applyNumberFormat="0" applyFill="0" applyAlignment="0" applyProtection="0"/>
    <xf numFmtId="49" fontId="33" fillId="0" borderId="24" applyNumberFormat="0" applyFill="0" applyBorder="0" applyProtection="0">
      <alignment horizontal="left" vertical="center"/>
    </xf>
    <xf numFmtId="0" fontId="27" fillId="0" borderId="43"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49" fontId="32" fillId="0" borderId="25" applyNumberFormat="0" applyFont="0" applyFill="0" applyBorder="0" applyProtection="0">
      <alignment horizontal="left" vertical="center" indent="5"/>
    </xf>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32" fillId="0" borderId="24"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0" fontId="18" fillId="12" borderId="32"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20" fillId="25"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4" applyNumberFormat="0" applyFont="0" applyFill="0" applyBorder="0" applyProtection="0">
      <alignment horizontal="left" vertical="center" indent="2"/>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165" fontId="32" fillId="29" borderId="24" applyNumberFormat="0" applyFont="0" applyBorder="0" applyAlignment="0" applyProtection="0">
      <alignment horizontal="right" vertical="center"/>
    </xf>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1" fillId="0" borderId="30" applyNumberFormat="0" applyFill="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1" fillId="0" borderId="30"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0" fillId="26" borderId="28"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18" fillId="9" borderId="32" applyNumberFormat="0" applyAlignment="0" applyProtection="0"/>
    <xf numFmtId="0" fontId="20" fillId="26" borderId="28" applyNumberFormat="0" applyAlignment="0" applyProtection="0"/>
    <xf numFmtId="0" fontId="20" fillId="25"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49" fontId="32" fillId="0" borderId="24" applyNumberFormat="0" applyFont="0" applyFill="0" applyBorder="0" applyProtection="0">
      <alignment horizontal="left" vertical="center" indent="2"/>
    </xf>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32" fillId="0" borderId="24"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20" fillId="26" borderId="28"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1" fillId="0" borderId="30" applyNumberFormat="0" applyFill="0" applyAlignment="0" applyProtection="0"/>
    <xf numFmtId="0" fontId="27" fillId="0" borderId="43" applyNumberFormat="0" applyFill="0" applyAlignment="0" applyProtection="0"/>
    <xf numFmtId="0" fontId="39" fillId="25"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18" fillId="12" borderId="32" applyNumberFormat="0" applyAlignment="0" applyProtection="0"/>
    <xf numFmtId="0" fontId="18" fillId="9" borderId="32" applyNumberFormat="0" applyAlignment="0" applyProtection="0"/>
    <xf numFmtId="0" fontId="21" fillId="0" borderId="29" applyNumberFormat="0" applyFill="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0" fillId="25"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1" fillId="0" borderId="30" applyNumberFormat="0" applyFill="0" applyAlignment="0" applyProtection="0"/>
    <xf numFmtId="0" fontId="27" fillId="0" borderId="43" applyNumberFormat="0" applyFill="0" applyAlignment="0" applyProtection="0"/>
    <xf numFmtId="49" fontId="32" fillId="0" borderId="25" applyNumberFormat="0" applyFont="0" applyFill="0" applyBorder="0" applyProtection="0">
      <alignment horizontal="left" vertical="center" indent="5"/>
    </xf>
    <xf numFmtId="0" fontId="27" fillId="0" borderId="43" applyNumberFormat="0" applyFill="0" applyAlignment="0" applyProtection="0"/>
    <xf numFmtId="0" fontId="20" fillId="26" borderId="28"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24" fillId="26"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21" fillId="0" borderId="30" applyNumberFormat="0" applyFill="0" applyAlignment="0" applyProtection="0"/>
    <xf numFmtId="165" fontId="32" fillId="29" borderId="24" applyNumberFormat="0" applyFont="0" applyBorder="0" applyAlignment="0" applyProtection="0">
      <alignment horizontal="right" vertical="center"/>
    </xf>
    <xf numFmtId="0" fontId="20" fillId="26" borderId="28" applyNumberFormat="0" applyAlignment="0" applyProtection="0"/>
    <xf numFmtId="0" fontId="8" fillId="7" borderId="33" applyNumberFormat="0" applyFont="0" applyAlignment="0" applyProtection="0"/>
    <xf numFmtId="4" fontId="32" fillId="0" borderId="24" applyFill="0" applyBorder="0" applyProtection="0">
      <alignment horizontal="right" vertical="center"/>
    </xf>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165" fontId="32" fillId="29" borderId="24" applyNumberFormat="0" applyFont="0" applyBorder="0" applyAlignment="0" applyProtection="0">
      <alignment horizontal="right" vertical="center"/>
    </xf>
    <xf numFmtId="0" fontId="32" fillId="0" borderId="24" applyNumberFormat="0" applyFill="0" applyAlignment="0" applyProtection="0"/>
    <xf numFmtId="4" fontId="32" fillId="0" borderId="24" applyFill="0" applyBorder="0" applyProtection="0">
      <alignment horizontal="right" vertical="center"/>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4" fontId="32" fillId="0" borderId="24" applyFill="0" applyBorder="0" applyProtection="0">
      <alignment horizontal="right" vertical="center"/>
    </xf>
    <xf numFmtId="0" fontId="21" fillId="0" borderId="29" applyNumberFormat="0" applyFill="0" applyAlignment="0" applyProtection="0"/>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49" fontId="33" fillId="0" borderId="24" applyNumberFormat="0" applyFill="0" applyBorder="0" applyProtection="0">
      <alignment horizontal="left" vertical="center"/>
    </xf>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21" fillId="0" borderId="29" applyNumberFormat="0" applyFill="0" applyAlignment="0" applyProtection="0"/>
    <xf numFmtId="0" fontId="18" fillId="9"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39" fillId="25" borderId="32" applyNumberFormat="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24" fillId="26" borderId="32" applyNumberFormat="0" applyAlignment="0" applyProtection="0"/>
    <xf numFmtId="49" fontId="33" fillId="0" borderId="24" applyNumberFormat="0" applyFill="0" applyBorder="0" applyProtection="0">
      <alignment horizontal="left" vertical="center"/>
    </xf>
    <xf numFmtId="0" fontId="18" fillId="9" borderId="32" applyNumberFormat="0" applyAlignment="0" applyProtection="0"/>
    <xf numFmtId="0" fontId="20" fillId="26" borderId="28"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49" fontId="33" fillId="0" borderId="24" applyNumberFormat="0" applyFill="0" applyBorder="0" applyProtection="0">
      <alignment horizontal="left" vertical="center"/>
    </xf>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0" fillId="26" borderId="28" applyNumberFormat="0" applyAlignment="0" applyProtection="0"/>
    <xf numFmtId="0" fontId="24" fillId="26"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4" fontId="32" fillId="0" borderId="24" applyFill="0" applyBorder="0" applyProtection="0">
      <alignment horizontal="right" vertical="center"/>
    </xf>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49" fontId="33" fillId="0" borderId="24" applyNumberFormat="0" applyFill="0" applyBorder="0" applyProtection="0">
      <alignment horizontal="left" vertical="center"/>
    </xf>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8" fillId="7" borderId="33" applyNumberFormat="0" applyFont="0" applyAlignment="0" applyProtection="0"/>
    <xf numFmtId="0" fontId="32" fillId="0" borderId="24" applyNumberFormat="0" applyFill="0" applyAlignment="0" applyProtection="0"/>
    <xf numFmtId="0" fontId="18" fillId="9"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4" fillId="26"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0" fontId="20" fillId="26"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39" fillId="25"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4" fillId="26"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0" fillId="25"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18" fillId="9" borderId="32"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20" fillId="25" borderId="28" applyNumberFormat="0" applyAlignment="0" applyProtection="0"/>
    <xf numFmtId="0" fontId="8" fillId="7" borderId="33" applyNumberFormat="0" applyFont="0" applyAlignment="0" applyProtection="0"/>
    <xf numFmtId="0" fontId="18" fillId="9" borderId="32" applyNumberFormat="0" applyAlignment="0" applyProtection="0"/>
    <xf numFmtId="0" fontId="20" fillId="26" borderId="28" applyNumberFormat="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18" fillId="9" borderId="32" applyNumberFormat="0" applyAlignment="0" applyProtection="0"/>
    <xf numFmtId="0" fontId="20" fillId="26" borderId="28" applyNumberFormat="0" applyAlignment="0" applyProtection="0"/>
    <xf numFmtId="0" fontId="20" fillId="26" borderId="28"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32" fillId="0" borderId="24"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12" borderId="32" applyNumberFormat="0" applyAlignment="0" applyProtection="0"/>
    <xf numFmtId="0" fontId="20" fillId="25"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39" fillId="25" borderId="32"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18" fillId="9"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1" fillId="0" borderId="29" applyNumberFormat="0" applyFill="0" applyAlignment="0" applyProtection="0"/>
    <xf numFmtId="0" fontId="18" fillId="12" borderId="32" applyNumberFormat="0" applyAlignment="0" applyProtection="0"/>
    <xf numFmtId="0" fontId="20" fillId="26" borderId="28" applyNumberFormat="0" applyAlignment="0" applyProtection="0"/>
    <xf numFmtId="0" fontId="18" fillId="9" borderId="32" applyNumberFormat="0" applyAlignment="0" applyProtection="0"/>
    <xf numFmtId="0" fontId="24" fillId="26" borderId="32" applyNumberFormat="0" applyAlignment="0" applyProtection="0"/>
    <xf numFmtId="0" fontId="21" fillId="0" borderId="29" applyNumberFormat="0" applyFill="0" applyAlignment="0" applyProtection="0"/>
    <xf numFmtId="0" fontId="39" fillId="25" borderId="32" applyNumberFormat="0" applyAlignment="0" applyProtection="0"/>
    <xf numFmtId="0" fontId="18" fillId="9" borderId="32" applyNumberFormat="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39" fillId="25"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18" fillId="9" borderId="32" applyNumberFormat="0" applyAlignment="0" applyProtection="0"/>
    <xf numFmtId="4" fontId="32" fillId="0" borderId="24" applyFill="0" applyBorder="0" applyProtection="0">
      <alignment horizontal="right" vertical="center"/>
    </xf>
    <xf numFmtId="0" fontId="18" fillId="9" borderId="32" applyNumberFormat="0" applyAlignment="0" applyProtection="0"/>
    <xf numFmtId="0" fontId="24" fillId="26"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4" fillId="26" borderId="32"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32" fillId="0" borderId="24" applyNumberFormat="0" applyFill="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4" fontId="32" fillId="0" borderId="24" applyFill="0" applyBorder="0" applyProtection="0">
      <alignment horizontal="right" vertical="center"/>
    </xf>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4" fillId="26"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18" fillId="12" borderId="32" applyNumberFormat="0" applyAlignment="0" applyProtection="0"/>
    <xf numFmtId="0" fontId="20" fillId="25" borderId="28" applyNumberFormat="0" applyAlignment="0" applyProtection="0"/>
    <xf numFmtId="0" fontId="20" fillId="26" borderId="28" applyNumberFormat="0" applyAlignment="0" applyProtection="0"/>
    <xf numFmtId="0" fontId="39" fillId="25"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7" fillId="0" borderId="43" applyNumberFormat="0" applyFill="0" applyAlignment="0" applyProtection="0"/>
    <xf numFmtId="0" fontId="18" fillId="9" borderId="32" applyNumberFormat="0" applyAlignment="0" applyProtection="0"/>
    <xf numFmtId="0" fontId="24" fillId="26" borderId="32" applyNumberFormat="0" applyAlignment="0" applyProtection="0"/>
    <xf numFmtId="4" fontId="32" fillId="0" borderId="24" applyFill="0" applyBorder="0" applyProtection="0">
      <alignment horizontal="right" vertical="center"/>
    </xf>
    <xf numFmtId="0" fontId="20" fillId="26" borderId="28" applyNumberFormat="0" applyAlignment="0" applyProtection="0"/>
    <xf numFmtId="0" fontId="18" fillId="9" borderId="32" applyNumberFormat="0" applyAlignment="0" applyProtection="0"/>
    <xf numFmtId="0" fontId="18" fillId="9"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39" fillId="25"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24" fillId="26" borderId="32" applyNumberFormat="0" applyAlignment="0" applyProtection="0"/>
    <xf numFmtId="0" fontId="21" fillId="0" borderId="29" applyNumberFormat="0" applyFill="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20" fillId="26" borderId="28" applyNumberFormat="0" applyAlignment="0" applyProtection="0"/>
    <xf numFmtId="0" fontId="39" fillId="25" borderId="32"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24" fillId="26" borderId="32" applyNumberFormat="0" applyAlignment="0" applyProtection="0"/>
    <xf numFmtId="0" fontId="27" fillId="0" borderId="43" applyNumberFormat="0" applyFill="0" applyAlignment="0" applyProtection="0"/>
    <xf numFmtId="0" fontId="20" fillId="26" borderId="28" applyNumberFormat="0" applyAlignment="0" applyProtection="0"/>
    <xf numFmtId="0" fontId="18" fillId="9" borderId="32" applyNumberFormat="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1" fillId="0" borderId="29" applyNumberFormat="0" applyFill="0" applyAlignment="0" applyProtection="0"/>
    <xf numFmtId="0" fontId="24" fillId="26" borderId="32" applyNumberFormat="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18" fillId="12" borderId="32" applyNumberFormat="0" applyAlignment="0" applyProtection="0"/>
    <xf numFmtId="0" fontId="18" fillId="9" borderId="32" applyNumberFormat="0" applyAlignment="0" applyProtection="0"/>
    <xf numFmtId="0" fontId="39" fillId="25"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4" fillId="26" borderId="32" applyNumberFormat="0" applyAlignment="0" applyProtection="0"/>
    <xf numFmtId="0" fontId="20" fillId="26"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18" fillId="9"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21" fillId="0" borderId="30" applyNumberFormat="0" applyFill="0" applyAlignment="0" applyProtection="0"/>
    <xf numFmtId="0" fontId="18" fillId="12" borderId="32" applyNumberFormat="0" applyAlignment="0" applyProtection="0"/>
    <xf numFmtId="0" fontId="20" fillId="26" borderId="28" applyNumberFormat="0" applyAlignment="0" applyProtection="0"/>
    <xf numFmtId="0" fontId="24" fillId="26"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20" fillId="26" borderId="28" applyNumberFormat="0" applyAlignment="0" applyProtection="0"/>
    <xf numFmtId="0" fontId="21" fillId="0" borderId="30" applyNumberFormat="0" applyFill="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18" fillId="9" borderId="32" applyNumberFormat="0" applyAlignment="0" applyProtection="0"/>
    <xf numFmtId="0" fontId="21" fillId="0" borderId="29" applyNumberFormat="0" applyFill="0" applyAlignment="0" applyProtection="0"/>
    <xf numFmtId="0" fontId="24" fillId="26" borderId="32" applyNumberFormat="0" applyAlignment="0" applyProtection="0"/>
    <xf numFmtId="0" fontId="20" fillId="26" borderId="28" applyNumberFormat="0" applyAlignment="0" applyProtection="0"/>
    <xf numFmtId="0" fontId="24" fillId="26" borderId="32"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37" fillId="0" borderId="42" applyNumberFormat="0" applyFill="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18" fillId="9"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4" fillId="26"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9" borderId="32" applyNumberFormat="0" applyAlignment="0" applyProtection="0"/>
    <xf numFmtId="0" fontId="20" fillId="25"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18" fillId="12" borderId="32" applyNumberFormat="0" applyAlignment="0" applyProtection="0"/>
    <xf numFmtId="0" fontId="24" fillId="26" borderId="32" applyNumberFormat="0" applyAlignment="0" applyProtection="0"/>
    <xf numFmtId="0" fontId="18" fillId="9" borderId="32" applyNumberFormat="0" applyAlignment="0" applyProtection="0"/>
    <xf numFmtId="0" fontId="20" fillId="26" borderId="28" applyNumberFormat="0" applyAlignment="0" applyProtection="0"/>
    <xf numFmtId="0" fontId="24" fillId="26" borderId="32" applyNumberFormat="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4" fillId="26" borderId="32" applyNumberFormat="0" applyAlignment="0" applyProtection="0"/>
    <xf numFmtId="0" fontId="21" fillId="0" borderId="30" applyNumberFormat="0" applyFill="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12" borderId="32" applyNumberFormat="0" applyAlignment="0" applyProtection="0"/>
    <xf numFmtId="0" fontId="24" fillId="26" borderId="32" applyNumberFormat="0" applyAlignment="0" applyProtection="0"/>
    <xf numFmtId="0" fontId="20" fillId="25" borderId="28" applyNumberFormat="0" applyAlignment="0" applyProtection="0"/>
    <xf numFmtId="0" fontId="18" fillId="9" borderId="32" applyNumberFormat="0" applyAlignment="0" applyProtection="0"/>
    <xf numFmtId="0" fontId="20" fillId="25" borderId="28" applyNumberFormat="0" applyAlignment="0" applyProtection="0"/>
    <xf numFmtId="0" fontId="20" fillId="26" borderId="28"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18" fillId="9" borderId="32" applyNumberFormat="0" applyAlignment="0" applyProtection="0"/>
    <xf numFmtId="0" fontId="24" fillId="26" borderId="32" applyNumberFormat="0" applyAlignment="0" applyProtection="0"/>
    <xf numFmtId="0" fontId="20" fillId="26" borderId="28" applyNumberFormat="0" applyAlignment="0" applyProtection="0"/>
    <xf numFmtId="0" fontId="18" fillId="9" borderId="32" applyNumberFormat="0" applyAlignment="0" applyProtection="0"/>
    <xf numFmtId="0" fontId="21" fillId="0" borderId="30" applyNumberFormat="0" applyFill="0" applyAlignment="0" applyProtection="0"/>
    <xf numFmtId="0" fontId="18" fillId="9" borderId="32" applyNumberFormat="0" applyAlignment="0" applyProtection="0"/>
    <xf numFmtId="0" fontId="20" fillId="25" borderId="28" applyNumberFormat="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4" fillId="26"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4" fillId="26" borderId="32"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4" fillId="26" borderId="32" applyNumberFormat="0" applyAlignment="0" applyProtection="0"/>
    <xf numFmtId="0" fontId="20" fillId="26" borderId="28" applyNumberFormat="0" applyAlignment="0" applyProtection="0"/>
    <xf numFmtId="0" fontId="18" fillId="9" borderId="32" applyNumberFormat="0" applyAlignment="0" applyProtection="0"/>
    <xf numFmtId="0" fontId="20" fillId="26" borderId="28" applyNumberForma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18" fillId="9" borderId="32" applyNumberFormat="0" applyAlignment="0" applyProtection="0"/>
    <xf numFmtId="0" fontId="21" fillId="0" borderId="30" applyNumberFormat="0" applyFill="0" applyAlignment="0" applyProtection="0"/>
    <xf numFmtId="49" fontId="33" fillId="0" borderId="24" applyNumberFormat="0" applyFill="0" applyBorder="0" applyProtection="0">
      <alignment horizontal="left" vertical="center"/>
    </xf>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0" fillId="26" borderId="28" applyNumberFormat="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8" fillId="7" borderId="33" applyNumberFormat="0" applyFont="0" applyAlignment="0" applyProtection="0"/>
    <xf numFmtId="0" fontId="18" fillId="9" borderId="32"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8" fillId="7" borderId="33" applyNumberFormat="0" applyFont="0" applyAlignment="0" applyProtection="0"/>
    <xf numFmtId="0" fontId="18" fillId="12" borderId="32" applyNumberFormat="0" applyAlignment="0" applyProtection="0"/>
    <xf numFmtId="0" fontId="8" fillId="7" borderId="33" applyNumberFormat="0" applyFont="0" applyAlignment="0" applyProtection="0"/>
    <xf numFmtId="0" fontId="24" fillId="26" borderId="32" applyNumberFormat="0" applyAlignment="0" applyProtection="0"/>
    <xf numFmtId="0" fontId="21" fillId="0" borderId="30" applyNumberFormat="0" applyFill="0" applyAlignment="0" applyProtection="0"/>
    <xf numFmtId="0" fontId="32" fillId="0" borderId="24"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5" applyNumberFormat="0" applyFont="0" applyFill="0" applyBorder="0" applyProtection="0">
      <alignment horizontal="left" vertical="center" indent="5"/>
    </xf>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5" applyNumberFormat="0" applyFont="0" applyFill="0" applyBorder="0" applyProtection="0">
      <alignment horizontal="left" vertical="center" indent="5"/>
    </xf>
    <xf numFmtId="49" fontId="32" fillId="0" borderId="24" applyNumberFormat="0" applyFont="0" applyFill="0" applyBorder="0" applyProtection="0">
      <alignment horizontal="left" vertical="center" indent="2"/>
    </xf>
    <xf numFmtId="49" fontId="32" fillId="0" borderId="25" applyNumberFormat="0" applyFont="0" applyFill="0" applyBorder="0" applyProtection="0">
      <alignment horizontal="left" vertical="center" indent="5"/>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3" fillId="0" borderId="24" applyNumberFormat="0" applyFill="0" applyBorder="0" applyProtection="0">
      <alignment horizontal="left" vertical="center"/>
    </xf>
    <xf numFmtId="49" fontId="32" fillId="0" borderId="24" applyNumberFormat="0" applyFont="0" applyFill="0" applyBorder="0" applyProtection="0">
      <alignment horizontal="left" vertical="center" indent="2"/>
    </xf>
    <xf numFmtId="0" fontId="21" fillId="0" borderId="30"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18" fillId="9" borderId="32"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49" fontId="32" fillId="0" borderId="24" applyNumberFormat="0" applyFont="0" applyFill="0" applyBorder="0" applyProtection="0">
      <alignment horizontal="left" vertical="center" indent="2"/>
    </xf>
    <xf numFmtId="0" fontId="18" fillId="9" borderId="32"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4" fillId="26" borderId="32"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29" applyNumberFormat="0" applyFill="0" applyAlignment="0" applyProtection="0"/>
    <xf numFmtId="49" fontId="33" fillId="0" borderId="24" applyNumberFormat="0" applyFill="0" applyBorder="0" applyProtection="0">
      <alignment horizontal="left" vertical="center"/>
    </xf>
    <xf numFmtId="0" fontId="27" fillId="0" borderId="43"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0" fillId="25"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0" fillId="25"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32" fillId="0" borderId="24"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18" fillId="9" borderId="32" applyNumberFormat="0" applyAlignment="0" applyProtection="0"/>
    <xf numFmtId="0" fontId="18" fillId="9" borderId="32" applyNumberFormat="0" applyAlignment="0" applyProtection="0"/>
    <xf numFmtId="0" fontId="21" fillId="0" borderId="30" applyNumberFormat="0" applyFill="0" applyAlignment="0" applyProtection="0"/>
    <xf numFmtId="0" fontId="18" fillId="12" borderId="32" applyNumberFormat="0" applyAlignment="0" applyProtection="0"/>
    <xf numFmtId="0" fontId="21" fillId="0" borderId="30" applyNumberFormat="0" applyFill="0" applyAlignment="0" applyProtection="0"/>
    <xf numFmtId="4" fontId="32" fillId="0" borderId="24" applyFill="0" applyBorder="0" applyProtection="0">
      <alignment horizontal="right" vertical="center"/>
    </xf>
    <xf numFmtId="0" fontId="21" fillId="0" borderId="29" applyNumberFormat="0" applyFill="0" applyAlignment="0" applyProtection="0"/>
    <xf numFmtId="0" fontId="18" fillId="12"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4" applyNumberFormat="0" applyFont="0" applyFill="0" applyBorder="0" applyProtection="0">
      <alignment horizontal="left" vertical="center" indent="2"/>
    </xf>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49" fontId="32" fillId="0" borderId="24" applyNumberFormat="0" applyFont="0" applyFill="0" applyBorder="0" applyProtection="0">
      <alignment horizontal="left" vertical="center" indent="2"/>
    </xf>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4" fontId="32" fillId="0" borderId="24" applyFill="0" applyBorder="0" applyProtection="0">
      <alignment horizontal="right" vertical="center"/>
    </xf>
    <xf numFmtId="49" fontId="33" fillId="0" borderId="24" applyNumberFormat="0" applyFill="0" applyBorder="0" applyProtection="0">
      <alignment horizontal="left" vertical="center"/>
    </xf>
    <xf numFmtId="0" fontId="32" fillId="0" borderId="24" applyNumberFormat="0" applyFill="0" applyAlignment="0" applyProtection="0"/>
    <xf numFmtId="165" fontId="32" fillId="29" borderId="24" applyNumberFormat="0" applyFont="0" applyBorder="0" applyAlignment="0" applyProtection="0">
      <alignment horizontal="right" vertical="center"/>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8" fillId="7" borderId="33" applyNumberFormat="0" applyFon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39" fillId="25"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4" fillId="26" borderId="32" applyNumberFormat="0" applyAlignment="0" applyProtection="0"/>
    <xf numFmtId="0" fontId="27" fillId="0" borderId="43" applyNumberFormat="0" applyFill="0" applyAlignment="0" applyProtection="0"/>
    <xf numFmtId="0" fontId="37" fillId="0" borderId="42"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9" borderId="32" applyNumberFormat="0" applyAlignment="0" applyProtection="0"/>
    <xf numFmtId="0" fontId="18" fillId="12"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18" fillId="9" borderId="32" applyNumberFormat="0" applyAlignment="0" applyProtection="0"/>
    <xf numFmtId="0" fontId="24" fillId="26" borderId="32"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37" fillId="0" borderId="42"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0" fillId="26" borderId="28" applyNumberFormat="0" applyAlignment="0" applyProtection="0"/>
    <xf numFmtId="0" fontId="20" fillId="25"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5"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1" fillId="0" borderId="29"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0" fillId="25"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7" fillId="0" borderId="43" applyNumberFormat="0" applyFill="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7" fillId="0" borderId="43"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0" fillId="26"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37" fillId="0" borderId="42"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0" fillId="25" borderId="28" applyNumberFormat="0" applyAlignment="0" applyProtection="0"/>
    <xf numFmtId="0" fontId="20" fillId="25"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30"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7" fillId="0" borderId="43"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7" fillId="0" borderId="43" applyNumberFormat="0" applyFill="0" applyAlignment="0" applyProtection="0"/>
    <xf numFmtId="0" fontId="21" fillId="0" borderId="29" applyNumberFormat="0" applyFill="0" applyAlignment="0" applyProtection="0"/>
    <xf numFmtId="0" fontId="27" fillId="0" borderId="43"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0" fillId="25"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20" fillId="26" borderId="28" applyNumberFormat="0" applyAlignment="0" applyProtection="0"/>
    <xf numFmtId="0" fontId="20" fillId="26"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20" fillId="26" borderId="28" applyNumberFormat="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27" fillId="0" borderId="43" applyNumberFormat="0" applyFill="0" applyAlignment="0" applyProtection="0"/>
    <xf numFmtId="0" fontId="20" fillId="25" borderId="28" applyNumberFormat="0" applyAlignment="0" applyProtection="0"/>
    <xf numFmtId="0" fontId="27" fillId="0" borderId="43"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6" borderId="28" applyNumberFormat="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0" fillId="25" borderId="28" applyNumberFormat="0" applyAlignment="0" applyProtection="0"/>
    <xf numFmtId="0" fontId="21" fillId="0" borderId="30" applyNumberFormat="0" applyFill="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20" fillId="25" borderId="28" applyNumberFormat="0" applyAlignment="0" applyProtection="0"/>
    <xf numFmtId="0" fontId="21" fillId="0" borderId="29"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0" fillId="26" borderId="28" applyNumberFormat="0" applyAlignment="0" applyProtection="0"/>
    <xf numFmtId="0" fontId="21" fillId="0" borderId="30" applyNumberFormat="0" applyFill="0" applyAlignment="0" applyProtection="0"/>
    <xf numFmtId="0" fontId="8" fillId="7" borderId="33" applyNumberFormat="0" applyFont="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49" fontId="32" fillId="0" borderId="25" applyNumberFormat="0" applyFont="0" applyFill="0" applyBorder="0" applyProtection="0">
      <alignment horizontal="left" vertical="center" indent="5"/>
    </xf>
    <xf numFmtId="49" fontId="32" fillId="0" borderId="25" applyNumberFormat="0" applyFont="0" applyFill="0" applyBorder="0" applyProtection="0">
      <alignment horizontal="left" vertical="center" indent="5"/>
    </xf>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8" fillId="7" borderId="33" applyNumberFormat="0" applyFont="0" applyAlignment="0" applyProtection="0"/>
    <xf numFmtId="0" fontId="20" fillId="25"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6" borderId="28" applyNumberFormat="0" applyAlignment="0" applyProtection="0"/>
    <xf numFmtId="0" fontId="20" fillId="25" borderId="28" applyNumberFormat="0" applyAlignment="0" applyProtection="0"/>
    <xf numFmtId="0" fontId="21"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29" applyNumberFormat="0" applyFill="0" applyAlignment="0" applyProtection="0"/>
    <xf numFmtId="0" fontId="4" fillId="0" borderId="0"/>
    <xf numFmtId="9" fontId="4" fillId="0" borderId="0" applyFont="0" applyFill="0" applyBorder="0" applyAlignment="0" applyProtection="0"/>
    <xf numFmtId="0" fontId="3" fillId="0" borderId="0"/>
    <xf numFmtId="43" fontId="5" fillId="0" borderId="0" applyFont="0" applyFill="0" applyBorder="0" applyAlignment="0" applyProtection="0"/>
    <xf numFmtId="0" fontId="48" fillId="0" borderId="0"/>
    <xf numFmtId="0" fontId="2" fillId="0" borderId="0"/>
  </cellStyleXfs>
  <cellXfs count="836">
    <xf numFmtId="0" fontId="0" fillId="0" borderId="0" xfId="0"/>
    <xf numFmtId="0" fontId="56" fillId="0" borderId="0" xfId="0" applyFont="1"/>
    <xf numFmtId="0" fontId="0" fillId="30" borderId="0" xfId="0" applyFill="1"/>
    <xf numFmtId="0" fontId="56" fillId="30" borderId="54" xfId="0" applyFont="1" applyFill="1" applyBorder="1"/>
    <xf numFmtId="170" fontId="56" fillId="30" borderId="49" xfId="33021" applyNumberFormat="1" applyFont="1" applyFill="1" applyBorder="1" applyProtection="1"/>
    <xf numFmtId="0" fontId="56" fillId="30" borderId="54" xfId="0" applyFont="1" applyFill="1" applyBorder="1" applyAlignment="1">
      <alignment horizontal="center"/>
    </xf>
    <xf numFmtId="0" fontId="56" fillId="30" borderId="55" xfId="0" applyFont="1" applyFill="1" applyBorder="1" applyAlignment="1">
      <alignment horizontal="center"/>
    </xf>
    <xf numFmtId="170" fontId="56" fillId="30" borderId="5" xfId="33021" applyNumberFormat="1" applyFont="1" applyFill="1" applyBorder="1" applyProtection="1"/>
    <xf numFmtId="0" fontId="56" fillId="30" borderId="52" xfId="0" applyFont="1" applyFill="1" applyBorder="1"/>
    <xf numFmtId="170" fontId="56" fillId="30" borderId="53" xfId="33021" applyNumberFormat="1" applyFont="1" applyFill="1" applyBorder="1" applyProtection="1"/>
    <xf numFmtId="0" fontId="57" fillId="30" borderId="0" xfId="0" applyFont="1" applyFill="1"/>
    <xf numFmtId="0" fontId="56" fillId="30" borderId="0" xfId="0" applyFont="1" applyFill="1"/>
    <xf numFmtId="0" fontId="56" fillId="30" borderId="46" xfId="0" applyFont="1" applyFill="1" applyBorder="1"/>
    <xf numFmtId="0" fontId="58" fillId="30" borderId="46" xfId="0" applyFont="1" applyFill="1" applyBorder="1"/>
    <xf numFmtId="0" fontId="58" fillId="30" borderId="46" xfId="0" applyFont="1" applyFill="1" applyBorder="1" applyAlignment="1">
      <alignment horizontal="right"/>
    </xf>
    <xf numFmtId="0" fontId="58" fillId="30" borderId="0" xfId="0" applyFont="1" applyFill="1"/>
    <xf numFmtId="9" fontId="56" fillId="30" borderId="0" xfId="1" applyFont="1" applyFill="1" applyProtection="1"/>
    <xf numFmtId="0" fontId="56" fillId="30" borderId="0" xfId="0" applyFont="1" applyFill="1" applyAlignment="1">
      <alignment horizontal="center"/>
    </xf>
    <xf numFmtId="6" fontId="56" fillId="30" borderId="34" xfId="20251" applyNumberFormat="1" applyFont="1" applyFill="1" applyBorder="1" applyProtection="1"/>
    <xf numFmtId="9" fontId="63" fillId="30" borderId="0" xfId="1" applyFont="1" applyFill="1" applyProtection="1">
      <protection locked="0"/>
    </xf>
    <xf numFmtId="43" fontId="64" fillId="0" borderId="0" xfId="4" applyFont="1" applyBorder="1" applyProtection="1">
      <protection locked="0"/>
    </xf>
    <xf numFmtId="170" fontId="64" fillId="0" borderId="0" xfId="4" applyNumberFormat="1" applyFont="1" applyBorder="1" applyProtection="1">
      <protection locked="0"/>
    </xf>
    <xf numFmtId="171" fontId="64" fillId="0" borderId="0" xfId="4" applyNumberFormat="1" applyFont="1" applyBorder="1" applyProtection="1">
      <protection locked="0"/>
    </xf>
    <xf numFmtId="172" fontId="64" fillId="0" borderId="0" xfId="4" applyNumberFormat="1" applyFont="1" applyBorder="1" applyProtection="1">
      <protection locked="0"/>
    </xf>
    <xf numFmtId="0" fontId="64" fillId="0" borderId="0" xfId="33022" applyFont="1" applyProtection="1">
      <protection locked="0"/>
    </xf>
    <xf numFmtId="0" fontId="64" fillId="0" borderId="0" xfId="33022" quotePrefix="1" applyFont="1" applyProtection="1">
      <protection locked="0"/>
    </xf>
    <xf numFmtId="8" fontId="64" fillId="0" borderId="0" xfId="0" applyNumberFormat="1" applyFont="1" applyProtection="1">
      <protection locked="0"/>
    </xf>
    <xf numFmtId="167" fontId="65" fillId="0" borderId="0" xfId="33021" applyNumberFormat="1" applyFont="1" applyProtection="1">
      <protection locked="0"/>
    </xf>
    <xf numFmtId="0" fontId="56" fillId="30" borderId="0" xfId="0" applyFont="1" applyFill="1" applyProtection="1">
      <protection locked="0"/>
    </xf>
    <xf numFmtId="0" fontId="55" fillId="30" borderId="0" xfId="0" applyFont="1" applyFill="1"/>
    <xf numFmtId="0" fontId="54" fillId="0" borderId="0" xfId="0" applyFont="1"/>
    <xf numFmtId="43" fontId="59" fillId="0" borderId="0" xfId="4" applyFont="1" applyBorder="1" applyAlignment="1" applyProtection="1">
      <alignment horizontal="center"/>
    </xf>
    <xf numFmtId="0" fontId="62" fillId="0" borderId="0" xfId="0" applyFont="1"/>
    <xf numFmtId="169" fontId="64" fillId="0" borderId="0" xfId="0" quotePrefix="1" applyNumberFormat="1" applyFont="1" applyProtection="1">
      <protection locked="0"/>
    </xf>
    <xf numFmtId="0" fontId="0" fillId="0" borderId="0" xfId="0" quotePrefix="1" applyAlignment="1">
      <alignment horizontal="center"/>
    </xf>
    <xf numFmtId="0" fontId="47" fillId="0" borderId="0" xfId="0" applyFont="1"/>
    <xf numFmtId="43" fontId="43" fillId="0" borderId="0" xfId="4" applyFont="1" applyBorder="1" applyProtection="1"/>
    <xf numFmtId="8" fontId="0" fillId="0" borderId="0" xfId="0" applyNumberFormat="1"/>
    <xf numFmtId="43" fontId="43" fillId="0" borderId="0" xfId="4" applyFont="1" applyFill="1" applyBorder="1" applyAlignment="1" applyProtection="1">
      <alignment horizontal="left"/>
    </xf>
    <xf numFmtId="43" fontId="50" fillId="0" borderId="0" xfId="4" applyFont="1" applyFill="1" applyBorder="1" applyAlignment="1" applyProtection="1">
      <alignment horizontal="left"/>
    </xf>
    <xf numFmtId="43" fontId="51" fillId="0" borderId="0" xfId="4" applyFont="1" applyAlignment="1" applyProtection="1">
      <alignment horizontal="center"/>
    </xf>
    <xf numFmtId="43" fontId="43" fillId="0" borderId="0" xfId="4" applyFont="1" applyBorder="1" applyAlignment="1" applyProtection="1">
      <alignment horizontal="center"/>
    </xf>
    <xf numFmtId="43" fontId="47" fillId="0" borderId="0" xfId="4" applyFont="1" applyProtection="1"/>
    <xf numFmtId="0" fontId="50" fillId="0" borderId="0" xfId="33022" applyFont="1" applyAlignment="1">
      <alignment horizontal="center" vertical="center" wrapText="1"/>
    </xf>
    <xf numFmtId="43" fontId="45" fillId="0" borderId="0" xfId="4" applyFont="1" applyAlignment="1" applyProtection="1">
      <alignment horizontal="center"/>
    </xf>
    <xf numFmtId="0" fontId="46" fillId="0" borderId="0" xfId="33022" applyFont="1" applyAlignment="1">
      <alignment horizontal="center"/>
    </xf>
    <xf numFmtId="0" fontId="43" fillId="0" borderId="0" xfId="33022" applyFont="1" applyAlignment="1">
      <alignment horizontal="center" vertical="center" wrapText="1"/>
    </xf>
    <xf numFmtId="0" fontId="43" fillId="0" borderId="0" xfId="33022" applyFont="1" applyAlignment="1">
      <alignment horizontal="center" vertical="center"/>
    </xf>
    <xf numFmtId="0" fontId="50" fillId="0" borderId="0" xfId="33022" applyFont="1" applyAlignment="1">
      <alignment horizontal="center" vertical="top" wrapText="1"/>
    </xf>
    <xf numFmtId="0" fontId="50" fillId="0" borderId="0" xfId="33022" applyFont="1" applyAlignment="1">
      <alignment horizontal="center" wrapText="1"/>
    </xf>
    <xf numFmtId="0" fontId="46" fillId="0" borderId="0" xfId="33022" applyFont="1"/>
    <xf numFmtId="0" fontId="50" fillId="0" borderId="41" xfId="33022" applyFont="1" applyBorder="1" applyAlignment="1">
      <alignment horizontal="center" vertical="center" wrapText="1"/>
    </xf>
    <xf numFmtId="4" fontId="43" fillId="0" borderId="0" xfId="20251" applyNumberFormat="1" applyFont="1" applyBorder="1" applyProtection="1"/>
    <xf numFmtId="0" fontId="50" fillId="0" borderId="0" xfId="33022" applyFont="1" applyAlignment="1">
      <alignment horizontal="center" vertical="center"/>
    </xf>
    <xf numFmtId="170" fontId="53" fillId="0" borderId="0" xfId="4" applyNumberFormat="1" applyFont="1" applyFill="1" applyBorder="1" applyAlignment="1" applyProtection="1">
      <alignment horizontal="center"/>
    </xf>
    <xf numFmtId="44" fontId="53" fillId="0" borderId="0" xfId="20251" applyFont="1" applyFill="1" applyBorder="1" applyAlignment="1" applyProtection="1">
      <alignment horizontal="center"/>
    </xf>
    <xf numFmtId="43" fontId="53" fillId="0" borderId="0" xfId="4" applyFont="1" applyFill="1" applyBorder="1" applyAlignment="1" applyProtection="1">
      <alignment horizontal="center"/>
    </xf>
    <xf numFmtId="0" fontId="53" fillId="0" borderId="0" xfId="33022" applyFont="1" applyAlignment="1">
      <alignment horizontal="center" vertical="center"/>
    </xf>
    <xf numFmtId="43" fontId="50" fillId="0" borderId="0" xfId="4" applyFont="1" applyFill="1" applyBorder="1" applyAlignment="1" applyProtection="1">
      <alignment horizontal="center"/>
    </xf>
    <xf numFmtId="0" fontId="50" fillId="0" borderId="0" xfId="33022" applyFont="1" applyAlignment="1">
      <alignment horizontal="center"/>
    </xf>
    <xf numFmtId="8" fontId="44" fillId="0" borderId="0" xfId="0" applyNumberFormat="1" applyFont="1"/>
    <xf numFmtId="44" fontId="56" fillId="30" borderId="44" xfId="20251" applyFont="1" applyFill="1" applyBorder="1" applyProtection="1"/>
    <xf numFmtId="0" fontId="72" fillId="0" borderId="0" xfId="0" applyFont="1"/>
    <xf numFmtId="9" fontId="55" fillId="30" borderId="0" xfId="0" applyNumberFormat="1" applyFont="1" applyFill="1" applyAlignment="1">
      <alignment horizontal="center"/>
    </xf>
    <xf numFmtId="9" fontId="56" fillId="30" borderId="0" xfId="1" applyFont="1" applyFill="1" applyAlignment="1" applyProtection="1">
      <alignment horizontal="right"/>
    </xf>
    <xf numFmtId="167" fontId="65" fillId="0" borderId="41" xfId="33021" applyNumberFormat="1" applyFont="1" applyBorder="1" applyProtection="1">
      <protection locked="0"/>
    </xf>
    <xf numFmtId="169" fontId="64" fillId="0" borderId="41" xfId="0" quotePrefix="1" applyNumberFormat="1" applyFont="1" applyBorder="1" applyProtection="1">
      <protection locked="0"/>
    </xf>
    <xf numFmtId="170" fontId="64" fillId="0" borderId="41" xfId="4" applyNumberFormat="1" applyFont="1" applyBorder="1" applyProtection="1">
      <protection locked="0"/>
    </xf>
    <xf numFmtId="43" fontId="64" fillId="0" borderId="41" xfId="4" applyFont="1" applyBorder="1" applyProtection="1">
      <protection locked="0"/>
    </xf>
    <xf numFmtId="172" fontId="64" fillId="0" borderId="41" xfId="4" applyNumberFormat="1" applyFont="1" applyBorder="1" applyProtection="1">
      <protection locked="0"/>
    </xf>
    <xf numFmtId="0" fontId="64" fillId="0" borderId="41" xfId="33022" applyFont="1" applyBorder="1" applyProtection="1">
      <protection locked="0"/>
    </xf>
    <xf numFmtId="0" fontId="56" fillId="30" borderId="46" xfId="0" applyFont="1" applyFill="1" applyBorder="1" applyAlignment="1">
      <alignment horizontal="right"/>
    </xf>
    <xf numFmtId="0" fontId="0" fillId="30" borderId="41" xfId="0" applyFill="1" applyBorder="1"/>
    <xf numFmtId="0" fontId="56" fillId="30" borderId="46" xfId="0" applyFont="1" applyFill="1" applyBorder="1" applyAlignment="1">
      <alignment horizontal="center"/>
    </xf>
    <xf numFmtId="173" fontId="56" fillId="30" borderId="0" xfId="0" applyNumberFormat="1" applyFont="1" applyFill="1"/>
    <xf numFmtId="0" fontId="0" fillId="0" borderId="0" xfId="0" quotePrefix="1"/>
    <xf numFmtId="0" fontId="56" fillId="30" borderId="41" xfId="0" applyFont="1" applyFill="1" applyBorder="1"/>
    <xf numFmtId="167" fontId="56" fillId="30" borderId="0" xfId="33021" applyNumberFormat="1" applyFont="1" applyFill="1" applyAlignment="1">
      <alignment horizontal="center"/>
    </xf>
    <xf numFmtId="167" fontId="56" fillId="30" borderId="0" xfId="33021" applyNumberFormat="1" applyFont="1" applyFill="1" applyAlignment="1">
      <alignment horizontal="right"/>
    </xf>
    <xf numFmtId="167" fontId="56" fillId="30" borderId="0" xfId="33021" applyNumberFormat="1" applyFont="1" applyFill="1" applyBorder="1" applyAlignment="1">
      <alignment horizontal="center"/>
    </xf>
    <xf numFmtId="170" fontId="43" fillId="0" borderId="0" xfId="4" quotePrefix="1" applyNumberFormat="1" applyFont="1" applyBorder="1" applyAlignment="1" applyProtection="1">
      <alignment horizontal="center"/>
    </xf>
    <xf numFmtId="44" fontId="53" fillId="0" borderId="0" xfId="20251" quotePrefix="1" applyFont="1" applyFill="1" applyBorder="1" applyAlignment="1" applyProtection="1">
      <alignment horizontal="center"/>
    </xf>
    <xf numFmtId="4" fontId="43" fillId="0" borderId="48" xfId="20251" applyNumberFormat="1" applyFont="1" applyBorder="1" applyProtection="1"/>
    <xf numFmtId="43" fontId="50" fillId="0" borderId="48" xfId="4" applyFont="1" applyFill="1" applyBorder="1" applyAlignment="1" applyProtection="1">
      <alignment horizontal="center"/>
    </xf>
    <xf numFmtId="170" fontId="53" fillId="0" borderId="48" xfId="4" applyNumberFormat="1" applyFont="1" applyFill="1" applyBorder="1" applyAlignment="1" applyProtection="1">
      <alignment horizontal="center"/>
    </xf>
    <xf numFmtId="0" fontId="50" fillId="0" borderId="48" xfId="33022" applyFont="1" applyBorder="1" applyAlignment="1">
      <alignment horizontal="center"/>
    </xf>
    <xf numFmtId="44" fontId="53" fillId="0" borderId="48" xfId="20251" applyFont="1" applyFill="1" applyBorder="1" applyAlignment="1" applyProtection="1">
      <alignment horizontal="center"/>
    </xf>
    <xf numFmtId="44" fontId="53" fillId="0" borderId="47" xfId="20251" applyFont="1" applyFill="1" applyBorder="1" applyAlignment="1" applyProtection="1">
      <alignment horizontal="center"/>
    </xf>
    <xf numFmtId="4" fontId="43" fillId="0" borderId="41" xfId="20251" applyNumberFormat="1" applyFont="1" applyBorder="1" applyProtection="1"/>
    <xf numFmtId="43" fontId="50" fillId="0" borderId="41" xfId="4" applyFont="1" applyFill="1" applyBorder="1" applyAlignment="1" applyProtection="1">
      <alignment horizontal="center"/>
    </xf>
    <xf numFmtId="170" fontId="53" fillId="0" borderId="41" xfId="4" applyNumberFormat="1" applyFont="1" applyFill="1" applyBorder="1" applyAlignment="1" applyProtection="1">
      <alignment horizontal="center"/>
    </xf>
    <xf numFmtId="0" fontId="50" fillId="0" borderId="41" xfId="33022" applyFont="1" applyBorder="1" applyAlignment="1">
      <alignment horizontal="center" vertical="center"/>
    </xf>
    <xf numFmtId="44" fontId="53" fillId="0" borderId="41" xfId="20251" applyFont="1" applyFill="1" applyBorder="1" applyAlignment="1" applyProtection="1">
      <alignment horizontal="center"/>
    </xf>
    <xf numFmtId="44" fontId="53" fillId="0" borderId="37" xfId="20251" applyFont="1" applyFill="1" applyBorder="1" applyAlignment="1" applyProtection="1">
      <alignment horizontal="center"/>
    </xf>
    <xf numFmtId="43" fontId="63" fillId="0" borderId="0" xfId="4" applyFont="1" applyBorder="1" applyProtection="1">
      <protection locked="0"/>
    </xf>
    <xf numFmtId="43" fontId="63" fillId="0" borderId="41" xfId="4" applyFont="1" applyBorder="1" applyProtection="1">
      <protection locked="0"/>
    </xf>
    <xf numFmtId="172" fontId="63" fillId="0" borderId="0" xfId="4" applyNumberFormat="1" applyFont="1" applyBorder="1" applyProtection="1">
      <protection locked="0"/>
    </xf>
    <xf numFmtId="172" fontId="63" fillId="0" borderId="0" xfId="4" applyNumberFormat="1" applyFont="1" applyFill="1" applyBorder="1" applyProtection="1">
      <protection locked="0"/>
    </xf>
    <xf numFmtId="172" fontId="63" fillId="0" borderId="41" xfId="4" applyNumberFormat="1" applyFont="1" applyBorder="1" applyProtection="1">
      <protection locked="0"/>
    </xf>
    <xf numFmtId="0" fontId="63" fillId="0" borderId="0" xfId="33022" applyFont="1" applyAlignment="1" applyProtection="1">
      <alignment horizontal="right"/>
      <protection locked="0"/>
    </xf>
    <xf numFmtId="167" fontId="63" fillId="0" borderId="0" xfId="4" applyNumberFormat="1" applyFont="1" applyBorder="1" applyProtection="1">
      <protection locked="0"/>
    </xf>
    <xf numFmtId="167" fontId="63" fillId="0" borderId="0" xfId="4" applyNumberFormat="1" applyFont="1" applyFill="1" applyBorder="1" applyProtection="1">
      <protection locked="0"/>
    </xf>
    <xf numFmtId="43" fontId="0" fillId="0" borderId="0" xfId="0" applyNumberFormat="1"/>
    <xf numFmtId="3" fontId="56" fillId="30" borderId="0" xfId="0" applyNumberFormat="1" applyFont="1" applyFill="1"/>
    <xf numFmtId="169" fontId="56" fillId="30" borderId="0" xfId="0" applyNumberFormat="1" applyFont="1" applyFill="1"/>
    <xf numFmtId="173" fontId="56" fillId="30" borderId="0" xfId="33021" applyNumberFormat="1" applyFont="1" applyFill="1"/>
    <xf numFmtId="4" fontId="56" fillId="30" borderId="0" xfId="0" applyNumberFormat="1" applyFont="1" applyFill="1"/>
    <xf numFmtId="4" fontId="56" fillId="30" borderId="41" xfId="0" applyNumberFormat="1" applyFont="1" applyFill="1" applyBorder="1"/>
    <xf numFmtId="0" fontId="56" fillId="30" borderId="41" xfId="0" applyFont="1" applyFill="1" applyBorder="1" applyAlignment="1">
      <alignment horizontal="left"/>
    </xf>
    <xf numFmtId="4" fontId="56" fillId="30" borderId="0" xfId="33021" applyNumberFormat="1" applyFont="1" applyFill="1" applyBorder="1"/>
    <xf numFmtId="3" fontId="56" fillId="30" borderId="0" xfId="33021" applyNumberFormat="1" applyFont="1" applyFill="1"/>
    <xf numFmtId="3" fontId="56" fillId="30" borderId="0" xfId="33021" applyNumberFormat="1" applyFont="1" applyFill="1" applyBorder="1"/>
    <xf numFmtId="1" fontId="56" fillId="30" borderId="0" xfId="0" applyNumberFormat="1" applyFont="1" applyFill="1"/>
    <xf numFmtId="4" fontId="56" fillId="30" borderId="41" xfId="33021" applyNumberFormat="1" applyFont="1" applyFill="1" applyBorder="1"/>
    <xf numFmtId="167" fontId="56" fillId="30" borderId="41" xfId="33021" applyNumberFormat="1" applyFont="1" applyFill="1" applyBorder="1" applyAlignment="1">
      <alignment horizontal="center"/>
    </xf>
    <xf numFmtId="3" fontId="56" fillId="30" borderId="41" xfId="0" applyNumberFormat="1" applyFont="1" applyFill="1" applyBorder="1"/>
    <xf numFmtId="0" fontId="0" fillId="30" borderId="0" xfId="0" applyFill="1" applyAlignment="1">
      <alignment horizontal="center"/>
    </xf>
    <xf numFmtId="0" fontId="56" fillId="30" borderId="41" xfId="0" applyFont="1" applyFill="1" applyBorder="1" applyAlignment="1">
      <alignment wrapText="1"/>
    </xf>
    <xf numFmtId="0" fontId="56" fillId="30" borderId="0" xfId="0" quotePrefix="1" applyFont="1" applyFill="1" applyAlignment="1">
      <alignment wrapText="1"/>
    </xf>
    <xf numFmtId="169" fontId="56" fillId="30" borderId="0" xfId="33021" applyNumberFormat="1" applyFont="1" applyFill="1" applyAlignment="1">
      <alignment horizontal="right"/>
    </xf>
    <xf numFmtId="169" fontId="56" fillId="30" borderId="0" xfId="33021" applyNumberFormat="1" applyFont="1" applyFill="1"/>
    <xf numFmtId="3" fontId="56" fillId="30" borderId="0" xfId="33021" applyNumberFormat="1" applyFont="1" applyFill="1" applyAlignment="1">
      <alignment horizontal="right"/>
    </xf>
    <xf numFmtId="3" fontId="56" fillId="30" borderId="41" xfId="33021" applyNumberFormat="1" applyFont="1" applyFill="1" applyBorder="1" applyAlignment="1">
      <alignment horizontal="right"/>
    </xf>
    <xf numFmtId="3" fontId="56" fillId="30" borderId="41" xfId="33021" applyNumberFormat="1" applyFont="1" applyFill="1" applyBorder="1"/>
    <xf numFmtId="6" fontId="56" fillId="30" borderId="39" xfId="20251" applyNumberFormat="1" applyFont="1" applyFill="1" applyBorder="1" applyProtection="1"/>
    <xf numFmtId="6" fontId="56" fillId="30" borderId="36" xfId="20251" applyNumberFormat="1" applyFont="1" applyFill="1" applyBorder="1" applyProtection="1"/>
    <xf numFmtId="0" fontId="54" fillId="30" borderId="0" xfId="0" applyFont="1" applyFill="1"/>
    <xf numFmtId="0" fontId="0" fillId="30" borderId="0" xfId="0" quotePrefix="1" applyFill="1"/>
    <xf numFmtId="1" fontId="56" fillId="30" borderId="41" xfId="0" applyNumberFormat="1" applyFont="1" applyFill="1" applyBorder="1"/>
    <xf numFmtId="0" fontId="66" fillId="30" borderId="0" xfId="0" quotePrefix="1" applyFont="1" applyFill="1"/>
    <xf numFmtId="3" fontId="56" fillId="0" borderId="0" xfId="33021" applyNumberFormat="1" applyFont="1" applyFill="1" applyBorder="1"/>
    <xf numFmtId="3" fontId="56" fillId="0" borderId="0" xfId="0" applyNumberFormat="1" applyFont="1"/>
    <xf numFmtId="3" fontId="56" fillId="0" borderId="0" xfId="33021" applyNumberFormat="1" applyFont="1" applyFill="1" applyBorder="1" applyAlignment="1">
      <alignment horizontal="right"/>
    </xf>
    <xf numFmtId="0" fontId="56" fillId="30" borderId="0" xfId="0" applyFont="1" applyFill="1" applyAlignment="1">
      <alignment horizontal="right" wrapText="1"/>
    </xf>
    <xf numFmtId="0" fontId="56" fillId="30" borderId="0" xfId="0" quotePrefix="1" applyFont="1" applyFill="1" applyAlignment="1">
      <alignment horizontal="right"/>
    </xf>
    <xf numFmtId="0" fontId="41" fillId="0" borderId="0" xfId="0" applyFont="1"/>
    <xf numFmtId="8" fontId="49" fillId="0" borderId="0" xfId="20251" applyNumberFormat="1" applyFont="1" applyFill="1" applyProtection="1"/>
    <xf numFmtId="0" fontId="0" fillId="0" borderId="0" xfId="0" applyAlignment="1">
      <alignment horizontal="center"/>
    </xf>
    <xf numFmtId="10" fontId="0" fillId="0" borderId="0" xfId="1" applyNumberFormat="1" applyFont="1" applyFill="1" applyProtection="1"/>
    <xf numFmtId="8" fontId="49" fillId="0" borderId="0" xfId="0" applyNumberFormat="1" applyFont="1"/>
    <xf numFmtId="0" fontId="0" fillId="0" borderId="41" xfId="0" applyBorder="1" applyProtection="1">
      <protection locked="0"/>
    </xf>
    <xf numFmtId="8" fontId="0" fillId="0" borderId="0" xfId="20251" applyNumberFormat="1" applyFont="1" applyFill="1" applyProtection="1"/>
    <xf numFmtId="0" fontId="77" fillId="30" borderId="0" xfId="0" applyFont="1" applyFill="1" applyAlignment="1">
      <alignment horizontal="right"/>
    </xf>
    <xf numFmtId="175" fontId="0" fillId="0" borderId="0" xfId="0" applyNumberFormat="1"/>
    <xf numFmtId="0" fontId="56" fillId="30" borderId="50" xfId="0" applyFont="1" applyFill="1" applyBorder="1"/>
    <xf numFmtId="8" fontId="0" fillId="0" borderId="0" xfId="0" quotePrefix="1" applyNumberFormat="1"/>
    <xf numFmtId="6" fontId="56" fillId="30" borderId="58" xfId="20251" applyNumberFormat="1" applyFont="1" applyFill="1" applyBorder="1" applyProtection="1"/>
    <xf numFmtId="6" fontId="56" fillId="30" borderId="59" xfId="20251" applyNumberFormat="1" applyFont="1" applyFill="1" applyBorder="1" applyProtection="1"/>
    <xf numFmtId="6" fontId="56" fillId="30" borderId="60" xfId="20251" applyNumberFormat="1" applyFont="1" applyFill="1" applyBorder="1" applyProtection="1"/>
    <xf numFmtId="6" fontId="56" fillId="30" borderId="61" xfId="20251" applyNumberFormat="1" applyFont="1" applyFill="1" applyBorder="1" applyProtection="1"/>
    <xf numFmtId="6" fontId="56" fillId="30" borderId="62" xfId="20251" applyNumberFormat="1" applyFont="1" applyFill="1" applyBorder="1" applyProtection="1"/>
    <xf numFmtId="9" fontId="55" fillId="30" borderId="0" xfId="0" applyNumberFormat="1" applyFont="1" applyFill="1" applyAlignment="1">
      <alignment horizontal="left"/>
    </xf>
    <xf numFmtId="6" fontId="42" fillId="30" borderId="0" xfId="0" applyNumberFormat="1" applyFont="1" applyFill="1" applyProtection="1">
      <protection locked="0"/>
    </xf>
    <xf numFmtId="10" fontId="42" fillId="30" borderId="0" xfId="1" applyNumberFormat="1" applyFont="1" applyFill="1" applyAlignment="1" applyProtection="1">
      <protection locked="0"/>
    </xf>
    <xf numFmtId="10" fontId="0" fillId="30" borderId="0" xfId="1" applyNumberFormat="1" applyFont="1" applyFill="1" applyAlignment="1">
      <alignment horizontal="center"/>
    </xf>
    <xf numFmtId="6" fontId="0" fillId="30" borderId="0" xfId="0" applyNumberFormat="1" applyFill="1"/>
    <xf numFmtId="6" fontId="0" fillId="30" borderId="40" xfId="0" applyNumberFormat="1" applyFill="1" applyBorder="1"/>
    <xf numFmtId="0" fontId="0" fillId="30" borderId="40" xfId="0" applyFill="1" applyBorder="1"/>
    <xf numFmtId="0" fontId="0" fillId="0" borderId="0" xfId="0" quotePrefix="1" applyAlignment="1">
      <alignment horizontal="right"/>
    </xf>
    <xf numFmtId="173" fontId="63" fillId="0" borderId="0" xfId="0" applyNumberFormat="1" applyFont="1" applyProtection="1">
      <protection locked="0"/>
    </xf>
    <xf numFmtId="4" fontId="63" fillId="0" borderId="0" xfId="0" applyNumberFormat="1" applyFont="1" applyProtection="1">
      <protection locked="0"/>
    </xf>
    <xf numFmtId="4" fontId="64" fillId="0" borderId="0" xfId="33021" applyNumberFormat="1" applyFont="1" applyProtection="1">
      <protection locked="0"/>
    </xf>
    <xf numFmtId="4" fontId="63" fillId="0" borderId="41" xfId="0" applyNumberFormat="1" applyFont="1" applyBorder="1" applyProtection="1">
      <protection locked="0"/>
    </xf>
    <xf numFmtId="173" fontId="0" fillId="0" borderId="0" xfId="0" applyNumberFormat="1"/>
    <xf numFmtId="173" fontId="0" fillId="0" borderId="0" xfId="20251" applyNumberFormat="1" applyFont="1" applyFill="1" applyProtection="1"/>
    <xf numFmtId="173" fontId="49" fillId="0" borderId="0" xfId="20251" applyNumberFormat="1" applyFont="1" applyFill="1" applyProtection="1"/>
    <xf numFmtId="4" fontId="0" fillId="0" borderId="0" xfId="0" applyNumberFormat="1"/>
    <xf numFmtId="4" fontId="49" fillId="0" borderId="0" xfId="20251" applyNumberFormat="1" applyFont="1" applyFill="1" applyProtection="1"/>
    <xf numFmtId="4" fontId="0" fillId="0" borderId="0" xfId="0" applyNumberFormat="1" applyProtection="1">
      <protection locked="0"/>
    </xf>
    <xf numFmtId="4" fontId="0" fillId="0" borderId="0" xfId="33021" applyNumberFormat="1" applyFont="1" applyFill="1" applyProtection="1"/>
    <xf numFmtId="4" fontId="49" fillId="0" borderId="0" xfId="0" applyNumberFormat="1" applyFont="1"/>
    <xf numFmtId="173" fontId="64" fillId="0" borderId="0" xfId="0" applyNumberFormat="1" applyFont="1" applyProtection="1">
      <protection locked="0"/>
    </xf>
    <xf numFmtId="44" fontId="0" fillId="0" borderId="0" xfId="20251" applyFont="1" applyFill="1" applyProtection="1"/>
    <xf numFmtId="43" fontId="5" fillId="0" borderId="0" xfId="33021" quotePrefix="1" applyFont="1" applyFill="1" applyBorder="1" applyProtection="1"/>
    <xf numFmtId="43" fontId="5" fillId="0" borderId="48" xfId="33021" quotePrefix="1" applyFont="1" applyFill="1" applyBorder="1" applyProtection="1"/>
    <xf numFmtId="43" fontId="5" fillId="0" borderId="41" xfId="33021" quotePrefix="1" applyFont="1" applyFill="1" applyBorder="1" applyProtection="1"/>
    <xf numFmtId="0" fontId="0" fillId="30" borderId="49" xfId="0" applyFill="1" applyBorder="1" applyAlignment="1">
      <alignment horizontal="center"/>
    </xf>
    <xf numFmtId="169" fontId="0" fillId="0" borderId="0" xfId="0" quotePrefix="1" applyNumberFormat="1"/>
    <xf numFmtId="169" fontId="0" fillId="0" borderId="48" xfId="0" quotePrefix="1" applyNumberFormat="1" applyBorder="1"/>
    <xf numFmtId="169" fontId="0" fillId="0" borderId="41" xfId="0" quotePrefix="1" applyNumberFormat="1" applyBorder="1"/>
    <xf numFmtId="170" fontId="5" fillId="0" borderId="0" xfId="33021" quotePrefix="1" applyNumberFormat="1" applyFont="1" applyFill="1" applyBorder="1" applyProtection="1"/>
    <xf numFmtId="170" fontId="5" fillId="0" borderId="48" xfId="33021" quotePrefix="1" applyNumberFormat="1" applyFont="1" applyFill="1" applyBorder="1" applyProtection="1"/>
    <xf numFmtId="170" fontId="5" fillId="0" borderId="41" xfId="33021" quotePrefix="1" applyNumberFormat="1" applyFont="1" applyFill="1" applyBorder="1" applyProtection="1"/>
    <xf numFmtId="171" fontId="5" fillId="0" borderId="0" xfId="33021" quotePrefix="1" applyNumberFormat="1" applyFont="1" applyFill="1" applyBorder="1" applyProtection="1"/>
    <xf numFmtId="172" fontId="5" fillId="0" borderId="0" xfId="33021" quotePrefix="1" applyNumberFormat="1" applyFont="1" applyFill="1" applyBorder="1" applyProtection="1"/>
    <xf numFmtId="172" fontId="5" fillId="0" borderId="48" xfId="33021" quotePrefix="1" applyNumberFormat="1" applyFont="1" applyFill="1" applyBorder="1" applyProtection="1"/>
    <xf numFmtId="172" fontId="5" fillId="0" borderId="41" xfId="33021" quotePrefix="1" applyNumberFormat="1" applyFont="1" applyFill="1" applyBorder="1" applyProtection="1"/>
    <xf numFmtId="9" fontId="55" fillId="30" borderId="54" xfId="1" applyFont="1" applyFill="1" applyBorder="1" applyAlignment="1" applyProtection="1">
      <alignment horizontal="center"/>
    </xf>
    <xf numFmtId="8" fontId="55" fillId="30" borderId="0" xfId="20251" applyNumberFormat="1" applyFont="1" applyFill="1" applyBorder="1" applyProtection="1"/>
    <xf numFmtId="8" fontId="55" fillId="30" borderId="4" xfId="20251" applyNumberFormat="1" applyFont="1" applyFill="1" applyBorder="1" applyProtection="1"/>
    <xf numFmtId="0" fontId="44" fillId="30" borderId="46" xfId="0" applyFont="1" applyFill="1" applyBorder="1" applyAlignment="1">
      <alignment horizontal="center" wrapText="1"/>
    </xf>
    <xf numFmtId="0" fontId="44" fillId="30" borderId="35" xfId="0" applyFont="1" applyFill="1" applyBorder="1" applyAlignment="1">
      <alignment horizontal="center" wrapText="1"/>
    </xf>
    <xf numFmtId="6" fontId="49" fillId="30" borderId="0" xfId="0" applyNumberFormat="1" applyFont="1" applyFill="1"/>
    <xf numFmtId="6" fontId="49" fillId="30" borderId="40" xfId="0" applyNumberFormat="1" applyFont="1" applyFill="1" applyBorder="1"/>
    <xf numFmtId="6" fontId="0" fillId="30" borderId="41" xfId="0" applyNumberFormat="1" applyFill="1" applyBorder="1"/>
    <xf numFmtId="6" fontId="0" fillId="30" borderId="37" xfId="0" applyNumberFormat="1" applyFill="1" applyBorder="1"/>
    <xf numFmtId="0" fontId="0" fillId="30" borderId="46" xfId="0" applyFill="1" applyBorder="1" applyAlignment="1">
      <alignment horizontal="right" wrapText="1"/>
    </xf>
    <xf numFmtId="0" fontId="0" fillId="30" borderId="35" xfId="0" applyFill="1" applyBorder="1" applyAlignment="1">
      <alignment horizontal="right" wrapText="1"/>
    </xf>
    <xf numFmtId="6" fontId="70" fillId="30" borderId="41" xfId="0" applyNumberFormat="1" applyFont="1" applyFill="1" applyBorder="1"/>
    <xf numFmtId="0" fontId="0" fillId="30" borderId="0" xfId="0" applyFill="1" applyAlignment="1">
      <alignment wrapText="1"/>
    </xf>
    <xf numFmtId="0" fontId="0" fillId="30" borderId="0" xfId="0" applyFill="1" applyAlignment="1">
      <alignment horizontal="center" wrapText="1"/>
    </xf>
    <xf numFmtId="8" fontId="0" fillId="30" borderId="0" xfId="0" applyNumberFormat="1" applyFill="1"/>
    <xf numFmtId="8" fontId="49" fillId="30" borderId="0" xfId="0" applyNumberFormat="1" applyFont="1" applyFill="1"/>
    <xf numFmtId="10" fontId="42" fillId="30" borderId="41" xfId="1" applyNumberFormat="1" applyFont="1" applyFill="1" applyBorder="1" applyAlignment="1" applyProtection="1">
      <protection locked="0"/>
    </xf>
    <xf numFmtId="0" fontId="0" fillId="32" borderId="48" xfId="0" applyFill="1" applyBorder="1"/>
    <xf numFmtId="6" fontId="42" fillId="32" borderId="48" xfId="0" applyNumberFormat="1" applyFont="1" applyFill="1" applyBorder="1" applyProtection="1">
      <protection locked="0"/>
    </xf>
    <xf numFmtId="0" fontId="0" fillId="32" borderId="0" xfId="0" applyFill="1"/>
    <xf numFmtId="10" fontId="42" fillId="32" borderId="0" xfId="1" applyNumberFormat="1" applyFont="1" applyFill="1" applyAlignment="1" applyProtection="1">
      <protection locked="0"/>
    </xf>
    <xf numFmtId="0" fontId="41" fillId="30" borderId="0" xfId="0" applyFont="1" applyFill="1" applyAlignment="1">
      <alignment horizontal="left"/>
    </xf>
    <xf numFmtId="8" fontId="41" fillId="30" borderId="0" xfId="0" quotePrefix="1" applyNumberFormat="1" applyFont="1" applyFill="1"/>
    <xf numFmtId="169" fontId="56" fillId="0" borderId="0" xfId="20251" applyNumberFormat="1" applyFont="1"/>
    <xf numFmtId="169" fontId="56" fillId="30" borderId="0" xfId="20251" applyNumberFormat="1" applyFont="1" applyFill="1"/>
    <xf numFmtId="44" fontId="56" fillId="0" borderId="0" xfId="20251" applyFont="1"/>
    <xf numFmtId="44" fontId="56" fillId="30" borderId="0" xfId="20251" applyFont="1" applyFill="1"/>
    <xf numFmtId="44" fontId="66" fillId="0" borderId="0" xfId="20251" applyFont="1"/>
    <xf numFmtId="44" fontId="66" fillId="30" borderId="0" xfId="20251" applyFont="1" applyFill="1"/>
    <xf numFmtId="174" fontId="56" fillId="0" borderId="0" xfId="0" applyNumberFormat="1" applyFont="1"/>
    <xf numFmtId="174" fontId="56" fillId="30" borderId="0" xfId="0" applyNumberFormat="1" applyFont="1" applyFill="1"/>
    <xf numFmtId="173" fontId="56" fillId="0" borderId="0" xfId="0" applyNumberFormat="1" applyFont="1"/>
    <xf numFmtId="0" fontId="56" fillId="30" borderId="0" xfId="0" applyFont="1" applyFill="1" applyAlignment="1">
      <alignment horizontal="left"/>
    </xf>
    <xf numFmtId="4" fontId="43" fillId="0" borderId="0" xfId="20251" applyNumberFormat="1" applyFont="1" applyFill="1" applyBorder="1" applyProtection="1"/>
    <xf numFmtId="0" fontId="50" fillId="0" borderId="0" xfId="33022" applyFont="1" applyAlignment="1">
      <alignment horizontal="right"/>
    </xf>
    <xf numFmtId="170" fontId="50" fillId="0" borderId="0" xfId="33022" applyNumberFormat="1" applyFont="1" applyAlignment="1">
      <alignment horizontal="right"/>
    </xf>
    <xf numFmtId="170" fontId="50" fillId="0" borderId="0" xfId="4" applyNumberFormat="1" applyFont="1" applyFill="1" applyBorder="1" applyAlignment="1" applyProtection="1">
      <alignment horizontal="center"/>
    </xf>
    <xf numFmtId="0" fontId="41" fillId="30" borderId="0" xfId="0" applyFont="1" applyFill="1"/>
    <xf numFmtId="0" fontId="0" fillId="30" borderId="38" xfId="0" applyFill="1" applyBorder="1" applyAlignment="1">
      <alignment horizontal="right" wrapText="1"/>
    </xf>
    <xf numFmtId="10" fontId="42" fillId="30" borderId="0" xfId="1" applyNumberFormat="1" applyFont="1" applyFill="1" applyBorder="1" applyAlignment="1" applyProtection="1">
      <protection locked="0"/>
    </xf>
    <xf numFmtId="0" fontId="41" fillId="30" borderId="0" xfId="0" quotePrefix="1" applyFont="1" applyFill="1" applyAlignment="1">
      <alignment horizontal="left"/>
    </xf>
    <xf numFmtId="173" fontId="0" fillId="30" borderId="34" xfId="0" applyNumberFormat="1" applyFill="1" applyBorder="1"/>
    <xf numFmtId="173" fontId="0" fillId="30" borderId="41" xfId="0" applyNumberFormat="1" applyFill="1" applyBorder="1"/>
    <xf numFmtId="173" fontId="0" fillId="30" borderId="37" xfId="0" applyNumberFormat="1" applyFill="1" applyBorder="1"/>
    <xf numFmtId="0" fontId="0" fillId="32" borderId="45" xfId="0" applyFill="1" applyBorder="1" applyAlignment="1">
      <alignment horizontal="left"/>
    </xf>
    <xf numFmtId="10" fontId="41" fillId="32" borderId="47" xfId="1" applyNumberFormat="1" applyFont="1" applyFill="1" applyBorder="1" applyAlignment="1">
      <alignment horizontal="right"/>
    </xf>
    <xf numFmtId="0" fontId="0" fillId="32" borderId="5" xfId="0" applyFill="1" applyBorder="1"/>
    <xf numFmtId="10" fontId="41" fillId="32" borderId="37" xfId="1" applyNumberFormat="1" applyFont="1" applyFill="1" applyBorder="1" applyAlignment="1">
      <alignment horizontal="right"/>
    </xf>
    <xf numFmtId="170" fontId="56" fillId="30" borderId="0" xfId="33021" applyNumberFormat="1" applyFont="1" applyFill="1" applyProtection="1"/>
    <xf numFmtId="38" fontId="63" fillId="30" borderId="0" xfId="33021" applyNumberFormat="1" applyFont="1" applyFill="1" applyBorder="1" applyAlignment="1" applyProtection="1">
      <alignment horizontal="center" vertical="center"/>
      <protection locked="0"/>
    </xf>
    <xf numFmtId="38" fontId="56" fillId="30" borderId="0" xfId="33021" applyNumberFormat="1" applyFont="1" applyFill="1" applyBorder="1" applyAlignment="1" applyProtection="1">
      <alignment horizontal="center" vertical="center"/>
    </xf>
    <xf numFmtId="38" fontId="56" fillId="30" borderId="41" xfId="33021" applyNumberFormat="1" applyFont="1" applyFill="1" applyBorder="1" applyAlignment="1" applyProtection="1">
      <alignment horizontal="center" vertical="center"/>
    </xf>
    <xf numFmtId="8" fontId="63" fillId="30" borderId="0" xfId="0" applyNumberFormat="1" applyFont="1" applyFill="1" applyProtection="1">
      <protection locked="0"/>
    </xf>
    <xf numFmtId="167" fontId="63" fillId="30" borderId="0" xfId="33021" applyNumberFormat="1" applyFont="1" applyFill="1" applyProtection="1">
      <protection locked="0"/>
    </xf>
    <xf numFmtId="0" fontId="63" fillId="30" borderId="0" xfId="0" applyFont="1" applyFill="1" applyAlignment="1" applyProtection="1">
      <alignment horizontal="center"/>
      <protection locked="0"/>
    </xf>
    <xf numFmtId="167" fontId="63" fillId="30" borderId="41" xfId="33021" applyNumberFormat="1" applyFont="1" applyFill="1" applyBorder="1" applyProtection="1">
      <protection locked="0"/>
    </xf>
    <xf numFmtId="0" fontId="66" fillId="30" borderId="0" xfId="0" applyFont="1" applyFill="1"/>
    <xf numFmtId="0" fontId="56" fillId="30" borderId="0" xfId="0" quotePrefix="1" applyFont="1" applyFill="1"/>
    <xf numFmtId="7" fontId="63" fillId="30" borderId="0" xfId="20251" applyNumberFormat="1" applyFont="1" applyFill="1" applyBorder="1" applyProtection="1">
      <protection locked="0"/>
    </xf>
    <xf numFmtId="43" fontId="56" fillId="30" borderId="0" xfId="4" applyFont="1" applyFill="1" applyBorder="1" applyAlignment="1" applyProtection="1">
      <alignment horizontal="center"/>
    </xf>
    <xf numFmtId="7" fontId="63" fillId="30" borderId="0" xfId="20251" applyNumberFormat="1" applyFont="1" applyFill="1" applyProtection="1">
      <protection locked="0"/>
    </xf>
    <xf numFmtId="10" fontId="63" fillId="30" borderId="0" xfId="1" applyNumberFormat="1" applyFont="1" applyFill="1" applyProtection="1">
      <protection locked="0"/>
    </xf>
    <xf numFmtId="0" fontId="41" fillId="0" borderId="0" xfId="0" applyFont="1" applyAlignment="1">
      <alignment horizontal="center"/>
    </xf>
    <xf numFmtId="7" fontId="41" fillId="0" borderId="0" xfId="0" applyNumberFormat="1" applyFont="1" applyAlignment="1">
      <alignment horizontal="center"/>
    </xf>
    <xf numFmtId="0" fontId="58" fillId="30" borderId="46" xfId="0" applyFont="1" applyFill="1" applyBorder="1" applyAlignment="1">
      <alignment horizontal="center"/>
    </xf>
    <xf numFmtId="0" fontId="56" fillId="30" borderId="41" xfId="0" applyFont="1" applyFill="1" applyBorder="1" applyAlignment="1">
      <alignment horizontal="right" wrapText="1"/>
    </xf>
    <xf numFmtId="0" fontId="56" fillId="30" borderId="41" xfId="0" applyFont="1" applyFill="1" applyBorder="1" applyAlignment="1">
      <alignment horizontal="left" wrapText="1"/>
    </xf>
    <xf numFmtId="0" fontId="0" fillId="30" borderId="5" xfId="0" applyFill="1" applyBorder="1" applyAlignment="1">
      <alignment horizontal="center"/>
    </xf>
    <xf numFmtId="4" fontId="41" fillId="0" borderId="0" xfId="20251" applyNumberFormat="1" applyFont="1" applyFill="1" applyBorder="1" applyProtection="1"/>
    <xf numFmtId="170" fontId="63" fillId="30" borderId="46" xfId="33021" applyNumberFormat="1" applyFont="1" applyFill="1" applyBorder="1" applyProtection="1">
      <protection locked="0"/>
    </xf>
    <xf numFmtId="0" fontId="63" fillId="30" borderId="0" xfId="0" applyFont="1" applyFill="1" applyProtection="1">
      <protection locked="0"/>
    </xf>
    <xf numFmtId="170" fontId="56" fillId="30" borderId="41" xfId="33021" applyNumberFormat="1" applyFont="1" applyFill="1" applyBorder="1" applyProtection="1"/>
    <xf numFmtId="9" fontId="63" fillId="30" borderId="41" xfId="1" applyFont="1" applyFill="1" applyBorder="1" applyProtection="1">
      <protection locked="0"/>
    </xf>
    <xf numFmtId="9" fontId="56" fillId="30" borderId="41" xfId="1" applyFont="1" applyFill="1" applyBorder="1" applyAlignment="1" applyProtection="1">
      <alignment horizontal="right"/>
    </xf>
    <xf numFmtId="0" fontId="63" fillId="30" borderId="41" xfId="0" applyFont="1" applyFill="1" applyBorder="1" applyAlignment="1" applyProtection="1">
      <alignment horizontal="center"/>
      <protection locked="0"/>
    </xf>
    <xf numFmtId="0" fontId="0" fillId="30" borderId="46" xfId="0" applyFill="1" applyBorder="1"/>
    <xf numFmtId="0" fontId="0" fillId="30" borderId="0" xfId="0" applyFill="1" applyProtection="1">
      <protection locked="0"/>
    </xf>
    <xf numFmtId="0" fontId="64" fillId="0" borderId="0" xfId="0" applyFont="1" applyProtection="1">
      <protection locked="0"/>
    </xf>
    <xf numFmtId="0" fontId="63" fillId="0" borderId="0" xfId="0" applyFont="1" applyAlignment="1" applyProtection="1">
      <alignment horizontal="left"/>
      <protection locked="0"/>
    </xf>
    <xf numFmtId="0" fontId="64" fillId="0" borderId="0" xfId="0" applyFont="1" applyAlignment="1" applyProtection="1">
      <alignment horizontal="center"/>
      <protection locked="0"/>
    </xf>
    <xf numFmtId="0" fontId="64" fillId="0" borderId="41" xfId="0" applyFont="1" applyBorder="1" applyAlignment="1" applyProtection="1">
      <alignment horizontal="center"/>
      <protection locked="0"/>
    </xf>
    <xf numFmtId="9" fontId="55" fillId="30" borderId="54" xfId="0" applyNumberFormat="1" applyFont="1" applyFill="1" applyBorder="1" applyAlignment="1">
      <alignment horizontal="center"/>
    </xf>
    <xf numFmtId="43" fontId="56" fillId="30" borderId="0" xfId="4" applyFont="1" applyFill="1" applyBorder="1" applyProtection="1"/>
    <xf numFmtId="43" fontId="56" fillId="30" borderId="0" xfId="4" quotePrefix="1" applyFont="1" applyFill="1" applyBorder="1" applyProtection="1"/>
    <xf numFmtId="43" fontId="56" fillId="30" borderId="41" xfId="4" applyFont="1" applyFill="1" applyBorder="1" applyProtection="1"/>
    <xf numFmtId="167" fontId="64" fillId="0" borderId="0" xfId="4" applyNumberFormat="1" applyFont="1" applyBorder="1" applyProtection="1">
      <protection locked="0"/>
    </xf>
    <xf numFmtId="167" fontId="63" fillId="0" borderId="41" xfId="4" applyNumberFormat="1" applyFont="1" applyBorder="1" applyProtection="1">
      <protection locked="0"/>
    </xf>
    <xf numFmtId="0" fontId="63" fillId="0" borderId="41" xfId="33022" applyFont="1" applyBorder="1" applyAlignment="1" applyProtection="1">
      <alignment horizontal="right"/>
      <protection locked="0"/>
    </xf>
    <xf numFmtId="167" fontId="65" fillId="0" borderId="0" xfId="33021" applyNumberFormat="1" applyFont="1" applyBorder="1" applyProtection="1">
      <protection locked="0"/>
    </xf>
    <xf numFmtId="0" fontId="62" fillId="0" borderId="41" xfId="0" applyFont="1" applyBorder="1"/>
    <xf numFmtId="0" fontId="0" fillId="0" borderId="0" xfId="0" applyAlignment="1">
      <alignment horizontal="right"/>
    </xf>
    <xf numFmtId="9" fontId="63" fillId="30" borderId="54" xfId="0" applyNumberFormat="1" applyFont="1" applyFill="1" applyBorder="1" applyAlignment="1" applyProtection="1">
      <alignment horizontal="center"/>
      <protection locked="0"/>
    </xf>
    <xf numFmtId="0" fontId="55" fillId="30" borderId="0" xfId="0" quotePrefix="1" applyFont="1" applyFill="1"/>
    <xf numFmtId="0" fontId="0" fillId="30" borderId="45" xfId="0" applyFill="1" applyBorder="1" applyAlignment="1">
      <alignment horizontal="center"/>
    </xf>
    <xf numFmtId="0" fontId="0" fillId="30" borderId="38" xfId="0" applyFill="1" applyBorder="1" applyAlignment="1">
      <alignment horizontal="center" wrapText="1"/>
    </xf>
    <xf numFmtId="3" fontId="42" fillId="30" borderId="0" xfId="33021" applyNumberFormat="1" applyFont="1" applyFill="1" applyBorder="1" applyAlignment="1" applyProtection="1">
      <protection locked="0"/>
    </xf>
    <xf numFmtId="3" fontId="42" fillId="30" borderId="41" xfId="33021" applyNumberFormat="1" applyFont="1" applyFill="1" applyBorder="1" applyAlignment="1" applyProtection="1">
      <protection locked="0"/>
    </xf>
    <xf numFmtId="6" fontId="0" fillId="32" borderId="0" xfId="0" applyNumberFormat="1" applyFill="1"/>
    <xf numFmtId="6" fontId="0" fillId="32" borderId="40" xfId="0" applyNumberFormat="1" applyFill="1" applyBorder="1"/>
    <xf numFmtId="0" fontId="49" fillId="30" borderId="0" xfId="0" applyFont="1" applyFill="1"/>
    <xf numFmtId="0" fontId="0" fillId="32" borderId="36" xfId="0" applyFill="1" applyBorder="1" applyAlignment="1">
      <alignment horizontal="left"/>
    </xf>
    <xf numFmtId="0" fontId="0" fillId="32" borderId="36" xfId="0" applyFill="1" applyBorder="1"/>
    <xf numFmtId="0" fontId="0" fillId="30" borderId="36" xfId="0" applyFill="1" applyBorder="1"/>
    <xf numFmtId="10" fontId="41" fillId="32" borderId="36" xfId="1" applyNumberFormat="1" applyFont="1" applyFill="1" applyBorder="1" applyAlignment="1">
      <alignment horizontal="right"/>
    </xf>
    <xf numFmtId="8" fontId="41" fillId="30" borderId="36" xfId="0" applyNumberFormat="1" applyFont="1" applyFill="1" applyBorder="1"/>
    <xf numFmtId="8" fontId="42" fillId="30" borderId="36" xfId="0" applyNumberFormat="1" applyFont="1" applyFill="1" applyBorder="1" applyAlignment="1" applyProtection="1">
      <alignment vertical="top"/>
      <protection locked="0"/>
    </xf>
    <xf numFmtId="0" fontId="0" fillId="30" borderId="36" xfId="0" applyFill="1" applyBorder="1" applyAlignment="1">
      <alignment vertical="top"/>
    </xf>
    <xf numFmtId="0" fontId="0" fillId="2" borderId="34" xfId="0" applyFill="1" applyBorder="1" applyAlignment="1">
      <alignment vertical="top"/>
    </xf>
    <xf numFmtId="0" fontId="0" fillId="2" borderId="41" xfId="0" applyFill="1" applyBorder="1"/>
    <xf numFmtId="0" fontId="0" fillId="2" borderId="37" xfId="0" applyFill="1" applyBorder="1"/>
    <xf numFmtId="8" fontId="41" fillId="2" borderId="34" xfId="0" applyNumberFormat="1" applyFont="1" applyFill="1" applyBorder="1" applyAlignment="1" applyProtection="1">
      <alignment vertical="top"/>
      <protection locked="0"/>
    </xf>
    <xf numFmtId="0" fontId="61" fillId="30" borderId="38" xfId="0" applyFont="1" applyFill="1" applyBorder="1" applyAlignment="1">
      <alignment horizontal="left" vertical="center" wrapText="1"/>
    </xf>
    <xf numFmtId="0" fontId="0" fillId="30" borderId="39" xfId="0" applyFill="1" applyBorder="1"/>
    <xf numFmtId="8" fontId="41" fillId="30" borderId="45" xfId="0" applyNumberFormat="1" applyFont="1" applyFill="1" applyBorder="1"/>
    <xf numFmtId="8" fontId="41" fillId="30" borderId="49" xfId="0" applyNumberFormat="1" applyFont="1" applyFill="1" applyBorder="1"/>
    <xf numFmtId="8" fontId="42" fillId="30" borderId="5" xfId="0" applyNumberFormat="1" applyFont="1" applyFill="1" applyBorder="1" applyAlignment="1" applyProtection="1">
      <alignment vertical="top"/>
      <protection locked="0"/>
    </xf>
    <xf numFmtId="8" fontId="41" fillId="2" borderId="3" xfId="0" applyNumberFormat="1" applyFont="1" applyFill="1" applyBorder="1"/>
    <xf numFmtId="4" fontId="0" fillId="0" borderId="0" xfId="0" quotePrefix="1" applyNumberFormat="1"/>
    <xf numFmtId="167" fontId="58" fillId="30" borderId="46" xfId="0" applyNumberFormat="1" applyFont="1" applyFill="1" applyBorder="1" applyAlignment="1">
      <alignment horizontal="right"/>
    </xf>
    <xf numFmtId="0" fontId="86" fillId="30" borderId="0" xfId="0" applyFont="1" applyFill="1"/>
    <xf numFmtId="43" fontId="0" fillId="0" borderId="0" xfId="33021" quotePrefix="1" applyFont="1" applyFill="1" applyBorder="1" applyProtection="1"/>
    <xf numFmtId="0" fontId="56" fillId="30" borderId="41" xfId="0" applyFont="1" applyFill="1" applyBorder="1" applyAlignment="1">
      <alignment horizontal="center"/>
    </xf>
    <xf numFmtId="0" fontId="50" fillId="0" borderId="0" xfId="33022" quotePrefix="1" applyFont="1" applyAlignment="1">
      <alignment horizontal="center"/>
    </xf>
    <xf numFmtId="173" fontId="64" fillId="0" borderId="0" xfId="33021" applyNumberFormat="1" applyFont="1" applyFill="1" applyProtection="1">
      <protection locked="0"/>
    </xf>
    <xf numFmtId="6" fontId="52" fillId="0" borderId="0" xfId="0" quotePrefix="1" applyNumberFormat="1" applyFont="1" applyAlignment="1">
      <alignment horizontal="right"/>
    </xf>
    <xf numFmtId="4" fontId="49" fillId="0" borderId="0" xfId="0" quotePrefix="1" applyNumberFormat="1" applyFont="1"/>
    <xf numFmtId="0" fontId="63" fillId="30" borderId="0" xfId="0" quotePrefix="1" applyFont="1" applyFill="1" applyProtection="1">
      <protection locked="0"/>
    </xf>
    <xf numFmtId="0" fontId="63" fillId="30" borderId="0" xfId="0" quotePrefix="1" applyFont="1" applyFill="1" applyAlignment="1" applyProtection="1">
      <alignment horizontal="left"/>
      <protection locked="0"/>
    </xf>
    <xf numFmtId="43" fontId="60" fillId="30" borderId="48" xfId="4" applyFont="1" applyFill="1" applyBorder="1" applyProtection="1"/>
    <xf numFmtId="6" fontId="44" fillId="0" borderId="0" xfId="0" applyNumberFormat="1" applyFont="1"/>
    <xf numFmtId="6" fontId="44" fillId="0" borderId="41" xfId="0" applyNumberFormat="1" applyFont="1" applyBorder="1"/>
    <xf numFmtId="1" fontId="52" fillId="0" borderId="0" xfId="0" applyNumberFormat="1" applyFont="1" applyAlignment="1">
      <alignment horizontal="right"/>
    </xf>
    <xf numFmtId="8" fontId="56" fillId="30" borderId="44" xfId="20251" applyNumberFormat="1" applyFont="1" applyFill="1" applyBorder="1" applyProtection="1"/>
    <xf numFmtId="169" fontId="57" fillId="30" borderId="0" xfId="0" applyNumberFormat="1" applyFont="1" applyFill="1"/>
    <xf numFmtId="3" fontId="56" fillId="0" borderId="0" xfId="0" quotePrefix="1" applyNumberFormat="1" applyFont="1"/>
    <xf numFmtId="173" fontId="0" fillId="0" borderId="0" xfId="0" quotePrefix="1" applyNumberFormat="1"/>
    <xf numFmtId="43" fontId="63" fillId="0" borderId="0" xfId="4" applyFont="1" applyFill="1" applyBorder="1" applyProtection="1">
      <protection locked="0"/>
    </xf>
    <xf numFmtId="43" fontId="63" fillId="0" borderId="41" xfId="4" applyFont="1" applyFill="1" applyBorder="1" applyProtection="1">
      <protection locked="0"/>
    </xf>
    <xf numFmtId="0" fontId="0" fillId="34" borderId="0" xfId="0" applyFill="1"/>
    <xf numFmtId="0" fontId="50" fillId="34" borderId="0" xfId="0" applyFont="1" applyFill="1" applyAlignment="1">
      <alignment vertical="center" wrapText="1"/>
    </xf>
    <xf numFmtId="0" fontId="50" fillId="34" borderId="0" xfId="0" applyFont="1" applyFill="1" applyAlignment="1">
      <alignment horizontal="left" vertical="center" wrapText="1"/>
    </xf>
    <xf numFmtId="0" fontId="89" fillId="34" borderId="0" xfId="0" applyFont="1" applyFill="1" applyAlignment="1">
      <alignment vertical="center" wrapText="1"/>
    </xf>
    <xf numFmtId="0" fontId="88" fillId="30" borderId="0" xfId="0" applyFont="1" applyFill="1" applyAlignment="1">
      <alignment vertical="center"/>
    </xf>
    <xf numFmtId="0" fontId="88" fillId="30" borderId="0" xfId="0" applyFont="1" applyFill="1" applyAlignment="1">
      <alignment horizontal="center" vertical="center"/>
    </xf>
    <xf numFmtId="0" fontId="83" fillId="30" borderId="0" xfId="0" applyFont="1" applyFill="1" applyAlignment="1">
      <alignment horizontal="center" vertical="center"/>
    </xf>
    <xf numFmtId="0" fontId="1" fillId="30" borderId="0" xfId="0" applyFont="1" applyFill="1"/>
    <xf numFmtId="0" fontId="50" fillId="30" borderId="0" xfId="0" applyFont="1" applyFill="1" applyAlignment="1">
      <alignment vertical="center"/>
    </xf>
    <xf numFmtId="0" fontId="50" fillId="30" borderId="0" xfId="0" applyFont="1" applyFill="1" applyAlignment="1">
      <alignment horizontal="center" vertical="center"/>
    </xf>
    <xf numFmtId="0" fontId="50" fillId="30" borderId="0" xfId="0" quotePrefix="1" applyFont="1" applyFill="1" applyAlignment="1">
      <alignment vertical="center"/>
    </xf>
    <xf numFmtId="0" fontId="63" fillId="0" borderId="0" xfId="0" quotePrefix="1" applyFont="1" applyAlignment="1" applyProtection="1">
      <alignment horizontal="left"/>
      <protection locked="0"/>
    </xf>
    <xf numFmtId="176" fontId="0" fillId="0" borderId="0" xfId="20251" applyNumberFormat="1" applyFont="1"/>
    <xf numFmtId="170" fontId="0" fillId="0" borderId="0" xfId="33021" applyNumberFormat="1" applyFont="1"/>
    <xf numFmtId="179" fontId="0" fillId="0" borderId="0" xfId="20251" applyNumberFormat="1" applyFont="1"/>
    <xf numFmtId="174" fontId="0" fillId="0" borderId="0" xfId="20251" applyNumberFormat="1" applyFont="1"/>
    <xf numFmtId="10" fontId="54" fillId="30" borderId="0" xfId="1" applyNumberFormat="1" applyFont="1" applyFill="1" applyAlignment="1" applyProtection="1">
      <protection locked="0"/>
    </xf>
    <xf numFmtId="4" fontId="54" fillId="30" borderId="0" xfId="33021" applyNumberFormat="1" applyFont="1" applyFill="1" applyAlignment="1" applyProtection="1">
      <protection locked="0"/>
    </xf>
    <xf numFmtId="10" fontId="54" fillId="30" borderId="0" xfId="1" applyNumberFormat="1" applyFont="1" applyFill="1" applyAlignment="1" applyProtection="1">
      <alignment horizontal="center"/>
      <protection locked="0"/>
    </xf>
    <xf numFmtId="10" fontId="54" fillId="30" borderId="0" xfId="1" quotePrefix="1" applyNumberFormat="1" applyFont="1" applyFill="1" applyAlignment="1" applyProtection="1">
      <protection locked="0"/>
    </xf>
    <xf numFmtId="4" fontId="56" fillId="30" borderId="0" xfId="33021" applyNumberFormat="1" applyFont="1" applyFill="1"/>
    <xf numFmtId="43" fontId="56" fillId="30" borderId="41" xfId="4" quotePrefix="1" applyFont="1" applyFill="1" applyBorder="1" applyProtection="1"/>
    <xf numFmtId="4" fontId="64" fillId="0" borderId="0" xfId="33021" applyNumberFormat="1" applyFont="1" applyFill="1" applyProtection="1">
      <protection locked="0"/>
    </xf>
    <xf numFmtId="4" fontId="64" fillId="0" borderId="0" xfId="0" applyNumberFormat="1" applyFont="1" applyProtection="1">
      <protection locked="0"/>
    </xf>
    <xf numFmtId="178" fontId="63" fillId="0" borderId="0" xfId="33021" applyNumberFormat="1" applyFont="1" applyFill="1" applyProtection="1">
      <protection locked="0"/>
    </xf>
    <xf numFmtId="167" fontId="65" fillId="0" borderId="0" xfId="33021" applyNumberFormat="1" applyFont="1" applyFill="1" applyProtection="1">
      <protection locked="0"/>
    </xf>
    <xf numFmtId="167" fontId="65" fillId="0" borderId="0" xfId="33021" applyNumberFormat="1" applyFont="1" applyFill="1" applyBorder="1" applyProtection="1">
      <protection locked="0"/>
    </xf>
    <xf numFmtId="167" fontId="65" fillId="0" borderId="41" xfId="33021" applyNumberFormat="1" applyFont="1" applyFill="1" applyBorder="1" applyProtection="1">
      <protection locked="0"/>
    </xf>
    <xf numFmtId="180" fontId="63" fillId="30" borderId="0" xfId="33021" applyNumberFormat="1" applyFont="1" applyFill="1" applyProtection="1">
      <protection locked="0"/>
    </xf>
    <xf numFmtId="180" fontId="63" fillId="30" borderId="41" xfId="33021" applyNumberFormat="1" applyFont="1" applyFill="1" applyBorder="1" applyProtection="1">
      <protection locked="0"/>
    </xf>
    <xf numFmtId="173" fontId="63" fillId="30" borderId="0" xfId="0" applyNumberFormat="1" applyFont="1" applyFill="1" applyProtection="1">
      <protection locked="0"/>
    </xf>
    <xf numFmtId="173" fontId="63" fillId="30" borderId="41" xfId="0" applyNumberFormat="1" applyFont="1" applyFill="1" applyBorder="1" applyProtection="1">
      <protection locked="0"/>
    </xf>
    <xf numFmtId="0" fontId="0" fillId="30" borderId="0" xfId="0" applyFill="1" applyAlignment="1">
      <alignment horizontal="left"/>
    </xf>
    <xf numFmtId="0" fontId="0" fillId="30" borderId="0" xfId="0" applyFill="1" applyAlignment="1">
      <alignment horizontal="right" wrapText="1"/>
    </xf>
    <xf numFmtId="44" fontId="56" fillId="32" borderId="44" xfId="20251" applyFont="1" applyFill="1" applyBorder="1" applyAlignment="1" applyProtection="1">
      <alignment horizontal="center"/>
    </xf>
    <xf numFmtId="44" fontId="56" fillId="32" borderId="44" xfId="20251" applyFont="1" applyFill="1" applyBorder="1" applyAlignment="1" applyProtection="1">
      <alignment horizontal="center"/>
      <protection locked="0"/>
    </xf>
    <xf numFmtId="44" fontId="56" fillId="32" borderId="7" xfId="20251" applyFont="1" applyFill="1" applyBorder="1" applyAlignment="1" applyProtection="1">
      <alignment horizontal="center"/>
    </xf>
    <xf numFmtId="0" fontId="56" fillId="32" borderId="54" xfId="0" applyFont="1" applyFill="1" applyBorder="1"/>
    <xf numFmtId="170" fontId="56" fillId="32" borderId="49" xfId="33021" applyNumberFormat="1" applyFont="1" applyFill="1" applyBorder="1" applyProtection="1"/>
    <xf numFmtId="38" fontId="56" fillId="32" borderId="0" xfId="20251" applyNumberFormat="1" applyFont="1" applyFill="1" applyBorder="1" applyProtection="1"/>
    <xf numFmtId="38" fontId="56" fillId="32" borderId="6" xfId="20251" applyNumberFormat="1" applyFont="1" applyFill="1" applyBorder="1" applyProtection="1"/>
    <xf numFmtId="9" fontId="55" fillId="32" borderId="54" xfId="1" applyFont="1" applyFill="1" applyBorder="1" applyAlignment="1" applyProtection="1">
      <alignment horizontal="center"/>
    </xf>
    <xf numFmtId="170" fontId="56" fillId="32" borderId="49" xfId="33021" applyNumberFormat="1" applyFont="1" applyFill="1" applyBorder="1" applyProtection="1">
      <protection locked="0"/>
    </xf>
    <xf numFmtId="0" fontId="56" fillId="32" borderId="54" xfId="0" applyFont="1" applyFill="1" applyBorder="1" applyAlignment="1">
      <alignment horizontal="center"/>
    </xf>
    <xf numFmtId="0" fontId="56" fillId="32" borderId="55" xfId="0" applyFont="1" applyFill="1" applyBorder="1" applyAlignment="1">
      <alignment horizontal="center"/>
    </xf>
    <xf numFmtId="170" fontId="56" fillId="32" borderId="5" xfId="33021" applyNumberFormat="1" applyFont="1" applyFill="1" applyBorder="1" applyProtection="1"/>
    <xf numFmtId="38" fontId="56" fillId="32" borderId="34" xfId="20251" applyNumberFormat="1" applyFont="1" applyFill="1" applyBorder="1" applyProtection="1"/>
    <xf numFmtId="38" fontId="56" fillId="32" borderId="41" xfId="20251" applyNumberFormat="1" applyFont="1" applyFill="1" applyBorder="1" applyProtection="1"/>
    <xf numFmtId="38" fontId="56" fillId="32" borderId="56" xfId="20251" applyNumberFormat="1" applyFont="1" applyFill="1" applyBorder="1" applyProtection="1"/>
    <xf numFmtId="9" fontId="55" fillId="32" borderId="54" xfId="0" applyNumberFormat="1" applyFont="1" applyFill="1" applyBorder="1" applyAlignment="1" applyProtection="1">
      <alignment horizontal="center"/>
      <protection locked="0"/>
    </xf>
    <xf numFmtId="0" fontId="56" fillId="32" borderId="52" xfId="0" applyFont="1" applyFill="1" applyBorder="1"/>
    <xf numFmtId="170" fontId="56" fillId="32" borderId="53" xfId="33021" applyNumberFormat="1" applyFont="1" applyFill="1" applyBorder="1" applyProtection="1"/>
    <xf numFmtId="0" fontId="0" fillId="30" borderId="0" xfId="0" applyFill="1" applyAlignment="1">
      <alignment horizontal="right"/>
    </xf>
    <xf numFmtId="0" fontId="0" fillId="30" borderId="46" xfId="0" applyFill="1" applyBorder="1" applyAlignment="1">
      <alignment horizontal="center" wrapText="1"/>
    </xf>
    <xf numFmtId="173" fontId="0" fillId="30" borderId="41" xfId="0" applyNumberFormat="1" applyFill="1" applyBorder="1" applyAlignment="1">
      <alignment horizontal="center"/>
    </xf>
    <xf numFmtId="0" fontId="0" fillId="35" borderId="0" xfId="0" applyFill="1"/>
    <xf numFmtId="173" fontId="42" fillId="35" borderId="0" xfId="20251" applyNumberFormat="1" applyFont="1" applyFill="1" applyBorder="1" applyAlignment="1" applyProtection="1">
      <protection locked="0"/>
    </xf>
    <xf numFmtId="0" fontId="44" fillId="30" borderId="0" xfId="0" applyFont="1" applyFill="1" applyAlignment="1">
      <alignment horizontal="center" wrapText="1"/>
    </xf>
    <xf numFmtId="0" fontId="56" fillId="30" borderId="48" xfId="0" applyFont="1" applyFill="1" applyBorder="1" applyAlignment="1">
      <alignment horizontal="center" wrapText="1"/>
    </xf>
    <xf numFmtId="0" fontId="56" fillId="30" borderId="41" xfId="0" applyFont="1" applyFill="1" applyBorder="1" applyAlignment="1">
      <alignment horizontal="center" wrapText="1"/>
    </xf>
    <xf numFmtId="0" fontId="56" fillId="30" borderId="48" xfId="0" applyFont="1" applyFill="1" applyBorder="1"/>
    <xf numFmtId="38" fontId="56" fillId="30" borderId="41" xfId="0" applyNumberFormat="1" applyFont="1" applyFill="1" applyBorder="1"/>
    <xf numFmtId="4" fontId="54" fillId="30" borderId="0" xfId="0" applyNumberFormat="1" applyFont="1" applyFill="1"/>
    <xf numFmtId="0" fontId="58" fillId="30" borderId="0" xfId="0" quotePrefix="1" applyFont="1" applyFill="1" applyAlignment="1">
      <alignment horizontal="right"/>
    </xf>
    <xf numFmtId="0" fontId="63" fillId="30" borderId="46" xfId="0" applyFont="1" applyFill="1" applyBorder="1" applyAlignment="1" applyProtection="1">
      <alignment horizontal="right"/>
      <protection locked="0"/>
    </xf>
    <xf numFmtId="4" fontId="54" fillId="0" borderId="0" xfId="33021" applyNumberFormat="1" applyFont="1" applyFill="1" applyProtection="1"/>
    <xf numFmtId="0" fontId="56" fillId="35" borderId="0" xfId="0" applyFont="1" applyFill="1" applyAlignment="1">
      <alignment horizontal="left"/>
    </xf>
    <xf numFmtId="0" fontId="56" fillId="35" borderId="0" xfId="0" applyFont="1" applyFill="1" applyAlignment="1">
      <alignment horizontal="center"/>
    </xf>
    <xf numFmtId="8" fontId="63" fillId="35" borderId="0" xfId="0" applyNumberFormat="1" applyFont="1" applyFill="1" applyProtection="1">
      <protection locked="0"/>
    </xf>
    <xf numFmtId="0" fontId="56" fillId="35" borderId="0" xfId="0" quotePrefix="1" applyFont="1" applyFill="1" applyAlignment="1">
      <alignment horizontal="left"/>
    </xf>
    <xf numFmtId="0" fontId="92" fillId="35" borderId="0" xfId="0" applyFont="1" applyFill="1" applyAlignment="1" applyProtection="1">
      <alignment horizontal="center"/>
      <protection locked="0"/>
    </xf>
    <xf numFmtId="8" fontId="92" fillId="35" borderId="0" xfId="0" applyNumberFormat="1" applyFont="1" applyFill="1" applyProtection="1">
      <protection locked="0"/>
    </xf>
    <xf numFmtId="43" fontId="56" fillId="35" borderId="0" xfId="4" applyFont="1" applyFill="1" applyBorder="1" applyAlignment="1" applyProtection="1">
      <alignment horizontal="center"/>
    </xf>
    <xf numFmtId="7" fontId="63" fillId="35" borderId="0" xfId="20251" applyNumberFormat="1" applyFont="1" applyFill="1" applyBorder="1" applyProtection="1">
      <protection locked="0"/>
    </xf>
    <xf numFmtId="0" fontId="56" fillId="35" borderId="41" xfId="0" applyFont="1" applyFill="1" applyBorder="1" applyAlignment="1">
      <alignment horizontal="left"/>
    </xf>
    <xf numFmtId="43" fontId="56" fillId="35" borderId="41" xfId="4" applyFont="1" applyFill="1" applyBorder="1" applyAlignment="1" applyProtection="1">
      <alignment horizontal="center"/>
    </xf>
    <xf numFmtId="7" fontId="63" fillId="35" borderId="41" xfId="20251" applyNumberFormat="1" applyFont="1" applyFill="1" applyBorder="1" applyProtection="1">
      <protection locked="0"/>
    </xf>
    <xf numFmtId="43" fontId="63" fillId="0" borderId="0" xfId="0" applyNumberFormat="1" applyFont="1" applyProtection="1">
      <protection locked="0"/>
    </xf>
    <xf numFmtId="0" fontId="53" fillId="0" borderId="0" xfId="4" applyNumberFormat="1" applyFont="1" applyFill="1" applyBorder="1" applyAlignment="1" applyProtection="1">
      <alignment horizontal="center"/>
    </xf>
    <xf numFmtId="164" fontId="63" fillId="30" borderId="0" xfId="1" applyNumberFormat="1" applyFont="1" applyFill="1" applyProtection="1">
      <protection locked="0"/>
    </xf>
    <xf numFmtId="164" fontId="63" fillId="30" borderId="41" xfId="1" applyNumberFormat="1" applyFont="1" applyFill="1" applyBorder="1" applyProtection="1">
      <protection locked="0"/>
    </xf>
    <xf numFmtId="0" fontId="55" fillId="30" borderId="41" xfId="0" applyFont="1" applyFill="1" applyBorder="1"/>
    <xf numFmtId="44" fontId="56" fillId="32" borderId="68" xfId="20251" applyFont="1" applyFill="1" applyBorder="1" applyAlignment="1" applyProtection="1">
      <alignment horizontal="center"/>
    </xf>
    <xf numFmtId="8" fontId="63" fillId="30" borderId="44" xfId="20251" applyNumberFormat="1" applyFont="1" applyFill="1" applyBorder="1" applyProtection="1">
      <protection locked="0"/>
    </xf>
    <xf numFmtId="8" fontId="63" fillId="30" borderId="7" xfId="20251" applyNumberFormat="1" applyFont="1" applyFill="1" applyBorder="1" applyProtection="1">
      <protection locked="0"/>
    </xf>
    <xf numFmtId="44" fontId="63" fillId="30" borderId="44" xfId="20251" applyFont="1" applyFill="1" applyBorder="1" applyProtection="1">
      <protection locked="0"/>
    </xf>
    <xf numFmtId="44" fontId="63" fillId="30" borderId="7" xfId="20251" applyFont="1" applyFill="1" applyBorder="1" applyProtection="1">
      <protection locked="0"/>
    </xf>
    <xf numFmtId="5" fontId="56" fillId="30" borderId="0" xfId="20251" applyNumberFormat="1" applyFont="1" applyFill="1" applyBorder="1" applyProtection="1"/>
    <xf numFmtId="5" fontId="56" fillId="30" borderId="4" xfId="20251" applyNumberFormat="1" applyFont="1" applyFill="1" applyBorder="1" applyProtection="1"/>
    <xf numFmtId="37" fontId="56" fillId="30" borderId="0" xfId="20251" applyNumberFormat="1" applyFont="1" applyFill="1" applyBorder="1" applyProtection="1"/>
    <xf numFmtId="37" fontId="56" fillId="30" borderId="6" xfId="20251" applyNumberFormat="1" applyFont="1" applyFill="1" applyBorder="1" applyProtection="1"/>
    <xf numFmtId="37" fontId="56" fillId="30" borderId="34" xfId="20251" applyNumberFormat="1" applyFont="1" applyFill="1" applyBorder="1" applyProtection="1"/>
    <xf numFmtId="37" fontId="56" fillId="30" borderId="41" xfId="20251" applyNumberFormat="1" applyFont="1" applyFill="1" applyBorder="1" applyProtection="1"/>
    <xf numFmtId="37" fontId="56" fillId="30" borderId="56" xfId="20251" applyNumberFormat="1" applyFont="1" applyFill="1" applyBorder="1" applyProtection="1"/>
    <xf numFmtId="5" fontId="56" fillId="30" borderId="39" xfId="20251" applyNumberFormat="1" applyFont="1" applyFill="1" applyBorder="1" applyProtection="1"/>
    <xf numFmtId="5" fontId="56" fillId="30" borderId="48" xfId="20251" applyNumberFormat="1" applyFont="1" applyFill="1" applyBorder="1" applyProtection="1"/>
    <xf numFmtId="5" fontId="56" fillId="30" borderId="64" xfId="20251" applyNumberFormat="1" applyFont="1" applyFill="1" applyBorder="1" applyProtection="1"/>
    <xf numFmtId="37" fontId="56" fillId="30" borderId="36" xfId="20251" applyNumberFormat="1" applyFont="1" applyFill="1" applyBorder="1" applyProtection="1"/>
    <xf numFmtId="37" fontId="56" fillId="30" borderId="58" xfId="20251" applyNumberFormat="1" applyFont="1" applyFill="1" applyBorder="1" applyProtection="1"/>
    <xf numFmtId="37" fontId="56" fillId="30" borderId="44" xfId="20251" applyNumberFormat="1" applyFont="1" applyFill="1" applyBorder="1" applyProtection="1"/>
    <xf numFmtId="37" fontId="56" fillId="30" borderId="7" xfId="20251" applyNumberFormat="1" applyFont="1" applyFill="1" applyBorder="1" applyProtection="1"/>
    <xf numFmtId="5" fontId="56" fillId="30" borderId="6" xfId="20251" applyNumberFormat="1" applyFont="1" applyFill="1" applyBorder="1" applyProtection="1"/>
    <xf numFmtId="170" fontId="63" fillId="30" borderId="51" xfId="33021" applyNumberFormat="1" applyFont="1" applyFill="1" applyBorder="1" applyProtection="1">
      <protection locked="0"/>
    </xf>
    <xf numFmtId="170" fontId="63" fillId="30" borderId="49" xfId="33021" applyNumberFormat="1" applyFont="1" applyFill="1" applyBorder="1" applyProtection="1">
      <protection locked="0"/>
    </xf>
    <xf numFmtId="170" fontId="63" fillId="30" borderId="5" xfId="33021" applyNumberFormat="1" applyFont="1" applyFill="1" applyBorder="1" applyProtection="1">
      <protection locked="0"/>
    </xf>
    <xf numFmtId="0" fontId="92" fillId="30" borderId="54" xfId="0" applyFont="1" applyFill="1" applyBorder="1" applyAlignment="1">
      <alignment horizontal="center"/>
    </xf>
    <xf numFmtId="0" fontId="92" fillId="30" borderId="55" xfId="0" applyFont="1" applyFill="1" applyBorder="1" applyAlignment="1">
      <alignment horizontal="center"/>
    </xf>
    <xf numFmtId="0" fontId="56" fillId="30" borderId="66" xfId="0" applyFont="1" applyFill="1" applyBorder="1" applyProtection="1">
      <protection locked="0"/>
    </xf>
    <xf numFmtId="0" fontId="56" fillId="30" borderId="4" xfId="0" applyFont="1" applyFill="1" applyBorder="1" applyProtection="1">
      <protection locked="0"/>
    </xf>
    <xf numFmtId="0" fontId="56" fillId="30" borderId="67" xfId="0" applyFont="1" applyFill="1" applyBorder="1" applyProtection="1">
      <protection locked="0"/>
    </xf>
    <xf numFmtId="0" fontId="56" fillId="30" borderId="6" xfId="0" applyFont="1" applyFill="1" applyBorder="1" applyProtection="1">
      <protection locked="0"/>
    </xf>
    <xf numFmtId="0" fontId="56" fillId="30" borderId="68" xfId="0" applyFont="1" applyFill="1" applyBorder="1" applyProtection="1">
      <protection locked="0"/>
    </xf>
    <xf numFmtId="0" fontId="56" fillId="30" borderId="44" xfId="0" applyFont="1" applyFill="1" applyBorder="1" applyProtection="1">
      <protection locked="0"/>
    </xf>
    <xf numFmtId="0" fontId="56" fillId="30" borderId="7" xfId="0" applyFont="1" applyFill="1" applyBorder="1" applyProtection="1">
      <protection locked="0"/>
    </xf>
    <xf numFmtId="0" fontId="61" fillId="30" borderId="0" xfId="0" quotePrefix="1" applyFont="1" applyFill="1" applyAlignment="1">
      <alignment horizontal="center"/>
    </xf>
    <xf numFmtId="167" fontId="63" fillId="30" borderId="0" xfId="33021" applyNumberFormat="1" applyFont="1" applyFill="1" applyBorder="1" applyProtection="1">
      <protection locked="0"/>
    </xf>
    <xf numFmtId="181" fontId="63" fillId="35" borderId="0" xfId="33021" applyNumberFormat="1" applyFont="1" applyFill="1" applyBorder="1" applyProtection="1">
      <protection locked="0"/>
    </xf>
    <xf numFmtId="164" fontId="63" fillId="35" borderId="0" xfId="1" applyNumberFormat="1" applyFont="1" applyFill="1" applyProtection="1">
      <protection locked="0"/>
    </xf>
    <xf numFmtId="167" fontId="65" fillId="30" borderId="0" xfId="33021" applyNumberFormat="1" applyFont="1" applyFill="1" applyProtection="1">
      <protection locked="0"/>
    </xf>
    <xf numFmtId="0" fontId="56" fillId="30" borderId="67" xfId="0" quotePrefix="1" applyFont="1" applyFill="1" applyBorder="1" applyProtection="1">
      <protection locked="0"/>
    </xf>
    <xf numFmtId="0" fontId="56" fillId="30" borderId="66" xfId="0" quotePrefix="1" applyFont="1" applyFill="1" applyBorder="1" applyProtection="1">
      <protection locked="0"/>
    </xf>
    <xf numFmtId="0" fontId="56" fillId="30" borderId="65" xfId="0" quotePrefix="1" applyFont="1" applyFill="1" applyBorder="1" applyProtection="1">
      <protection locked="0"/>
    </xf>
    <xf numFmtId="38" fontId="56" fillId="30" borderId="0" xfId="0" quotePrefix="1" applyNumberFormat="1" applyFont="1" applyFill="1" applyProtection="1">
      <protection locked="0"/>
    </xf>
    <xf numFmtId="38" fontId="66" fillId="30" borderId="0" xfId="0" quotePrefix="1" applyNumberFormat="1" applyFont="1" applyFill="1" applyProtection="1">
      <protection locked="0"/>
    </xf>
    <xf numFmtId="0" fontId="61" fillId="30" borderId="46" xfId="0" applyFont="1" applyFill="1" applyBorder="1" applyAlignment="1">
      <alignment horizontal="center"/>
    </xf>
    <xf numFmtId="0" fontId="0" fillId="0" borderId="74" xfId="0" applyBorder="1"/>
    <xf numFmtId="0" fontId="61" fillId="30" borderId="46" xfId="0" applyFont="1" applyFill="1" applyBorder="1"/>
    <xf numFmtId="0" fontId="50" fillId="0" borderId="0" xfId="0" applyFont="1" applyAlignment="1">
      <alignment horizontal="center" wrapText="1"/>
    </xf>
    <xf numFmtId="43" fontId="0" fillId="0" borderId="0" xfId="0" applyNumberFormat="1" applyAlignment="1">
      <alignment horizontal="center"/>
    </xf>
    <xf numFmtId="7" fontId="0" fillId="0" borderId="0" xfId="0" applyNumberFormat="1"/>
    <xf numFmtId="0" fontId="0" fillId="0" borderId="41" xfId="0" applyBorder="1"/>
    <xf numFmtId="8" fontId="0" fillId="0" borderId="0" xfId="0" quotePrefix="1" applyNumberFormat="1" applyAlignment="1">
      <alignment horizontal="center"/>
    </xf>
    <xf numFmtId="167" fontId="0" fillId="0" borderId="0" xfId="0" applyNumberFormat="1"/>
    <xf numFmtId="0" fontId="0" fillId="0" borderId="41" xfId="0" applyBorder="1" applyAlignment="1">
      <alignment horizontal="center"/>
    </xf>
    <xf numFmtId="7" fontId="0" fillId="0" borderId="41" xfId="0" applyNumberFormat="1" applyBorder="1" applyAlignment="1">
      <alignment horizontal="right"/>
    </xf>
    <xf numFmtId="0" fontId="0" fillId="0" borderId="41" xfId="0" applyBorder="1" applyAlignment="1">
      <alignment horizontal="right"/>
    </xf>
    <xf numFmtId="44" fontId="0" fillId="0" borderId="0" xfId="0" applyNumberFormat="1"/>
    <xf numFmtId="168" fontId="0" fillId="0" borderId="0" xfId="0" applyNumberFormat="1"/>
    <xf numFmtId="0" fontId="0" fillId="0" borderId="0" xfId="0" applyProtection="1">
      <protection locked="0"/>
    </xf>
    <xf numFmtId="0" fontId="0" fillId="0" borderId="0" xfId="0" applyAlignment="1" applyProtection="1">
      <alignment horizontal="center"/>
      <protection locked="0"/>
    </xf>
    <xf numFmtId="43" fontId="0" fillId="0" borderId="0" xfId="0" applyNumberFormat="1" applyProtection="1">
      <protection locked="0"/>
    </xf>
    <xf numFmtId="7" fontId="0" fillId="0" borderId="0" xfId="0" applyNumberFormat="1" applyAlignment="1">
      <alignment horizontal="center"/>
    </xf>
    <xf numFmtId="7" fontId="0" fillId="0" borderId="0" xfId="0" quotePrefix="1" applyNumberFormat="1"/>
    <xf numFmtId="168" fontId="0" fillId="0" borderId="0" xfId="0" quotePrefix="1" applyNumberFormat="1"/>
    <xf numFmtId="173" fontId="0" fillId="0" borderId="0" xfId="0" applyNumberFormat="1" applyAlignment="1">
      <alignment horizontal="center"/>
    </xf>
    <xf numFmtId="4" fontId="0" fillId="0" borderId="0" xfId="0" applyNumberFormat="1" applyAlignment="1">
      <alignment horizontal="center"/>
    </xf>
    <xf numFmtId="4" fontId="98" fillId="30" borderId="0" xfId="33021" applyNumberFormat="1" applyFont="1" applyFill="1" applyAlignment="1" applyProtection="1">
      <protection locked="0"/>
    </xf>
    <xf numFmtId="0" fontId="56" fillId="30" borderId="1" xfId="0" applyFont="1" applyFill="1" applyBorder="1" applyAlignment="1" applyProtection="1">
      <alignment horizontal="right" vertical="center"/>
      <protection locked="0"/>
    </xf>
    <xf numFmtId="2" fontId="54" fillId="30" borderId="0" xfId="0" applyNumberFormat="1" applyFont="1" applyFill="1"/>
    <xf numFmtId="164" fontId="56" fillId="30" borderId="0" xfId="1" applyNumberFormat="1" applyFont="1" applyFill="1" applyAlignment="1" applyProtection="1">
      <alignment horizontal="right"/>
    </xf>
    <xf numFmtId="0" fontId="99" fillId="30" borderId="0" xfId="0" applyFont="1" applyFill="1" applyAlignment="1">
      <alignment wrapText="1"/>
    </xf>
    <xf numFmtId="38" fontId="56" fillId="32" borderId="44" xfId="20251" applyNumberFormat="1" applyFont="1" applyFill="1" applyBorder="1" applyProtection="1"/>
    <xf numFmtId="38" fontId="56" fillId="32" borderId="7" xfId="20251" applyNumberFormat="1" applyFont="1" applyFill="1" applyBorder="1" applyProtection="1"/>
    <xf numFmtId="0" fontId="50" fillId="34" borderId="0" xfId="0" applyFont="1" applyFill="1" applyAlignment="1">
      <alignment horizontal="left" vertical="center" wrapText="1"/>
    </xf>
    <xf numFmtId="0" fontId="50" fillId="30" borderId="0" xfId="0" applyFont="1" applyFill="1" applyAlignment="1">
      <alignment horizontal="center" vertical="center"/>
    </xf>
    <xf numFmtId="0" fontId="50" fillId="30" borderId="48" xfId="0" applyFont="1" applyFill="1" applyBorder="1" applyAlignment="1">
      <alignment horizontal="center" vertical="center"/>
    </xf>
    <xf numFmtId="0" fontId="89" fillId="34" borderId="0" xfId="0" applyFont="1" applyFill="1" applyAlignment="1">
      <alignment horizontal="left" vertical="center" wrapText="1"/>
    </xf>
    <xf numFmtId="0" fontId="11" fillId="34" borderId="0" xfId="0" applyFont="1" applyFill="1" applyAlignment="1">
      <alignment horizontal="left" vertical="center" wrapText="1"/>
    </xf>
    <xf numFmtId="0" fontId="91" fillId="34" borderId="48" xfId="0" applyFont="1" applyFill="1" applyBorder="1" applyAlignment="1">
      <alignment horizontal="center" vertical="center"/>
    </xf>
    <xf numFmtId="0" fontId="91" fillId="34" borderId="41" xfId="0" applyFont="1" applyFill="1" applyBorder="1" applyAlignment="1">
      <alignment horizontal="center" vertical="center"/>
    </xf>
    <xf numFmtId="0" fontId="50" fillId="30" borderId="41" xfId="0" applyFont="1" applyFill="1" applyBorder="1" applyAlignment="1">
      <alignment horizontal="center" vertical="center"/>
    </xf>
    <xf numFmtId="0" fontId="56" fillId="30" borderId="44" xfId="0" applyFont="1" applyFill="1" applyBorder="1" applyAlignment="1">
      <alignment horizontal="left"/>
    </xf>
    <xf numFmtId="0" fontId="56" fillId="30" borderId="0" xfId="0" applyFont="1" applyFill="1" applyAlignment="1">
      <alignment horizontal="left"/>
    </xf>
    <xf numFmtId="0" fontId="56" fillId="30" borderId="50" xfId="0" applyFont="1" applyFill="1" applyBorder="1" applyAlignment="1">
      <alignment horizontal="center" vertical="center" wrapText="1"/>
    </xf>
    <xf numFmtId="0" fontId="56" fillId="30" borderId="52" xfId="0" applyFont="1" applyFill="1" applyBorder="1" applyAlignment="1">
      <alignment horizontal="center" vertical="center" wrapText="1"/>
    </xf>
    <xf numFmtId="0" fontId="56" fillId="30" borderId="51" xfId="0" applyFont="1" applyFill="1" applyBorder="1" applyAlignment="1">
      <alignment horizontal="center" vertical="center" wrapText="1"/>
    </xf>
    <xf numFmtId="0" fontId="56" fillId="30" borderId="53" xfId="0" applyFont="1" applyFill="1" applyBorder="1" applyAlignment="1">
      <alignment horizontal="center" vertical="center" wrapText="1"/>
    </xf>
    <xf numFmtId="0" fontId="56" fillId="30" borderId="1" xfId="0" applyFont="1" applyFill="1" applyBorder="1" applyAlignment="1" applyProtection="1">
      <alignment horizontal="left" vertical="center"/>
      <protection locked="0"/>
    </xf>
    <xf numFmtId="0" fontId="56" fillId="30" borderId="2" xfId="0" applyFont="1" applyFill="1" applyBorder="1" applyAlignment="1" applyProtection="1">
      <alignment horizontal="left" vertical="center"/>
      <protection locked="0"/>
    </xf>
    <xf numFmtId="0" fontId="96" fillId="30" borderId="0" xfId="0" applyFont="1" applyFill="1" applyAlignment="1">
      <alignment horizontal="left" vertical="center" wrapText="1"/>
    </xf>
    <xf numFmtId="0" fontId="56" fillId="0" borderId="0" xfId="0" applyFont="1" applyAlignment="1">
      <alignment horizontal="left"/>
    </xf>
    <xf numFmtId="164" fontId="56" fillId="0" borderId="0" xfId="1" quotePrefix="1" applyNumberFormat="1" applyFont="1" applyBorder="1" applyAlignment="1">
      <alignment horizontal="left" wrapText="1"/>
    </xf>
    <xf numFmtId="164" fontId="56" fillId="0" borderId="44" xfId="1" quotePrefix="1" applyNumberFormat="1" applyFont="1" applyBorder="1" applyAlignment="1">
      <alignment horizontal="left" wrapText="1"/>
    </xf>
    <xf numFmtId="0" fontId="56" fillId="33" borderId="0" xfId="0" applyFont="1" applyFill="1" applyAlignment="1" applyProtection="1">
      <alignment horizontal="center"/>
      <protection locked="0"/>
    </xf>
    <xf numFmtId="0" fontId="55" fillId="33" borderId="0" xfId="0" applyFont="1" applyFill="1" applyAlignment="1" applyProtection="1">
      <alignment horizontal="left"/>
      <protection locked="0"/>
    </xf>
    <xf numFmtId="0" fontId="56" fillId="32" borderId="70" xfId="0" applyFont="1" applyFill="1" applyBorder="1" applyAlignment="1">
      <alignment horizontal="center" vertical="center"/>
    </xf>
    <xf numFmtId="0" fontId="56" fillId="32" borderId="1" xfId="0" applyFont="1" applyFill="1" applyBorder="1" applyAlignment="1">
      <alignment horizontal="center" vertical="center"/>
    </xf>
    <xf numFmtId="0" fontId="56" fillId="32" borderId="2" xfId="0" applyFont="1" applyFill="1" applyBorder="1" applyAlignment="1">
      <alignment horizontal="center" vertical="center"/>
    </xf>
    <xf numFmtId="0" fontId="56" fillId="32" borderId="69" xfId="0" applyFont="1" applyFill="1" applyBorder="1" applyAlignment="1">
      <alignment horizontal="center" vertical="center" wrapText="1"/>
    </xf>
    <xf numFmtId="0" fontId="56" fillId="32" borderId="58" xfId="0" applyFont="1" applyFill="1" applyBorder="1" applyAlignment="1">
      <alignment horizontal="center" vertical="center" wrapText="1"/>
    </xf>
    <xf numFmtId="0" fontId="56" fillId="32" borderId="50" xfId="0" applyFont="1" applyFill="1" applyBorder="1" applyAlignment="1">
      <alignment horizontal="center" vertical="center" wrapText="1"/>
    </xf>
    <xf numFmtId="0" fontId="56" fillId="32" borderId="52" xfId="0" applyFont="1" applyFill="1" applyBorder="1" applyAlignment="1">
      <alignment horizontal="center" vertical="center" wrapText="1"/>
    </xf>
    <xf numFmtId="0" fontId="55" fillId="30" borderId="57" xfId="0" applyFont="1" applyFill="1" applyBorder="1" applyAlignment="1" applyProtection="1">
      <alignment horizontal="left" vertical="center"/>
      <protection locked="0"/>
    </xf>
    <xf numFmtId="0" fontId="55" fillId="30" borderId="1" xfId="0" applyFont="1" applyFill="1" applyBorder="1" applyAlignment="1" applyProtection="1">
      <alignment horizontal="left" vertical="center"/>
      <protection locked="0"/>
    </xf>
    <xf numFmtId="0" fontId="55" fillId="30" borderId="46" xfId="0" applyFont="1" applyFill="1" applyBorder="1" applyAlignment="1">
      <alignment horizontal="center"/>
    </xf>
    <xf numFmtId="0" fontId="101" fillId="30" borderId="0" xfId="0" applyFont="1" applyFill="1" applyAlignment="1">
      <alignment horizontal="left" wrapText="1"/>
    </xf>
    <xf numFmtId="0" fontId="102" fillId="30" borderId="0" xfId="0" applyFont="1" applyFill="1" applyAlignment="1">
      <alignment horizontal="left" wrapText="1"/>
    </xf>
    <xf numFmtId="164" fontId="100" fillId="30" borderId="0" xfId="0" quotePrefix="1" applyNumberFormat="1" applyFont="1" applyFill="1" applyAlignment="1" applyProtection="1">
      <alignment horizontal="center" vertical="center"/>
      <protection locked="0"/>
    </xf>
    <xf numFmtId="164" fontId="55" fillId="30" borderId="0" xfId="0" quotePrefix="1" applyNumberFormat="1" applyFont="1" applyFill="1" applyAlignment="1" applyProtection="1">
      <alignment horizontal="center" vertical="center"/>
      <protection locked="0"/>
    </xf>
    <xf numFmtId="10" fontId="54" fillId="30" borderId="0" xfId="1" applyNumberFormat="1" applyFont="1" applyFill="1" applyAlignment="1" applyProtection="1">
      <alignment horizontal="center"/>
      <protection locked="0"/>
    </xf>
    <xf numFmtId="10" fontId="56" fillId="30" borderId="0" xfId="1" applyNumberFormat="1" applyFont="1" applyFill="1" applyAlignment="1" applyProtection="1">
      <alignment horizontal="center"/>
      <protection locked="0"/>
    </xf>
    <xf numFmtId="3" fontId="56" fillId="30" borderId="41" xfId="33021" applyNumberFormat="1" applyFont="1" applyFill="1" applyBorder="1" applyAlignment="1" applyProtection="1">
      <alignment horizontal="center"/>
      <protection locked="0"/>
    </xf>
    <xf numFmtId="10" fontId="56" fillId="30" borderId="41" xfId="1" applyNumberFormat="1" applyFont="1" applyFill="1" applyBorder="1" applyAlignment="1" applyProtection="1">
      <alignment horizontal="center"/>
      <protection locked="0"/>
    </xf>
    <xf numFmtId="3" fontId="56" fillId="30" borderId="0" xfId="33021" applyNumberFormat="1" applyFont="1" applyFill="1" applyAlignment="1" applyProtection="1">
      <alignment horizontal="center"/>
      <protection locked="0"/>
    </xf>
    <xf numFmtId="4" fontId="56" fillId="30" borderId="0" xfId="33021" applyNumberFormat="1" applyFont="1" applyFill="1" applyAlignment="1" applyProtection="1">
      <alignment horizontal="center"/>
      <protection locked="0"/>
    </xf>
    <xf numFmtId="0" fontId="56" fillId="30" borderId="48" xfId="0" applyFont="1" applyFill="1" applyBorder="1" applyAlignment="1">
      <alignment horizontal="center" wrapText="1"/>
    </xf>
    <xf numFmtId="0" fontId="56" fillId="30" borderId="41" xfId="0" applyFont="1" applyFill="1" applyBorder="1" applyAlignment="1">
      <alignment horizontal="center" wrapText="1"/>
    </xf>
    <xf numFmtId="0" fontId="55" fillId="30" borderId="46" xfId="0" applyFont="1" applyFill="1" applyBorder="1" applyAlignment="1">
      <alignment horizontal="left"/>
    </xf>
    <xf numFmtId="0" fontId="87" fillId="30" borderId="46" xfId="0" applyFont="1" applyFill="1" applyBorder="1" applyAlignment="1">
      <alignment horizontal="center"/>
    </xf>
    <xf numFmtId="0" fontId="56" fillId="30" borderId="41" xfId="0" applyFont="1" applyFill="1" applyBorder="1" applyAlignment="1">
      <alignment horizontal="left"/>
    </xf>
    <xf numFmtId="43" fontId="60" fillId="30" borderId="48" xfId="4" applyFont="1" applyFill="1" applyBorder="1" applyAlignment="1" applyProtection="1">
      <alignment horizontal="left" wrapText="1"/>
    </xf>
    <xf numFmtId="43" fontId="60" fillId="30" borderId="41" xfId="4" applyFont="1" applyFill="1" applyBorder="1" applyAlignment="1" applyProtection="1">
      <alignment horizontal="left" wrapText="1"/>
    </xf>
    <xf numFmtId="43" fontId="60" fillId="30" borderId="48" xfId="4" applyFont="1" applyFill="1" applyBorder="1" applyAlignment="1" applyProtection="1">
      <alignment horizontal="center" wrapText="1"/>
    </xf>
    <xf numFmtId="43" fontId="60" fillId="30" borderId="41" xfId="4" applyFont="1" applyFill="1" applyBorder="1" applyAlignment="1" applyProtection="1">
      <alignment horizontal="center" wrapText="1"/>
    </xf>
    <xf numFmtId="43" fontId="60" fillId="30" borderId="41" xfId="4" applyFont="1" applyFill="1" applyBorder="1" applyAlignment="1" applyProtection="1">
      <alignment horizontal="center"/>
    </xf>
    <xf numFmtId="0" fontId="71" fillId="30" borderId="0" xfId="0" applyFont="1" applyFill="1" applyAlignment="1">
      <alignment horizontal="center" wrapText="1"/>
    </xf>
    <xf numFmtId="0" fontId="58" fillId="0" borderId="48" xfId="0" applyFont="1" applyBorder="1" applyAlignment="1">
      <alignment horizontal="center" wrapText="1"/>
    </xf>
    <xf numFmtId="0" fontId="58" fillId="0" borderId="41" xfId="0" applyFont="1" applyBorder="1" applyAlignment="1">
      <alignment horizontal="center" wrapText="1"/>
    </xf>
    <xf numFmtId="0" fontId="58" fillId="30" borderId="48" xfId="0" applyFont="1" applyFill="1" applyBorder="1" applyAlignment="1">
      <alignment horizontal="center" wrapText="1"/>
    </xf>
    <xf numFmtId="0" fontId="58" fillId="30" borderId="41" xfId="0" applyFont="1" applyFill="1" applyBorder="1" applyAlignment="1">
      <alignment horizontal="center" wrapText="1"/>
    </xf>
    <xf numFmtId="0" fontId="61" fillId="30" borderId="48" xfId="0" applyFont="1" applyFill="1" applyBorder="1" applyAlignment="1">
      <alignment horizontal="left" vertical="center" wrapText="1"/>
    </xf>
    <xf numFmtId="0" fontId="61" fillId="30" borderId="41" xfId="0" applyFont="1" applyFill="1" applyBorder="1" applyAlignment="1">
      <alignment horizontal="left" vertical="center" wrapText="1"/>
    </xf>
    <xf numFmtId="0" fontId="54" fillId="30" borderId="39" xfId="0" applyFont="1" applyFill="1" applyBorder="1" applyAlignment="1" applyProtection="1">
      <alignment horizontal="center" vertical="center"/>
      <protection locked="0"/>
    </xf>
    <xf numFmtId="0" fontId="54" fillId="30" borderId="34" xfId="0" applyFont="1" applyFill="1" applyBorder="1" applyAlignment="1" applyProtection="1">
      <alignment horizontal="center" vertical="center"/>
      <protection locked="0"/>
    </xf>
    <xf numFmtId="0" fontId="61" fillId="30" borderId="74" xfId="0" applyFont="1" applyFill="1" applyBorder="1" applyAlignment="1">
      <alignment horizontal="center"/>
    </xf>
    <xf numFmtId="0" fontId="0" fillId="30" borderId="0" xfId="0" applyFill="1" applyAlignment="1">
      <alignment horizontal="left"/>
    </xf>
    <xf numFmtId="0" fontId="0" fillId="30" borderId="38" xfId="0" applyFill="1" applyBorder="1" applyAlignment="1">
      <alignment horizontal="center"/>
    </xf>
    <xf numFmtId="0" fontId="0" fillId="30" borderId="46" xfId="0" applyFill="1" applyBorder="1" applyAlignment="1">
      <alignment horizontal="center"/>
    </xf>
    <xf numFmtId="0" fontId="0" fillId="30" borderId="35" xfId="0" applyFill="1" applyBorder="1" applyAlignment="1">
      <alignment horizontal="center"/>
    </xf>
    <xf numFmtId="0" fontId="41" fillId="30" borderId="41" xfId="0" applyFont="1" applyFill="1" applyBorder="1" applyAlignment="1">
      <alignment horizontal="left"/>
    </xf>
    <xf numFmtId="0" fontId="0" fillId="30" borderId="0" xfId="0" applyFill="1" applyAlignment="1">
      <alignment horizontal="left" wrapText="1"/>
    </xf>
    <xf numFmtId="0" fontId="0" fillId="30" borderId="41" xfId="0" applyFill="1" applyBorder="1" applyAlignment="1">
      <alignment horizontal="left" wrapText="1"/>
    </xf>
    <xf numFmtId="0" fontId="0" fillId="30" borderId="0" xfId="0" applyFill="1" applyAlignment="1">
      <alignment horizontal="center"/>
    </xf>
    <xf numFmtId="0" fontId="0" fillId="30" borderId="41" xfId="0" applyFill="1" applyBorder="1" applyAlignment="1">
      <alignment horizontal="center"/>
    </xf>
    <xf numFmtId="0" fontId="0" fillId="30" borderId="41" xfId="0" applyFill="1" applyBorder="1" applyAlignment="1">
      <alignment horizontal="left"/>
    </xf>
    <xf numFmtId="0" fontId="0" fillId="30" borderId="45" xfId="0" applyFill="1" applyBorder="1" applyAlignment="1">
      <alignment horizontal="center"/>
    </xf>
    <xf numFmtId="0" fontId="0" fillId="30" borderId="5" xfId="0" applyFill="1" applyBorder="1" applyAlignment="1">
      <alignment horizontal="center"/>
    </xf>
    <xf numFmtId="0" fontId="0" fillId="30" borderId="47" xfId="0" applyFill="1" applyBorder="1" applyAlignment="1">
      <alignment horizontal="right" wrapText="1"/>
    </xf>
    <xf numFmtId="0" fontId="0" fillId="30" borderId="37" xfId="0" applyFill="1" applyBorder="1" applyAlignment="1">
      <alignment horizontal="right" wrapText="1"/>
    </xf>
    <xf numFmtId="0" fontId="0" fillId="30" borderId="39" xfId="0" applyFill="1" applyBorder="1" applyAlignment="1">
      <alignment horizontal="right" wrapText="1"/>
    </xf>
    <xf numFmtId="0" fontId="0" fillId="30" borderId="34" xfId="0" applyFill="1" applyBorder="1" applyAlignment="1">
      <alignment horizontal="right" wrapText="1"/>
    </xf>
    <xf numFmtId="0" fontId="0" fillId="30" borderId="41" xfId="0" applyFill="1" applyBorder="1" applyAlignment="1">
      <alignment horizontal="center" wrapText="1"/>
    </xf>
    <xf numFmtId="0" fontId="77" fillId="30" borderId="39" xfId="0" applyFont="1" applyFill="1" applyBorder="1" applyAlignment="1">
      <alignment horizontal="left" wrapText="1"/>
    </xf>
    <xf numFmtId="0" fontId="77" fillId="30" borderId="47" xfId="0" applyFont="1" applyFill="1" applyBorder="1" applyAlignment="1">
      <alignment horizontal="left" wrapText="1"/>
    </xf>
    <xf numFmtId="0" fontId="77" fillId="30" borderId="34" xfId="0" applyFont="1" applyFill="1" applyBorder="1" applyAlignment="1">
      <alignment horizontal="left" wrapText="1"/>
    </xf>
    <xf numFmtId="0" fontId="77" fillId="30" borderId="37" xfId="0" applyFont="1" applyFill="1" applyBorder="1" applyAlignment="1">
      <alignment horizontal="left" wrapText="1"/>
    </xf>
    <xf numFmtId="0" fontId="0" fillId="30" borderId="38" xfId="0" applyFill="1" applyBorder="1" applyAlignment="1">
      <alignment horizontal="center" wrapText="1"/>
    </xf>
    <xf numFmtId="0" fontId="0" fillId="30" borderId="35" xfId="0" applyFill="1" applyBorder="1" applyAlignment="1">
      <alignment horizontal="center" wrapText="1"/>
    </xf>
    <xf numFmtId="0" fontId="0" fillId="30" borderId="39" xfId="0" applyFill="1" applyBorder="1" applyAlignment="1">
      <alignment horizontal="center"/>
    </xf>
    <xf numFmtId="0" fontId="0" fillId="30" borderId="47" xfId="0" applyFill="1" applyBorder="1" applyAlignment="1">
      <alignment horizontal="center"/>
    </xf>
    <xf numFmtId="0" fontId="0" fillId="30" borderId="0" xfId="0" applyFill="1" applyAlignment="1">
      <alignment horizontal="right" wrapText="1"/>
    </xf>
    <xf numFmtId="0" fontId="56" fillId="30" borderId="0" xfId="0" applyFont="1" applyFill="1" applyAlignment="1">
      <alignment horizontal="left" wrapText="1"/>
    </xf>
    <xf numFmtId="43" fontId="48" fillId="0" borderId="41" xfId="4" applyFont="1" applyBorder="1" applyAlignment="1" applyProtection="1">
      <alignment horizontal="center"/>
    </xf>
    <xf numFmtId="43" fontId="43" fillId="0" borderId="41" xfId="4" applyFont="1" applyBorder="1" applyAlignment="1" applyProtection="1">
      <alignment horizontal="center"/>
    </xf>
    <xf numFmtId="43" fontId="43" fillId="0" borderId="0" xfId="4" applyFont="1" applyBorder="1" applyAlignment="1" applyProtection="1">
      <alignment horizontal="center" wrapText="1"/>
    </xf>
    <xf numFmtId="0" fontId="56" fillId="30" borderId="0" xfId="0" quotePrefix="1" applyFont="1" applyFill="1" applyAlignment="1">
      <alignment horizontal="center"/>
    </xf>
    <xf numFmtId="0" fontId="66" fillId="30" borderId="48" xfId="0" quotePrefix="1" applyFont="1" applyFill="1" applyBorder="1" applyAlignment="1">
      <alignment horizontal="center"/>
    </xf>
    <xf numFmtId="0" fontId="56" fillId="30" borderId="48" xfId="0" quotePrefix="1" applyFont="1" applyFill="1" applyBorder="1" applyAlignment="1">
      <alignment horizontal="center"/>
    </xf>
    <xf numFmtId="0" fontId="56" fillId="30" borderId="0" xfId="0" applyFont="1" applyFill="1" applyAlignment="1">
      <alignment horizontal="right" wrapText="1"/>
    </xf>
    <xf numFmtId="0" fontId="56" fillId="30" borderId="41" xfId="0" applyFont="1" applyFill="1" applyBorder="1" applyAlignment="1">
      <alignment horizontal="right" wrapText="1"/>
    </xf>
    <xf numFmtId="0" fontId="56" fillId="30" borderId="41" xfId="0" applyFont="1" applyFill="1" applyBorder="1" applyAlignment="1">
      <alignment horizontal="left" wrapText="1"/>
    </xf>
    <xf numFmtId="0" fontId="0" fillId="0" borderId="0" xfId="0" quotePrefix="1" applyAlignment="1">
      <alignment horizontal="center"/>
    </xf>
    <xf numFmtId="0" fontId="52" fillId="0" borderId="0" xfId="0" applyFont="1" applyAlignment="1">
      <alignment horizontal="center" wrapText="1"/>
    </xf>
    <xf numFmtId="0" fontId="52" fillId="0" borderId="41" xfId="0" applyFont="1" applyBorder="1" applyAlignment="1">
      <alignment horizontal="center" wrapText="1"/>
    </xf>
    <xf numFmtId="0" fontId="56" fillId="30" borderId="1" xfId="0" applyFont="1" applyFill="1" applyBorder="1" applyAlignment="1">
      <alignment horizontal="center" vertical="center"/>
    </xf>
    <xf numFmtId="0" fontId="56" fillId="30" borderId="2" xfId="0" applyFont="1" applyFill="1" applyBorder="1" applyAlignment="1">
      <alignment horizontal="center" vertical="center"/>
    </xf>
    <xf numFmtId="0" fontId="58" fillId="30" borderId="48" xfId="0" applyFont="1" applyFill="1" applyBorder="1" applyAlignment="1">
      <alignment horizontal="right" wrapText="1"/>
    </xf>
    <xf numFmtId="0" fontId="58" fillId="30" borderId="41" xfId="0" applyFont="1" applyFill="1" applyBorder="1" applyAlignment="1">
      <alignment horizontal="right" wrapText="1"/>
    </xf>
    <xf numFmtId="0" fontId="56" fillId="30" borderId="48" xfId="0" applyFont="1" applyFill="1" applyBorder="1" applyAlignment="1">
      <alignment horizontal="center"/>
    </xf>
    <xf numFmtId="0" fontId="56" fillId="30" borderId="41" xfId="0" applyFont="1" applyFill="1" applyBorder="1" applyAlignment="1">
      <alignment horizontal="center"/>
    </xf>
    <xf numFmtId="0" fontId="57" fillId="30" borderId="0" xfId="0" applyFont="1" applyFill="1" applyAlignment="1">
      <alignment horizontal="left"/>
    </xf>
    <xf numFmtId="0" fontId="57" fillId="30" borderId="48" xfId="0" applyFont="1" applyFill="1" applyBorder="1" applyAlignment="1">
      <alignment horizontal="left" wrapText="1"/>
    </xf>
    <xf numFmtId="0" fontId="57" fillId="30" borderId="0" xfId="0" applyFont="1" applyFill="1" applyAlignment="1">
      <alignment horizontal="left" wrapText="1"/>
    </xf>
    <xf numFmtId="0" fontId="80" fillId="30" borderId="0" xfId="0" applyFont="1" applyFill="1" applyAlignment="1">
      <alignment horizontal="left" wrapText="1"/>
    </xf>
    <xf numFmtId="0" fontId="80" fillId="30" borderId="41" xfId="0" applyFont="1" applyFill="1" applyBorder="1" applyAlignment="1">
      <alignment horizontal="left" wrapText="1"/>
    </xf>
    <xf numFmtId="0" fontId="56" fillId="30" borderId="48" xfId="0" applyFont="1" applyFill="1" applyBorder="1" applyAlignment="1">
      <alignment horizontal="right" wrapText="1"/>
    </xf>
    <xf numFmtId="0" fontId="56" fillId="36" borderId="65" xfId="0" applyFont="1" applyFill="1" applyBorder="1" applyProtection="1">
      <protection locked="0"/>
    </xf>
    <xf numFmtId="0" fontId="56" fillId="36" borderId="66" xfId="0" quotePrefix="1" applyFont="1" applyFill="1" applyBorder="1" applyProtection="1">
      <protection locked="0"/>
    </xf>
    <xf numFmtId="0" fontId="56" fillId="36" borderId="67" xfId="0" quotePrefix="1" applyFont="1" applyFill="1" applyBorder="1" applyProtection="1">
      <protection locked="0"/>
    </xf>
    <xf numFmtId="43" fontId="56" fillId="36" borderId="0" xfId="0" quotePrefix="1" applyNumberFormat="1" applyFont="1" applyFill="1" applyProtection="1">
      <protection locked="0"/>
    </xf>
    <xf numFmtId="169" fontId="56" fillId="36" borderId="0" xfId="0" quotePrefix="1" applyNumberFormat="1" applyFont="1" applyFill="1" applyProtection="1">
      <protection locked="0"/>
    </xf>
    <xf numFmtId="43" fontId="56" fillId="36" borderId="6" xfId="0" quotePrefix="1" applyNumberFormat="1" applyFont="1" applyFill="1" applyBorder="1" applyProtection="1">
      <protection locked="0"/>
    </xf>
    <xf numFmtId="0" fontId="56" fillId="36" borderId="6" xfId="0" applyFont="1" applyFill="1" applyBorder="1" applyProtection="1">
      <protection locked="0"/>
    </xf>
    <xf numFmtId="0" fontId="56" fillId="36" borderId="68" xfId="0" applyFont="1" applyFill="1" applyBorder="1" applyProtection="1">
      <protection locked="0"/>
    </xf>
    <xf numFmtId="0" fontId="56" fillId="36" borderId="44" xfId="0" applyFont="1" applyFill="1" applyBorder="1" applyProtection="1">
      <protection locked="0"/>
    </xf>
    <xf numFmtId="169" fontId="56" fillId="36" borderId="44" xfId="0" quotePrefix="1" applyNumberFormat="1" applyFont="1" applyFill="1" applyBorder="1" applyProtection="1">
      <protection locked="0"/>
    </xf>
    <xf numFmtId="0" fontId="56" fillId="36" borderId="7" xfId="0" applyFont="1" applyFill="1" applyBorder="1" applyProtection="1">
      <protection locked="0"/>
    </xf>
    <xf numFmtId="5" fontId="56" fillId="36" borderId="47" xfId="20251" applyNumberFormat="1" applyFont="1" applyFill="1" applyBorder="1" applyAlignment="1" applyProtection="1">
      <alignment horizontal="right"/>
      <protection locked="0"/>
    </xf>
    <xf numFmtId="38" fontId="56" fillId="36" borderId="40" xfId="33021" applyNumberFormat="1" applyFont="1" applyFill="1" applyBorder="1" applyAlignment="1" applyProtection="1">
      <alignment horizontal="right"/>
      <protection locked="0"/>
    </xf>
    <xf numFmtId="5" fontId="56" fillId="36" borderId="40" xfId="33021" applyNumberFormat="1" applyFont="1" applyFill="1" applyBorder="1" applyAlignment="1" applyProtection="1">
      <alignment horizontal="right"/>
      <protection locked="0"/>
    </xf>
    <xf numFmtId="41" fontId="56" fillId="36" borderId="40" xfId="33021" applyNumberFormat="1" applyFont="1" applyFill="1" applyBorder="1" applyAlignment="1" applyProtection="1">
      <alignment horizontal="right"/>
      <protection locked="0"/>
    </xf>
    <xf numFmtId="5" fontId="56" fillId="36" borderId="49" xfId="33021" applyNumberFormat="1" applyFont="1" applyFill="1" applyBorder="1" applyAlignment="1" applyProtection="1">
      <alignment horizontal="right"/>
      <protection locked="0"/>
    </xf>
    <xf numFmtId="5" fontId="56" fillId="36" borderId="5" xfId="33021" applyNumberFormat="1" applyFont="1" applyFill="1" applyBorder="1" applyAlignment="1" applyProtection="1">
      <alignment horizontal="right"/>
      <protection locked="0"/>
    </xf>
    <xf numFmtId="0" fontId="0" fillId="36" borderId="4" xfId="0" quotePrefix="1" applyFill="1" applyBorder="1" applyProtection="1">
      <protection locked="0"/>
    </xf>
    <xf numFmtId="0" fontId="0" fillId="36" borderId="6" xfId="0" applyFill="1" applyBorder="1" applyProtection="1">
      <protection locked="0"/>
    </xf>
    <xf numFmtId="0" fontId="70" fillId="0" borderId="0" xfId="0" applyFont="1" applyAlignment="1" applyProtection="1">
      <alignment horizontal="right"/>
      <protection locked="0"/>
    </xf>
    <xf numFmtId="0" fontId="0" fillId="30" borderId="0" xfId="0" applyFill="1" applyProtection="1"/>
    <xf numFmtId="0" fontId="55" fillId="30" borderId="38" xfId="0" applyFont="1" applyFill="1" applyBorder="1" applyAlignment="1" applyProtection="1">
      <alignment horizontal="center"/>
    </xf>
    <xf numFmtId="0" fontId="55" fillId="30" borderId="46" xfId="0" applyFont="1" applyFill="1" applyBorder="1" applyAlignment="1" applyProtection="1">
      <alignment horizontal="center"/>
    </xf>
    <xf numFmtId="0" fontId="55" fillId="30" borderId="48" xfId="0" applyFont="1" applyFill="1" applyBorder="1" applyAlignment="1" applyProtection="1">
      <alignment horizontal="center"/>
    </xf>
    <xf numFmtId="0" fontId="55" fillId="30" borderId="35" xfId="0" applyFont="1" applyFill="1" applyBorder="1" applyAlignment="1" applyProtection="1">
      <alignment horizontal="center"/>
    </xf>
    <xf numFmtId="0" fontId="0" fillId="30" borderId="45" xfId="0" applyFill="1" applyBorder="1" applyProtection="1"/>
    <xf numFmtId="0" fontId="56" fillId="30" borderId="38" xfId="0" applyFont="1" applyFill="1" applyBorder="1" applyAlignment="1" applyProtection="1">
      <alignment horizontal="center"/>
    </xf>
    <xf numFmtId="0" fontId="56" fillId="30" borderId="46" xfId="0" applyFont="1" applyFill="1" applyBorder="1" applyAlignment="1" applyProtection="1">
      <alignment horizontal="center"/>
    </xf>
    <xf numFmtId="0" fontId="56" fillId="30" borderId="35" xfId="0" applyFont="1" applyFill="1" applyBorder="1" applyAlignment="1" applyProtection="1">
      <alignment horizontal="center"/>
    </xf>
    <xf numFmtId="0" fontId="56" fillId="30" borderId="38" xfId="0" applyFont="1" applyFill="1" applyBorder="1" applyAlignment="1" applyProtection="1">
      <alignment horizontal="center" wrapText="1"/>
    </xf>
    <xf numFmtId="0" fontId="56" fillId="30" borderId="46" xfId="0" applyFont="1" applyFill="1" applyBorder="1" applyAlignment="1" applyProtection="1">
      <alignment horizontal="center" wrapText="1"/>
    </xf>
    <xf numFmtId="0" fontId="56" fillId="30" borderId="35" xfId="0" applyFont="1" applyFill="1" applyBorder="1" applyAlignment="1" applyProtection="1">
      <alignment horizontal="center" wrapText="1"/>
    </xf>
    <xf numFmtId="0" fontId="56" fillId="32" borderId="38" xfId="0" applyFont="1" applyFill="1" applyBorder="1" applyAlignment="1" applyProtection="1">
      <alignment horizontal="center" wrapText="1"/>
    </xf>
    <xf numFmtId="0" fontId="56" fillId="32" borderId="46" xfId="0" applyFont="1" applyFill="1" applyBorder="1" applyAlignment="1" applyProtection="1">
      <alignment horizontal="center" wrapText="1"/>
    </xf>
    <xf numFmtId="0" fontId="56" fillId="32" borderId="35" xfId="0" applyFont="1" applyFill="1" applyBorder="1" applyAlignment="1" applyProtection="1">
      <alignment horizontal="center" wrapText="1"/>
    </xf>
    <xf numFmtId="0" fontId="56" fillId="30" borderId="5" xfId="0" applyFont="1" applyFill="1" applyBorder="1" applyProtection="1"/>
    <xf numFmtId="0" fontId="56" fillId="30" borderId="41" xfId="0" applyFont="1" applyFill="1" applyBorder="1" applyAlignment="1" applyProtection="1">
      <alignment horizontal="center"/>
    </xf>
    <xf numFmtId="0" fontId="56" fillId="30" borderId="41" xfId="0" applyFont="1" applyFill="1" applyBorder="1" applyAlignment="1" applyProtection="1">
      <alignment horizontal="right"/>
    </xf>
    <xf numFmtId="0" fontId="56" fillId="30" borderId="41" xfId="0" applyFont="1" applyFill="1" applyBorder="1" applyAlignment="1" applyProtection="1">
      <alignment horizontal="right" wrapText="1"/>
    </xf>
    <xf numFmtId="0" fontId="56" fillId="30" borderId="71" xfId="0" applyFont="1" applyFill="1" applyBorder="1" applyAlignment="1" applyProtection="1">
      <alignment horizontal="right" wrapText="1"/>
    </xf>
    <xf numFmtId="0" fontId="56" fillId="32" borderId="38" xfId="0" applyFont="1" applyFill="1" applyBorder="1" applyAlignment="1" applyProtection="1">
      <alignment horizontal="center"/>
    </xf>
    <xf numFmtId="0" fontId="56" fillId="32" borderId="46" xfId="0" applyFont="1" applyFill="1" applyBorder="1" applyProtection="1"/>
    <xf numFmtId="0" fontId="56" fillId="32" borderId="35" xfId="0" applyFont="1" applyFill="1" applyBorder="1" applyAlignment="1" applyProtection="1">
      <alignment horizontal="right" wrapText="1"/>
    </xf>
    <xf numFmtId="0" fontId="56" fillId="30" borderId="72" xfId="0" applyFont="1" applyFill="1" applyBorder="1" applyProtection="1"/>
    <xf numFmtId="37" fontId="56" fillId="30" borderId="0" xfId="33021" applyNumberFormat="1" applyFont="1" applyFill="1" applyBorder="1" applyAlignment="1" applyProtection="1">
      <alignment horizontal="right"/>
    </xf>
    <xf numFmtId="7" fontId="56" fillId="30" borderId="0" xfId="33021" applyNumberFormat="1" applyFont="1" applyFill="1" applyBorder="1" applyAlignment="1" applyProtection="1">
      <alignment horizontal="right" vertical="center"/>
    </xf>
    <xf numFmtId="7" fontId="56" fillId="30" borderId="0" xfId="0" applyNumberFormat="1" applyFont="1" applyFill="1" applyAlignment="1" applyProtection="1">
      <alignment horizontal="right"/>
    </xf>
    <xf numFmtId="39" fontId="56" fillId="30" borderId="0" xfId="0" applyNumberFormat="1" applyFont="1" applyFill="1" applyAlignment="1" applyProtection="1">
      <alignment horizontal="right"/>
    </xf>
    <xf numFmtId="7" fontId="56" fillId="30" borderId="73" xfId="0" applyNumberFormat="1" applyFont="1" applyFill="1" applyBorder="1" applyAlignment="1" applyProtection="1">
      <alignment horizontal="right"/>
    </xf>
    <xf numFmtId="10" fontId="56" fillId="32" borderId="0" xfId="0" applyNumberFormat="1" applyFont="1" applyFill="1" applyAlignment="1" applyProtection="1">
      <alignment horizontal="right"/>
    </xf>
    <xf numFmtId="10" fontId="56" fillId="32" borderId="40" xfId="0" applyNumberFormat="1" applyFont="1" applyFill="1" applyBorder="1" applyAlignment="1" applyProtection="1">
      <alignment horizontal="right"/>
    </xf>
    <xf numFmtId="0" fontId="56" fillId="30" borderId="49" xfId="0" applyFont="1" applyFill="1" applyBorder="1" applyProtection="1"/>
    <xf numFmtId="7" fontId="56" fillId="30" borderId="40" xfId="0" applyNumberFormat="1" applyFont="1" applyFill="1" applyBorder="1" applyAlignment="1" applyProtection="1">
      <alignment horizontal="right"/>
    </xf>
    <xf numFmtId="7" fontId="56" fillId="30" borderId="0" xfId="0" quotePrefix="1" applyNumberFormat="1" applyFont="1" applyFill="1" applyAlignment="1" applyProtection="1">
      <alignment horizontal="right"/>
    </xf>
    <xf numFmtId="7" fontId="56" fillId="30" borderId="40" xfId="0" quotePrefix="1" applyNumberFormat="1" applyFont="1" applyFill="1" applyBorder="1" applyAlignment="1" applyProtection="1">
      <alignment horizontal="right"/>
    </xf>
    <xf numFmtId="37" fontId="56" fillId="30" borderId="34" xfId="33021" applyNumberFormat="1" applyFont="1" applyFill="1" applyBorder="1" applyAlignment="1" applyProtection="1">
      <alignment horizontal="right"/>
    </xf>
    <xf numFmtId="7" fontId="56" fillId="30" borderId="41" xfId="33021" applyNumberFormat="1" applyFont="1" applyFill="1" applyBorder="1" applyAlignment="1" applyProtection="1">
      <alignment horizontal="right" vertical="center"/>
    </xf>
    <xf numFmtId="7" fontId="56" fillId="30" borderId="41" xfId="0" applyNumberFormat="1" applyFont="1" applyFill="1" applyBorder="1" applyAlignment="1" applyProtection="1">
      <alignment horizontal="right"/>
    </xf>
    <xf numFmtId="39" fontId="56" fillId="30" borderId="41" xfId="0" applyNumberFormat="1" applyFont="1" applyFill="1" applyBorder="1" applyAlignment="1" applyProtection="1">
      <alignment horizontal="right"/>
    </xf>
    <xf numFmtId="10" fontId="56" fillId="32" borderId="41" xfId="0" applyNumberFormat="1" applyFont="1" applyFill="1" applyBorder="1" applyAlignment="1" applyProtection="1">
      <alignment horizontal="right"/>
    </xf>
    <xf numFmtId="10" fontId="56" fillId="32" borderId="37" xfId="0" applyNumberFormat="1" applyFont="1" applyFill="1" applyBorder="1" applyAlignment="1" applyProtection="1">
      <alignment horizontal="right"/>
    </xf>
    <xf numFmtId="0" fontId="92" fillId="30" borderId="0" xfId="0" applyFont="1" applyFill="1" applyAlignment="1" applyProtection="1">
      <alignment horizontal="center"/>
    </xf>
    <xf numFmtId="0" fontId="0" fillId="0" borderId="0" xfId="0" applyProtection="1"/>
    <xf numFmtId="0" fontId="55" fillId="30" borderId="74" xfId="0" applyFont="1" applyFill="1" applyBorder="1" applyAlignment="1" applyProtection="1">
      <alignment horizontal="left"/>
    </xf>
    <xf numFmtId="0" fontId="56" fillId="30" borderId="46" xfId="0" applyFont="1" applyFill="1" applyBorder="1" applyProtection="1"/>
    <xf numFmtId="0" fontId="55" fillId="30" borderId="46" xfId="0" applyFont="1" applyFill="1" applyBorder="1" applyAlignment="1" applyProtection="1">
      <alignment horizontal="right"/>
    </xf>
    <xf numFmtId="0" fontId="55" fillId="32" borderId="74" xfId="0" applyFont="1" applyFill="1" applyBorder="1" applyAlignment="1" applyProtection="1">
      <alignment horizontal="right"/>
    </xf>
    <xf numFmtId="0" fontId="56" fillId="30" borderId="47" xfId="0" applyFont="1" applyFill="1" applyBorder="1" applyProtection="1"/>
    <xf numFmtId="0" fontId="56" fillId="30" borderId="40" xfId="0" applyFont="1" applyFill="1" applyBorder="1" applyProtection="1"/>
    <xf numFmtId="0" fontId="56" fillId="30" borderId="0" xfId="0" applyFont="1" applyFill="1" applyProtection="1"/>
    <xf numFmtId="0" fontId="97" fillId="30" borderId="0" xfId="0" applyFont="1" applyFill="1" applyProtection="1"/>
    <xf numFmtId="0" fontId="97" fillId="30" borderId="41" xfId="0" applyFont="1" applyFill="1" applyBorder="1" applyProtection="1"/>
    <xf numFmtId="5" fontId="56" fillId="30" borderId="47" xfId="20251" applyNumberFormat="1" applyFont="1" applyFill="1" applyBorder="1" applyAlignment="1" applyProtection="1">
      <alignment horizontal="right"/>
    </xf>
    <xf numFmtId="5" fontId="56" fillId="32" borderId="39" xfId="20251" applyNumberFormat="1" applyFont="1" applyFill="1" applyBorder="1" applyAlignment="1" applyProtection="1">
      <alignment horizontal="right"/>
    </xf>
    <xf numFmtId="38" fontId="56" fillId="30" borderId="40" xfId="33021" applyNumberFormat="1" applyFont="1" applyFill="1" applyBorder="1" applyAlignment="1" applyProtection="1">
      <alignment horizontal="right"/>
    </xf>
    <xf numFmtId="37" fontId="56" fillId="32" borderId="36" xfId="20251" applyNumberFormat="1" applyFont="1" applyFill="1" applyBorder="1" applyAlignment="1" applyProtection="1">
      <alignment horizontal="right"/>
    </xf>
    <xf numFmtId="5" fontId="56" fillId="30" borderId="40" xfId="33021" applyNumberFormat="1" applyFont="1" applyFill="1" applyBorder="1" applyAlignment="1" applyProtection="1">
      <alignment horizontal="right"/>
    </xf>
    <xf numFmtId="5" fontId="56" fillId="32" borderId="36" xfId="20251" applyNumberFormat="1" applyFont="1" applyFill="1" applyBorder="1" applyAlignment="1" applyProtection="1">
      <alignment horizontal="right"/>
    </xf>
    <xf numFmtId="41" fontId="56" fillId="30" borderId="40" xfId="33021" applyNumberFormat="1" applyFont="1" applyFill="1" applyBorder="1" applyAlignment="1" applyProtection="1">
      <alignment horizontal="right"/>
    </xf>
    <xf numFmtId="5" fontId="56" fillId="30" borderId="49" xfId="33021" applyNumberFormat="1" applyFont="1" applyFill="1" applyBorder="1" applyAlignment="1" applyProtection="1">
      <alignment horizontal="right"/>
    </xf>
    <xf numFmtId="5" fontId="56" fillId="30" borderId="5" xfId="33021" applyNumberFormat="1" applyFont="1" applyFill="1" applyBorder="1" applyAlignment="1" applyProtection="1">
      <alignment horizontal="right"/>
    </xf>
    <xf numFmtId="5" fontId="56" fillId="32" borderId="34" xfId="20251" applyNumberFormat="1" applyFont="1" applyFill="1" applyBorder="1" applyAlignment="1" applyProtection="1">
      <alignment horizontal="right"/>
    </xf>
    <xf numFmtId="5" fontId="56" fillId="30" borderId="0" xfId="20251" applyNumberFormat="1" applyFont="1" applyFill="1" applyBorder="1" applyAlignment="1" applyProtection="1">
      <alignment horizontal="right"/>
    </xf>
    <xf numFmtId="169" fontId="56" fillId="30" borderId="0" xfId="20251" applyNumberFormat="1" applyFont="1" applyFill="1" applyBorder="1" applyAlignment="1" applyProtection="1">
      <alignment horizontal="right"/>
    </xf>
    <xf numFmtId="0" fontId="92" fillId="30" borderId="0" xfId="0" applyFont="1" applyFill="1" applyAlignment="1" applyProtection="1">
      <alignment horizontal="left" wrapText="1"/>
    </xf>
    <xf numFmtId="0" fontId="55" fillId="30" borderId="0" xfId="0" applyFont="1" applyFill="1" applyAlignment="1" applyProtection="1">
      <alignment horizontal="center" wrapText="1"/>
    </xf>
    <xf numFmtId="0" fontId="55" fillId="30" borderId="44" xfId="0" applyFont="1" applyFill="1" applyBorder="1" applyAlignment="1" applyProtection="1">
      <alignment horizontal="center" wrapText="1"/>
    </xf>
    <xf numFmtId="0" fontId="56" fillId="30" borderId="0" xfId="0" applyFont="1" applyFill="1" applyAlignment="1" applyProtection="1">
      <alignment horizontal="right"/>
    </xf>
    <xf numFmtId="0" fontId="55" fillId="30" borderId="0" xfId="0" applyFont="1" applyFill="1" applyProtection="1"/>
    <xf numFmtId="0" fontId="55" fillId="30" borderId="0" xfId="0" applyFont="1" applyFill="1" applyAlignment="1" applyProtection="1">
      <alignment horizontal="right"/>
    </xf>
    <xf numFmtId="10" fontId="56" fillId="30" borderId="0" xfId="0" applyNumberFormat="1" applyFont="1" applyFill="1" applyProtection="1"/>
    <xf numFmtId="0" fontId="92" fillId="30" borderId="0" xfId="0" applyFont="1" applyFill="1" applyAlignment="1" applyProtection="1">
      <alignment wrapText="1"/>
    </xf>
    <xf numFmtId="0" fontId="55" fillId="30" borderId="0" xfId="0" applyFont="1" applyFill="1" applyAlignment="1" applyProtection="1">
      <alignment wrapText="1"/>
    </xf>
    <xf numFmtId="0" fontId="56" fillId="30" borderId="0" xfId="0" quotePrefix="1" applyFont="1" applyFill="1" applyProtection="1"/>
    <xf numFmtId="0" fontId="0" fillId="30" borderId="41" xfId="0" applyFill="1" applyBorder="1" applyProtection="1"/>
    <xf numFmtId="0" fontId="54" fillId="30" borderId="48" xfId="0" applyFont="1" applyFill="1" applyBorder="1" applyAlignment="1" applyProtection="1">
      <alignment horizontal="center"/>
    </xf>
    <xf numFmtId="0" fontId="59" fillId="30" borderId="48" xfId="0" applyFont="1" applyFill="1" applyBorder="1" applyAlignment="1" applyProtection="1">
      <alignment horizontal="right" wrapText="1"/>
    </xf>
    <xf numFmtId="0" fontId="59" fillId="0" borderId="48" xfId="0" applyFont="1" applyBorder="1" applyAlignment="1" applyProtection="1">
      <alignment horizontal="right" wrapText="1"/>
    </xf>
    <xf numFmtId="0" fontId="59" fillId="0" borderId="48" xfId="0" applyFont="1" applyBorder="1" applyAlignment="1" applyProtection="1">
      <alignment horizontal="center" wrapText="1"/>
    </xf>
    <xf numFmtId="0" fontId="59" fillId="30" borderId="48" xfId="0" applyFont="1" applyFill="1" applyBorder="1" applyAlignment="1" applyProtection="1">
      <alignment horizontal="center" wrapText="1"/>
    </xf>
    <xf numFmtId="0" fontId="61" fillId="30" borderId="48" xfId="0" applyFont="1" applyFill="1" applyBorder="1" applyAlignment="1" applyProtection="1">
      <alignment vertical="center"/>
    </xf>
    <xf numFmtId="0" fontId="54" fillId="30" borderId="0" xfId="0" applyFont="1" applyFill="1" applyAlignment="1" applyProtection="1">
      <alignment horizontal="center"/>
    </xf>
    <xf numFmtId="0" fontId="59" fillId="30" borderId="41" xfId="0" applyFont="1" applyFill="1" applyBorder="1" applyAlignment="1" applyProtection="1">
      <alignment horizontal="right" wrapText="1"/>
    </xf>
    <xf numFmtId="0" fontId="59" fillId="0" borderId="41" xfId="0" applyFont="1" applyBorder="1" applyAlignment="1" applyProtection="1">
      <alignment horizontal="right" wrapText="1"/>
    </xf>
    <xf numFmtId="0" fontId="59" fillId="0" borderId="41" xfId="0" applyFont="1" applyBorder="1" applyAlignment="1" applyProtection="1">
      <alignment horizontal="center" wrapText="1"/>
    </xf>
    <xf numFmtId="0" fontId="59" fillId="30" borderId="41" xfId="0" applyFont="1" applyFill="1" applyBorder="1" applyAlignment="1" applyProtection="1">
      <alignment horizontal="center" wrapText="1"/>
    </xf>
    <xf numFmtId="0" fontId="0" fillId="0" borderId="74" xfId="0" applyBorder="1" applyProtection="1"/>
    <xf numFmtId="0" fontId="54" fillId="30" borderId="41" xfId="0" applyFont="1" applyFill="1" applyBorder="1" applyAlignment="1" applyProtection="1">
      <alignment horizontal="center"/>
    </xf>
    <xf numFmtId="0" fontId="61" fillId="0" borderId="74" xfId="0" applyFont="1" applyBorder="1" applyAlignment="1" applyProtection="1">
      <alignment horizontal="center"/>
    </xf>
    <xf numFmtId="0" fontId="54" fillId="0" borderId="0" xfId="0" applyFont="1" applyProtection="1"/>
    <xf numFmtId="0" fontId="0" fillId="0" borderId="0" xfId="0" quotePrefix="1" applyProtection="1"/>
    <xf numFmtId="0" fontId="54" fillId="0" borderId="0" xfId="0" quotePrefix="1" applyFont="1" applyAlignment="1" applyProtection="1">
      <alignment horizontal="center"/>
    </xf>
    <xf numFmtId="4" fontId="64" fillId="0" borderId="0" xfId="33021" applyNumberFormat="1" applyFont="1" applyFill="1" applyProtection="1"/>
    <xf numFmtId="4" fontId="64" fillId="0" borderId="0" xfId="0" applyNumberFormat="1" applyFont="1" applyProtection="1"/>
    <xf numFmtId="4" fontId="64" fillId="0" borderId="0" xfId="33021" applyNumberFormat="1" applyFont="1" applyProtection="1"/>
    <xf numFmtId="0" fontId="54" fillId="0" borderId="0" xfId="0" applyFont="1" applyAlignment="1" applyProtection="1">
      <alignment horizontal="center"/>
    </xf>
    <xf numFmtId="4" fontId="64" fillId="0" borderId="0" xfId="33021" quotePrefix="1" applyNumberFormat="1" applyFont="1" applyProtection="1"/>
    <xf numFmtId="0" fontId="56" fillId="0" borderId="0" xfId="0" applyFont="1" applyAlignment="1" applyProtection="1">
      <alignment horizontal="center"/>
    </xf>
    <xf numFmtId="9" fontId="64" fillId="0" borderId="0" xfId="1" quotePrefix="1" applyFont="1" applyProtection="1"/>
    <xf numFmtId="0" fontId="56" fillId="0" borderId="0" xfId="0" applyFont="1" applyAlignment="1" applyProtection="1">
      <alignment horizontal="left"/>
    </xf>
    <xf numFmtId="0" fontId="56" fillId="0" borderId="0" xfId="0" applyFont="1" applyProtection="1"/>
    <xf numFmtId="0" fontId="54" fillId="0" borderId="41" xfId="0" applyFont="1" applyBorder="1" applyProtection="1"/>
    <xf numFmtId="0" fontId="54" fillId="0" borderId="41" xfId="0" quotePrefix="1" applyFont="1" applyBorder="1" applyAlignment="1" applyProtection="1">
      <alignment horizontal="center"/>
    </xf>
    <xf numFmtId="0" fontId="54" fillId="30" borderId="0" xfId="0" applyFont="1" applyFill="1" applyProtection="1"/>
    <xf numFmtId="0" fontId="56" fillId="32" borderId="0" xfId="0" quotePrefix="1" applyFont="1" applyFill="1" applyProtection="1"/>
    <xf numFmtId="0" fontId="60" fillId="30" borderId="48" xfId="33022" applyFont="1" applyFill="1" applyBorder="1" applyAlignment="1" applyProtection="1">
      <alignment horizontal="center" wrapText="1"/>
    </xf>
    <xf numFmtId="0" fontId="60" fillId="30" borderId="48" xfId="33022" applyFont="1" applyFill="1" applyBorder="1" applyAlignment="1" applyProtection="1">
      <alignment horizontal="center" vertical="center" wrapText="1"/>
    </xf>
    <xf numFmtId="0" fontId="60" fillId="30" borderId="41" xfId="33022" applyFont="1" applyFill="1" applyBorder="1" applyAlignment="1" applyProtection="1">
      <alignment horizontal="center" wrapText="1"/>
    </xf>
    <xf numFmtId="0" fontId="60" fillId="30" borderId="41" xfId="33022" applyFont="1" applyFill="1" applyBorder="1" applyAlignment="1" applyProtection="1">
      <alignment horizontal="center" vertical="center" wrapText="1"/>
    </xf>
    <xf numFmtId="0" fontId="60" fillId="30" borderId="41" xfId="33022" applyFont="1" applyFill="1" applyBorder="1" applyAlignment="1" applyProtection="1">
      <alignment horizontal="center" vertical="center"/>
    </xf>
    <xf numFmtId="0" fontId="60" fillId="30" borderId="41" xfId="33022" applyFont="1" applyFill="1" applyBorder="1" applyAlignment="1" applyProtection="1">
      <alignment horizontal="center" vertical="center" wrapText="1"/>
    </xf>
    <xf numFmtId="0" fontId="60" fillId="0" borderId="0" xfId="33022" applyFont="1" applyProtection="1"/>
    <xf numFmtId="0" fontId="59" fillId="0" borderId="0" xfId="33022" applyFont="1" applyAlignment="1" applyProtection="1">
      <alignment horizontal="center" vertical="center" wrapText="1"/>
    </xf>
    <xf numFmtId="0" fontId="59" fillId="0" borderId="0" xfId="33022" applyFont="1" applyAlignment="1" applyProtection="1">
      <alignment horizontal="center" vertical="center"/>
    </xf>
    <xf numFmtId="0" fontId="61" fillId="0" borderId="46" xfId="33022" applyFont="1" applyBorder="1" applyAlignment="1" applyProtection="1">
      <alignment horizontal="center"/>
    </xf>
    <xf numFmtId="0" fontId="0" fillId="30" borderId="0" xfId="0" quotePrefix="1" applyFill="1" applyProtection="1"/>
    <xf numFmtId="0" fontId="82" fillId="0" borderId="46" xfId="0" applyFont="1" applyBorder="1" applyAlignment="1" applyProtection="1">
      <alignment horizontal="center"/>
    </xf>
    <xf numFmtId="0" fontId="56" fillId="30" borderId="0" xfId="0" applyFont="1" applyFill="1" applyAlignment="1" applyProtection="1">
      <alignment horizontal="center"/>
    </xf>
    <xf numFmtId="0" fontId="0" fillId="30" borderId="48" xfId="0" applyFill="1" applyBorder="1" applyProtection="1"/>
    <xf numFmtId="9" fontId="59" fillId="0" borderId="48" xfId="0" applyNumberFormat="1" applyFont="1" applyBorder="1" applyAlignment="1" applyProtection="1">
      <alignment horizontal="center" wrapText="1"/>
    </xf>
    <xf numFmtId="0" fontId="0" fillId="0" borderId="41" xfId="0" applyBorder="1" applyProtection="1"/>
    <xf numFmtId="0" fontId="60" fillId="0" borderId="41" xfId="0" applyFont="1" applyBorder="1" applyProtection="1"/>
    <xf numFmtId="170" fontId="59" fillId="30" borderId="41" xfId="4" applyNumberFormat="1" applyFont="1" applyFill="1" applyBorder="1" applyAlignment="1" applyProtection="1">
      <alignment horizontal="right"/>
    </xf>
    <xf numFmtId="170" fontId="59" fillId="0" borderId="41" xfId="4" applyNumberFormat="1" applyFont="1" applyFill="1" applyBorder="1" applyAlignment="1" applyProtection="1">
      <alignment horizontal="right"/>
    </xf>
    <xf numFmtId="167" fontId="59" fillId="0" borderId="0" xfId="0" applyNumberFormat="1" applyFont="1" applyProtection="1"/>
    <xf numFmtId="167" fontId="59" fillId="0" borderId="0" xfId="0" applyNumberFormat="1" applyFont="1" applyAlignment="1" applyProtection="1">
      <alignment horizontal="right"/>
    </xf>
    <xf numFmtId="0" fontId="82" fillId="0" borderId="74" xfId="0" applyFont="1" applyBorder="1" applyAlignment="1" applyProtection="1">
      <alignment horizontal="center"/>
    </xf>
    <xf numFmtId="0" fontId="54" fillId="0" borderId="0" xfId="33022" applyFont="1" applyProtection="1"/>
    <xf numFmtId="0" fontId="61" fillId="0" borderId="74" xfId="33022" applyFont="1" applyBorder="1" applyAlignment="1" applyProtection="1">
      <alignment horizontal="center"/>
    </xf>
    <xf numFmtId="0" fontId="54" fillId="0" borderId="41" xfId="33022" applyFont="1" applyBorder="1" applyProtection="1"/>
    <xf numFmtId="0" fontId="55" fillId="30" borderId="44" xfId="0" quotePrefix="1" applyFont="1" applyFill="1" applyBorder="1" applyProtection="1"/>
    <xf numFmtId="173" fontId="55" fillId="30" borderId="44" xfId="0" quotePrefix="1" applyNumberFormat="1" applyFont="1" applyFill="1" applyBorder="1" applyAlignment="1" applyProtection="1">
      <alignment horizontal="right"/>
    </xf>
    <xf numFmtId="4" fontId="55" fillId="30" borderId="44" xfId="0" quotePrefix="1" applyNumberFormat="1" applyFont="1" applyFill="1" applyBorder="1" applyProtection="1"/>
    <xf numFmtId="0" fontId="56" fillId="30" borderId="44" xfId="0" applyFont="1" applyFill="1" applyBorder="1" applyProtection="1"/>
    <xf numFmtId="173" fontId="56" fillId="30" borderId="44" xfId="0" applyNumberFormat="1" applyFont="1" applyFill="1" applyBorder="1" applyProtection="1"/>
    <xf numFmtId="0" fontId="67" fillId="30" borderId="63" xfId="0" quotePrefix="1" applyFont="1" applyFill="1" applyBorder="1" applyAlignment="1" applyProtection="1">
      <alignment horizontal="left"/>
    </xf>
    <xf numFmtId="0" fontId="67" fillId="30" borderId="63" xfId="0" quotePrefix="1" applyFont="1" applyFill="1" applyBorder="1" applyProtection="1"/>
    <xf numFmtId="0" fontId="68" fillId="30" borderId="46" xfId="0" applyFont="1" applyFill="1" applyBorder="1" applyAlignment="1" applyProtection="1">
      <alignment horizontal="left"/>
    </xf>
    <xf numFmtId="173" fontId="68" fillId="30" borderId="46" xfId="0" applyNumberFormat="1" applyFont="1" applyFill="1" applyBorder="1" applyAlignment="1" applyProtection="1">
      <alignment horizontal="right"/>
    </xf>
    <xf numFmtId="4" fontId="68" fillId="30" borderId="46" xfId="0" applyNumberFormat="1" applyFont="1" applyFill="1" applyBorder="1" applyProtection="1"/>
    <xf numFmtId="0" fontId="56" fillId="30" borderId="46" xfId="0" applyFont="1" applyFill="1" applyBorder="1" applyAlignment="1" applyProtection="1">
      <alignment horizontal="center"/>
    </xf>
    <xf numFmtId="173" fontId="56" fillId="30" borderId="46" xfId="0" applyNumberFormat="1" applyFont="1" applyFill="1" applyBorder="1" applyAlignment="1" applyProtection="1">
      <alignment horizontal="right"/>
    </xf>
    <xf numFmtId="173" fontId="0" fillId="30" borderId="46" xfId="0" applyNumberFormat="1" applyFill="1" applyBorder="1" applyProtection="1"/>
    <xf numFmtId="0" fontId="56" fillId="30" borderId="48" xfId="0" applyFont="1" applyFill="1" applyBorder="1" applyAlignment="1" applyProtection="1">
      <alignment horizontal="left"/>
    </xf>
    <xf numFmtId="7" fontId="56" fillId="30" borderId="0" xfId="0" applyNumberFormat="1" applyFont="1" applyFill="1" applyAlignment="1" applyProtection="1">
      <alignment horizontal="center"/>
    </xf>
    <xf numFmtId="173" fontId="56" fillId="30" borderId="0" xfId="0" applyNumberFormat="1" applyFont="1" applyFill="1" applyProtection="1"/>
    <xf numFmtId="173" fontId="0" fillId="30" borderId="0" xfId="0" applyNumberFormat="1" applyFill="1" applyProtection="1"/>
    <xf numFmtId="4" fontId="56" fillId="30" borderId="0" xfId="0" applyNumberFormat="1" applyFont="1" applyFill="1" applyProtection="1"/>
    <xf numFmtId="173" fontId="56" fillId="30" borderId="0" xfId="20251" applyNumberFormat="1" applyFont="1" applyFill="1" applyProtection="1"/>
    <xf numFmtId="0" fontId="56" fillId="30" borderId="0" xfId="0" applyFont="1" applyFill="1" applyAlignment="1" applyProtection="1">
      <alignment horizontal="left"/>
    </xf>
    <xf numFmtId="173" fontId="66" fillId="30" borderId="0" xfId="20251" applyNumberFormat="1" applyFont="1" applyFill="1" applyProtection="1"/>
    <xf numFmtId="173" fontId="55" fillId="30" borderId="0" xfId="0" applyNumberFormat="1" applyFont="1" applyFill="1" applyAlignment="1" applyProtection="1">
      <alignment horizontal="right"/>
    </xf>
    <xf numFmtId="4" fontId="55" fillId="30" borderId="0" xfId="0" applyNumberFormat="1" applyFont="1" applyFill="1" applyProtection="1"/>
    <xf numFmtId="173" fontId="55" fillId="30" borderId="0" xfId="0" applyNumberFormat="1" applyFont="1" applyFill="1" applyProtection="1"/>
    <xf numFmtId="173" fontId="56" fillId="30" borderId="0" xfId="0" applyNumberFormat="1" applyFont="1" applyFill="1" applyAlignment="1" applyProtection="1">
      <alignment horizontal="right"/>
    </xf>
    <xf numFmtId="0" fontId="76" fillId="30" borderId="41" xfId="0" applyFont="1" applyFill="1" applyBorder="1" applyProtection="1"/>
    <xf numFmtId="173" fontId="56" fillId="30" borderId="41" xfId="0" applyNumberFormat="1" applyFont="1" applyFill="1" applyBorder="1" applyAlignment="1" applyProtection="1">
      <alignment horizontal="right"/>
    </xf>
    <xf numFmtId="4" fontId="56" fillId="30" borderId="41" xfId="0" applyNumberFormat="1" applyFont="1" applyFill="1" applyBorder="1" applyAlignment="1" applyProtection="1">
      <alignment horizontal="right"/>
    </xf>
    <xf numFmtId="0" fontId="56" fillId="30" borderId="0" xfId="0" applyFont="1" applyFill="1" applyAlignment="1" applyProtection="1">
      <alignment horizontal="center"/>
    </xf>
    <xf numFmtId="173" fontId="56" fillId="30" borderId="0" xfId="0" applyNumberFormat="1" applyFont="1" applyFill="1" applyAlignment="1" applyProtection="1">
      <alignment horizontal="center"/>
    </xf>
    <xf numFmtId="4" fontId="56" fillId="30" borderId="0" xfId="0" applyNumberFormat="1" applyFont="1" applyFill="1" applyAlignment="1" applyProtection="1">
      <alignment horizontal="right"/>
    </xf>
    <xf numFmtId="0" fontId="0" fillId="30" borderId="0" xfId="33021" applyNumberFormat="1" applyFont="1" applyFill="1" applyProtection="1"/>
    <xf numFmtId="4" fontId="56" fillId="30" borderId="0" xfId="0" applyNumberFormat="1" applyFont="1" applyFill="1" applyAlignment="1" applyProtection="1">
      <alignment horizontal="center"/>
    </xf>
    <xf numFmtId="4" fontId="0" fillId="30" borderId="0" xfId="0" applyNumberFormat="1" applyFill="1" applyProtection="1"/>
    <xf numFmtId="4" fontId="56" fillId="30" borderId="0" xfId="33021" applyNumberFormat="1" applyFont="1" applyFill="1" applyAlignment="1" applyProtection="1">
      <alignment horizontal="right"/>
    </xf>
    <xf numFmtId="4" fontId="56" fillId="30" borderId="0" xfId="0" quotePrefix="1" applyNumberFormat="1" applyFont="1" applyFill="1" applyAlignment="1" applyProtection="1">
      <alignment horizontal="right"/>
    </xf>
    <xf numFmtId="173" fontId="56" fillId="30" borderId="0" xfId="0" quotePrefix="1" applyNumberFormat="1" applyFont="1" applyFill="1" applyAlignment="1" applyProtection="1">
      <alignment horizontal="center"/>
    </xf>
    <xf numFmtId="173" fontId="56" fillId="30" borderId="0" xfId="0" quotePrefix="1" applyNumberFormat="1" applyFont="1" applyFill="1" applyAlignment="1" applyProtection="1">
      <alignment horizontal="right"/>
    </xf>
    <xf numFmtId="0" fontId="56" fillId="30" borderId="0" xfId="0" quotePrefix="1" applyFont="1" applyFill="1" applyAlignment="1" applyProtection="1">
      <alignment horizontal="left"/>
    </xf>
    <xf numFmtId="0" fontId="56" fillId="30" borderId="0" xfId="0" quotePrefix="1" applyFont="1" applyFill="1" applyAlignment="1" applyProtection="1">
      <alignment horizontal="center"/>
    </xf>
    <xf numFmtId="0" fontId="69" fillId="33" borderId="0" xfId="0" applyFont="1" applyFill="1" applyProtection="1"/>
    <xf numFmtId="0" fontId="56" fillId="30" borderId="0" xfId="0" applyFont="1" applyFill="1" applyAlignment="1" applyProtection="1">
      <alignment horizontal="left"/>
    </xf>
    <xf numFmtId="164" fontId="56" fillId="30" borderId="0" xfId="1" applyNumberFormat="1" applyFont="1" applyFill="1" applyProtection="1"/>
    <xf numFmtId="173" fontId="66" fillId="30" borderId="0" xfId="0" applyNumberFormat="1" applyFont="1" applyFill="1" applyProtection="1"/>
    <xf numFmtId="173" fontId="66" fillId="30" borderId="0" xfId="0" applyNumberFormat="1" applyFont="1" applyFill="1" applyAlignment="1" applyProtection="1">
      <alignment horizontal="right"/>
    </xf>
    <xf numFmtId="173" fontId="0" fillId="30" borderId="0" xfId="0" applyNumberFormat="1" applyFill="1" applyAlignment="1" applyProtection="1">
      <alignment horizontal="right"/>
    </xf>
    <xf numFmtId="0" fontId="55" fillId="30" borderId="41" xfId="0" applyFont="1" applyFill="1" applyBorder="1" applyProtection="1"/>
    <xf numFmtId="173" fontId="55" fillId="30" borderId="41" xfId="0" applyNumberFormat="1" applyFont="1" applyFill="1" applyBorder="1" applyAlignment="1" applyProtection="1">
      <alignment horizontal="right"/>
    </xf>
    <xf numFmtId="4" fontId="76" fillId="30" borderId="41" xfId="0" applyNumberFormat="1" applyFont="1" applyFill="1" applyBorder="1" applyProtection="1"/>
    <xf numFmtId="0" fontId="56" fillId="30" borderId="41" xfId="0" applyFont="1" applyFill="1" applyBorder="1" applyProtection="1"/>
    <xf numFmtId="173" fontId="56" fillId="30" borderId="41" xfId="0" applyNumberFormat="1" applyFont="1" applyFill="1" applyBorder="1" applyProtection="1"/>
    <xf numFmtId="173" fontId="56" fillId="30" borderId="41" xfId="0" applyNumberFormat="1" applyFont="1" applyFill="1" applyBorder="1" applyAlignment="1" applyProtection="1">
      <alignment horizontal="center"/>
    </xf>
    <xf numFmtId="0" fontId="56" fillId="30" borderId="48" xfId="0" applyFont="1" applyFill="1" applyBorder="1" applyAlignment="1" applyProtection="1">
      <alignment horizontal="left"/>
    </xf>
    <xf numFmtId="173" fontId="56" fillId="30" borderId="0" xfId="0" applyNumberFormat="1" applyFont="1" applyFill="1" applyAlignment="1" applyProtection="1">
      <alignment horizontal="left"/>
    </xf>
    <xf numFmtId="4" fontId="66" fillId="30" borderId="0" xfId="0" applyNumberFormat="1" applyFont="1" applyFill="1" applyProtection="1"/>
    <xf numFmtId="173" fontId="56" fillId="30" borderId="0" xfId="0" applyNumberFormat="1" applyFont="1" applyFill="1" applyAlignment="1" applyProtection="1">
      <alignment horizontal="left"/>
    </xf>
    <xf numFmtId="4" fontId="66" fillId="30" borderId="0" xfId="0" applyNumberFormat="1" applyFont="1" applyFill="1" applyAlignment="1" applyProtection="1">
      <alignment horizontal="right"/>
    </xf>
    <xf numFmtId="0" fontId="69" fillId="31" borderId="0" xfId="0" applyFont="1" applyFill="1" applyAlignment="1" applyProtection="1">
      <alignment horizontal="left"/>
    </xf>
    <xf numFmtId="173" fontId="0" fillId="30" borderId="0" xfId="0" quotePrefix="1" applyNumberFormat="1" applyFill="1" applyProtection="1"/>
    <xf numFmtId="0" fontId="55" fillId="30" borderId="0" xfId="0" applyFont="1" applyFill="1" applyAlignment="1" applyProtection="1">
      <alignment horizontal="left"/>
    </xf>
    <xf numFmtId="173" fontId="55" fillId="30" borderId="0" xfId="0" quotePrefix="1" applyNumberFormat="1" applyFont="1" applyFill="1" applyAlignment="1" applyProtection="1">
      <alignment horizontal="right"/>
    </xf>
    <xf numFmtId="0" fontId="55" fillId="30" borderId="41" xfId="0" applyFont="1" applyFill="1" applyBorder="1" applyAlignment="1" applyProtection="1">
      <alignment horizontal="left"/>
    </xf>
    <xf numFmtId="173" fontId="55" fillId="30" borderId="41" xfId="0" applyNumberFormat="1" applyFont="1" applyFill="1" applyBorder="1" applyProtection="1"/>
    <xf numFmtId="0" fontId="56" fillId="30" borderId="0" xfId="0" quotePrefix="1" applyFont="1" applyFill="1" applyAlignment="1" applyProtection="1">
      <alignment horizontal="left"/>
    </xf>
    <xf numFmtId="0" fontId="55" fillId="30" borderId="41" xfId="0" applyFont="1" applyFill="1" applyBorder="1" applyAlignment="1" applyProtection="1">
      <alignment horizontal="left"/>
    </xf>
    <xf numFmtId="4" fontId="56" fillId="30" borderId="0" xfId="0" applyNumberFormat="1" applyFont="1" applyFill="1" applyAlignment="1" applyProtection="1">
      <alignment horizontal="left"/>
    </xf>
    <xf numFmtId="0" fontId="69" fillId="31" borderId="0" xfId="0" applyFont="1" applyFill="1" applyAlignment="1" applyProtection="1">
      <alignment horizontal="left"/>
    </xf>
    <xf numFmtId="0" fontId="55" fillId="30" borderId="0" xfId="0" applyFont="1" applyFill="1" applyAlignment="1" applyProtection="1">
      <alignment horizontal="left"/>
    </xf>
    <xf numFmtId="39" fontId="56" fillId="30" borderId="0" xfId="33021" applyNumberFormat="1" applyFont="1" applyFill="1" applyProtection="1"/>
    <xf numFmtId="4" fontId="69" fillId="33" borderId="41" xfId="0" applyNumberFormat="1" applyFont="1" applyFill="1" applyBorder="1" applyAlignment="1" applyProtection="1">
      <alignment horizontal="right"/>
    </xf>
    <xf numFmtId="0" fontId="69" fillId="33" borderId="41" xfId="0" applyFont="1" applyFill="1" applyBorder="1" applyAlignment="1" applyProtection="1">
      <alignment horizontal="center"/>
    </xf>
    <xf numFmtId="173" fontId="69" fillId="33" borderId="41" xfId="0" applyNumberFormat="1" applyFont="1" applyFill="1" applyBorder="1" applyAlignment="1" applyProtection="1">
      <alignment horizontal="right"/>
    </xf>
    <xf numFmtId="164" fontId="56" fillId="30" borderId="0" xfId="0" applyNumberFormat="1" applyFont="1" applyFill="1" applyProtection="1"/>
    <xf numFmtId="0" fontId="55" fillId="30" borderId="44" xfId="0" quotePrefix="1" applyFont="1" applyFill="1" applyBorder="1" applyAlignment="1" applyProtection="1">
      <alignment horizontal="center"/>
    </xf>
    <xf numFmtId="173" fontId="55" fillId="30" borderId="44" xfId="0" quotePrefix="1" applyNumberFormat="1" applyFont="1" applyFill="1" applyBorder="1" applyAlignment="1" applyProtection="1">
      <alignment horizontal="center"/>
    </xf>
    <xf numFmtId="4" fontId="55" fillId="30" borderId="44" xfId="0" quotePrefix="1" applyNumberFormat="1" applyFont="1" applyFill="1" applyBorder="1" applyAlignment="1" applyProtection="1">
      <alignment horizontal="center"/>
    </xf>
    <xf numFmtId="0" fontId="56" fillId="30" borderId="44" xfId="0" quotePrefix="1" applyFont="1" applyFill="1" applyBorder="1" applyAlignment="1" applyProtection="1">
      <alignment horizontal="center"/>
    </xf>
    <xf numFmtId="173" fontId="56" fillId="30" borderId="44" xfId="0" quotePrefix="1" applyNumberFormat="1" applyFont="1" applyFill="1" applyBorder="1" applyAlignment="1" applyProtection="1">
      <alignment horizontal="center"/>
    </xf>
    <xf numFmtId="3" fontId="56" fillId="30" borderId="0" xfId="0" applyNumberFormat="1" applyFont="1" applyFill="1" applyProtection="1"/>
    <xf numFmtId="4" fontId="66" fillId="30" borderId="0" xfId="20251" applyNumberFormat="1" applyFont="1" applyFill="1" applyProtection="1"/>
    <xf numFmtId="177" fontId="56" fillId="30" borderId="0" xfId="1" applyNumberFormat="1" applyFont="1" applyFill="1" applyBorder="1" applyAlignment="1" applyProtection="1">
      <alignment horizontal="right"/>
    </xf>
    <xf numFmtId="173" fontId="56" fillId="30" borderId="0" xfId="0" quotePrefix="1" applyNumberFormat="1" applyFont="1" applyFill="1" applyAlignment="1" applyProtection="1">
      <alignment horizontal="left"/>
    </xf>
    <xf numFmtId="173" fontId="56" fillId="0" borderId="0" xfId="0" applyNumberFormat="1" applyFont="1" applyAlignment="1" applyProtection="1">
      <alignment horizontal="center"/>
    </xf>
    <xf numFmtId="173" fontId="56" fillId="0" borderId="0" xfId="0" applyNumberFormat="1" applyFont="1" applyProtection="1"/>
    <xf numFmtId="173" fontId="0" fillId="0" borderId="0" xfId="0" applyNumberFormat="1" applyProtection="1"/>
    <xf numFmtId="0" fontId="56" fillId="30" borderId="0" xfId="0" quotePrefix="1" applyFont="1" applyFill="1" applyAlignment="1" applyProtection="1">
      <alignment horizontal="left" wrapText="1"/>
    </xf>
    <xf numFmtId="0" fontId="56" fillId="30" borderId="0" xfId="0" applyFont="1" applyFill="1" applyAlignment="1" applyProtection="1">
      <alignment wrapText="1"/>
    </xf>
    <xf numFmtId="173" fontId="0" fillId="30" borderId="44" xfId="0" applyNumberFormat="1" applyFill="1" applyBorder="1" applyProtection="1"/>
    <xf numFmtId="0" fontId="67" fillId="30" borderId="41" xfId="0" quotePrefix="1" applyFont="1" applyFill="1" applyBorder="1" applyAlignment="1" applyProtection="1">
      <alignment horizontal="left"/>
    </xf>
    <xf numFmtId="0" fontId="76" fillId="30" borderId="41" xfId="0" applyFont="1" applyFill="1" applyBorder="1" applyAlignment="1" applyProtection="1">
      <alignment horizontal="left"/>
    </xf>
    <xf numFmtId="173" fontId="56" fillId="33" borderId="41" xfId="0" applyNumberFormat="1" applyFont="1" applyFill="1" applyBorder="1" applyAlignment="1" applyProtection="1">
      <alignment horizontal="right"/>
    </xf>
    <xf numFmtId="8" fontId="0" fillId="30" borderId="0" xfId="0" quotePrefix="1" applyNumberFormat="1" applyFill="1" applyProtection="1"/>
    <xf numFmtId="173" fontId="56" fillId="30" borderId="0" xfId="33021" applyNumberFormat="1" applyFont="1" applyFill="1" applyAlignment="1" applyProtection="1">
      <alignment horizontal="right"/>
    </xf>
    <xf numFmtId="0" fontId="56" fillId="30" borderId="48" xfId="0" applyFont="1" applyFill="1" applyBorder="1" applyAlignment="1" applyProtection="1">
      <alignment horizontal="left" wrapText="1"/>
    </xf>
    <xf numFmtId="0" fontId="56" fillId="30" borderId="0" xfId="0" applyFont="1" applyFill="1" applyAlignment="1" applyProtection="1">
      <alignment horizontal="left" wrapText="1"/>
    </xf>
  </cellXfs>
  <cellStyles count="33024">
    <cellStyle name="20% - Accent1 10" xfId="9" xr:uid="{00000000-0005-0000-0000-000000000000}"/>
    <cellStyle name="20% - Accent1 2" xfId="10" xr:uid="{00000000-0005-0000-0000-000001000000}"/>
    <cellStyle name="20% - Accent1 2 10" xfId="11" xr:uid="{00000000-0005-0000-0000-000002000000}"/>
    <cellStyle name="20% - Accent1 2 2" xfId="12" xr:uid="{00000000-0005-0000-0000-000003000000}"/>
    <cellStyle name="20% - Accent1 2 2 2" xfId="13" xr:uid="{00000000-0005-0000-0000-000004000000}"/>
    <cellStyle name="20% - Accent1 2 2 2 2" xfId="14" xr:uid="{00000000-0005-0000-0000-000005000000}"/>
    <cellStyle name="20% - Accent1 2 2 3" xfId="15" xr:uid="{00000000-0005-0000-0000-000006000000}"/>
    <cellStyle name="20% - Accent1 2 3" xfId="16" xr:uid="{00000000-0005-0000-0000-000007000000}"/>
    <cellStyle name="20% - Accent1 2 3 2" xfId="17" xr:uid="{00000000-0005-0000-0000-000008000000}"/>
    <cellStyle name="20% - Accent1 2 3 2 2" xfId="18" xr:uid="{00000000-0005-0000-0000-000009000000}"/>
    <cellStyle name="20% - Accent1 2 3 3" xfId="19" xr:uid="{00000000-0005-0000-0000-00000A000000}"/>
    <cellStyle name="20% - Accent1 2 4" xfId="20" xr:uid="{00000000-0005-0000-0000-00000B000000}"/>
    <cellStyle name="20% - Accent1 2 4 2" xfId="21" xr:uid="{00000000-0005-0000-0000-00000C000000}"/>
    <cellStyle name="20% - Accent1 2 4 2 2" xfId="22" xr:uid="{00000000-0005-0000-0000-00000D000000}"/>
    <cellStyle name="20% - Accent1 2 4 3" xfId="23" xr:uid="{00000000-0005-0000-0000-00000E000000}"/>
    <cellStyle name="20% - Accent1 2 5" xfId="24" xr:uid="{00000000-0005-0000-0000-00000F000000}"/>
    <cellStyle name="20% - Accent1 2 5 2" xfId="25" xr:uid="{00000000-0005-0000-0000-000010000000}"/>
    <cellStyle name="20% - Accent1 2 5 2 2" xfId="26" xr:uid="{00000000-0005-0000-0000-000011000000}"/>
    <cellStyle name="20% - Accent1 2 5 3" xfId="27" xr:uid="{00000000-0005-0000-0000-000012000000}"/>
    <cellStyle name="20% - Accent1 2 6" xfId="28" xr:uid="{00000000-0005-0000-0000-000013000000}"/>
    <cellStyle name="20% - Accent1 2 6 2" xfId="29" xr:uid="{00000000-0005-0000-0000-000014000000}"/>
    <cellStyle name="20% - Accent1 2 6 2 2" xfId="30" xr:uid="{00000000-0005-0000-0000-000015000000}"/>
    <cellStyle name="20% - Accent1 2 6 3" xfId="31" xr:uid="{00000000-0005-0000-0000-000016000000}"/>
    <cellStyle name="20% - Accent1 2 7" xfId="32" xr:uid="{00000000-0005-0000-0000-000017000000}"/>
    <cellStyle name="20% - Accent1 2 7 2" xfId="33" xr:uid="{00000000-0005-0000-0000-000018000000}"/>
    <cellStyle name="20% - Accent1 2 7 2 2" xfId="34" xr:uid="{00000000-0005-0000-0000-000019000000}"/>
    <cellStyle name="20% - Accent1 2 7 3" xfId="35" xr:uid="{00000000-0005-0000-0000-00001A000000}"/>
    <cellStyle name="20% - Accent1 2 8" xfId="36" xr:uid="{00000000-0005-0000-0000-00001B000000}"/>
    <cellStyle name="20% - Accent1 2 8 2" xfId="37" xr:uid="{00000000-0005-0000-0000-00001C000000}"/>
    <cellStyle name="20% - Accent1 2 8 2 2" xfId="38" xr:uid="{00000000-0005-0000-0000-00001D000000}"/>
    <cellStyle name="20% - Accent1 2 8 3" xfId="39" xr:uid="{00000000-0005-0000-0000-00001E000000}"/>
    <cellStyle name="20% - Accent1 2 9" xfId="40" xr:uid="{00000000-0005-0000-0000-00001F000000}"/>
    <cellStyle name="20% - Accent1 2 9 2" xfId="41" xr:uid="{00000000-0005-0000-0000-000020000000}"/>
    <cellStyle name="20% - Accent1 3" xfId="42" xr:uid="{00000000-0005-0000-0000-000021000000}"/>
    <cellStyle name="20% - Accent1 3 2" xfId="43" xr:uid="{00000000-0005-0000-0000-000022000000}"/>
    <cellStyle name="20% - Accent1 3 2 2" xfId="44" xr:uid="{00000000-0005-0000-0000-000023000000}"/>
    <cellStyle name="20% - Accent1 3 3" xfId="45" xr:uid="{00000000-0005-0000-0000-000024000000}"/>
    <cellStyle name="20% - Accent1 4" xfId="46" xr:uid="{00000000-0005-0000-0000-000025000000}"/>
    <cellStyle name="20% - Accent1 4 2" xfId="47" xr:uid="{00000000-0005-0000-0000-000026000000}"/>
    <cellStyle name="20% - Accent1 4 2 2" xfId="48" xr:uid="{00000000-0005-0000-0000-000027000000}"/>
    <cellStyle name="20% - Accent1 4 3" xfId="49" xr:uid="{00000000-0005-0000-0000-000028000000}"/>
    <cellStyle name="20% - Accent1 5" xfId="50" xr:uid="{00000000-0005-0000-0000-000029000000}"/>
    <cellStyle name="20% - Accent1 5 2" xfId="51" xr:uid="{00000000-0005-0000-0000-00002A000000}"/>
    <cellStyle name="20% - Accent1 5 2 2" xfId="52" xr:uid="{00000000-0005-0000-0000-00002B000000}"/>
    <cellStyle name="20% - Accent1 5 3" xfId="53" xr:uid="{00000000-0005-0000-0000-00002C000000}"/>
    <cellStyle name="20% - Accent1 6" xfId="54" xr:uid="{00000000-0005-0000-0000-00002D000000}"/>
    <cellStyle name="20% - Accent1 6 2" xfId="55" xr:uid="{00000000-0005-0000-0000-00002E000000}"/>
    <cellStyle name="20% - Accent1 6 2 2" xfId="56" xr:uid="{00000000-0005-0000-0000-00002F000000}"/>
    <cellStyle name="20% - Accent1 6 3" xfId="57" xr:uid="{00000000-0005-0000-0000-000030000000}"/>
    <cellStyle name="20% - Accent1 7" xfId="58" xr:uid="{00000000-0005-0000-0000-000031000000}"/>
    <cellStyle name="20% - Accent1 7 2" xfId="59" xr:uid="{00000000-0005-0000-0000-000032000000}"/>
    <cellStyle name="20% - Accent1 7 2 2" xfId="60" xr:uid="{00000000-0005-0000-0000-000033000000}"/>
    <cellStyle name="20% - Accent1 7 3" xfId="61" xr:uid="{00000000-0005-0000-0000-000034000000}"/>
    <cellStyle name="20% - Accent1 8" xfId="62" xr:uid="{00000000-0005-0000-0000-000035000000}"/>
    <cellStyle name="20% - Accent1 8 2" xfId="63" xr:uid="{00000000-0005-0000-0000-000036000000}"/>
    <cellStyle name="20% - Accent1 8 2 2" xfId="64" xr:uid="{00000000-0005-0000-0000-000037000000}"/>
    <cellStyle name="20% - Accent1 8 3" xfId="65" xr:uid="{00000000-0005-0000-0000-000038000000}"/>
    <cellStyle name="20% - Accent1 9" xfId="66" xr:uid="{00000000-0005-0000-0000-000039000000}"/>
    <cellStyle name="20% - Accent2 10" xfId="67" xr:uid="{00000000-0005-0000-0000-00003A000000}"/>
    <cellStyle name="20% - Accent2 2" xfId="68" xr:uid="{00000000-0005-0000-0000-00003B000000}"/>
    <cellStyle name="20% - Accent2 2 10" xfId="69" xr:uid="{00000000-0005-0000-0000-00003C000000}"/>
    <cellStyle name="20% - Accent2 2 2" xfId="70" xr:uid="{00000000-0005-0000-0000-00003D000000}"/>
    <cellStyle name="20% - Accent2 2 2 2" xfId="71" xr:uid="{00000000-0005-0000-0000-00003E000000}"/>
    <cellStyle name="20% - Accent2 2 2 2 2" xfId="72" xr:uid="{00000000-0005-0000-0000-00003F000000}"/>
    <cellStyle name="20% - Accent2 2 2 3" xfId="73" xr:uid="{00000000-0005-0000-0000-000040000000}"/>
    <cellStyle name="20% - Accent2 2 3" xfId="74" xr:uid="{00000000-0005-0000-0000-000041000000}"/>
    <cellStyle name="20% - Accent2 2 3 2" xfId="75" xr:uid="{00000000-0005-0000-0000-000042000000}"/>
    <cellStyle name="20% - Accent2 2 3 2 2" xfId="76" xr:uid="{00000000-0005-0000-0000-000043000000}"/>
    <cellStyle name="20% - Accent2 2 3 3" xfId="77" xr:uid="{00000000-0005-0000-0000-000044000000}"/>
    <cellStyle name="20% - Accent2 2 4" xfId="78" xr:uid="{00000000-0005-0000-0000-000045000000}"/>
    <cellStyle name="20% - Accent2 2 4 2" xfId="79" xr:uid="{00000000-0005-0000-0000-000046000000}"/>
    <cellStyle name="20% - Accent2 2 4 2 2" xfId="80" xr:uid="{00000000-0005-0000-0000-000047000000}"/>
    <cellStyle name="20% - Accent2 2 4 3" xfId="81" xr:uid="{00000000-0005-0000-0000-000048000000}"/>
    <cellStyle name="20% - Accent2 2 5" xfId="82" xr:uid="{00000000-0005-0000-0000-000049000000}"/>
    <cellStyle name="20% - Accent2 2 5 2" xfId="83" xr:uid="{00000000-0005-0000-0000-00004A000000}"/>
    <cellStyle name="20% - Accent2 2 5 2 2" xfId="84" xr:uid="{00000000-0005-0000-0000-00004B000000}"/>
    <cellStyle name="20% - Accent2 2 5 3" xfId="85" xr:uid="{00000000-0005-0000-0000-00004C000000}"/>
    <cellStyle name="20% - Accent2 2 6" xfId="86" xr:uid="{00000000-0005-0000-0000-00004D000000}"/>
    <cellStyle name="20% - Accent2 2 6 2" xfId="87" xr:uid="{00000000-0005-0000-0000-00004E000000}"/>
    <cellStyle name="20% - Accent2 2 6 2 2" xfId="88" xr:uid="{00000000-0005-0000-0000-00004F000000}"/>
    <cellStyle name="20% - Accent2 2 6 3" xfId="89" xr:uid="{00000000-0005-0000-0000-000050000000}"/>
    <cellStyle name="20% - Accent2 2 7" xfId="90" xr:uid="{00000000-0005-0000-0000-000051000000}"/>
    <cellStyle name="20% - Accent2 2 7 2" xfId="91" xr:uid="{00000000-0005-0000-0000-000052000000}"/>
    <cellStyle name="20% - Accent2 2 7 2 2" xfId="92" xr:uid="{00000000-0005-0000-0000-000053000000}"/>
    <cellStyle name="20% - Accent2 2 7 3" xfId="93" xr:uid="{00000000-0005-0000-0000-000054000000}"/>
    <cellStyle name="20% - Accent2 2 8" xfId="94" xr:uid="{00000000-0005-0000-0000-000055000000}"/>
    <cellStyle name="20% - Accent2 2 8 2" xfId="95" xr:uid="{00000000-0005-0000-0000-000056000000}"/>
    <cellStyle name="20% - Accent2 2 8 2 2" xfId="96" xr:uid="{00000000-0005-0000-0000-000057000000}"/>
    <cellStyle name="20% - Accent2 2 8 3" xfId="97" xr:uid="{00000000-0005-0000-0000-000058000000}"/>
    <cellStyle name="20% - Accent2 2 9" xfId="98" xr:uid="{00000000-0005-0000-0000-000059000000}"/>
    <cellStyle name="20% - Accent2 2 9 2" xfId="99" xr:uid="{00000000-0005-0000-0000-00005A000000}"/>
    <cellStyle name="20% - Accent2 3" xfId="100" xr:uid="{00000000-0005-0000-0000-00005B000000}"/>
    <cellStyle name="20% - Accent2 3 2" xfId="101" xr:uid="{00000000-0005-0000-0000-00005C000000}"/>
    <cellStyle name="20% - Accent2 3 2 2" xfId="102" xr:uid="{00000000-0005-0000-0000-00005D000000}"/>
    <cellStyle name="20% - Accent2 3 3" xfId="103" xr:uid="{00000000-0005-0000-0000-00005E000000}"/>
    <cellStyle name="20% - Accent2 4" xfId="104" xr:uid="{00000000-0005-0000-0000-00005F000000}"/>
    <cellStyle name="20% - Accent2 4 2" xfId="105" xr:uid="{00000000-0005-0000-0000-000060000000}"/>
    <cellStyle name="20% - Accent2 4 2 2" xfId="106" xr:uid="{00000000-0005-0000-0000-000061000000}"/>
    <cellStyle name="20% - Accent2 4 3" xfId="107" xr:uid="{00000000-0005-0000-0000-000062000000}"/>
    <cellStyle name="20% - Accent2 5" xfId="108" xr:uid="{00000000-0005-0000-0000-000063000000}"/>
    <cellStyle name="20% - Accent2 5 2" xfId="109" xr:uid="{00000000-0005-0000-0000-000064000000}"/>
    <cellStyle name="20% - Accent2 5 2 2" xfId="110" xr:uid="{00000000-0005-0000-0000-000065000000}"/>
    <cellStyle name="20% - Accent2 5 3" xfId="111" xr:uid="{00000000-0005-0000-0000-000066000000}"/>
    <cellStyle name="20% - Accent2 6" xfId="112" xr:uid="{00000000-0005-0000-0000-000067000000}"/>
    <cellStyle name="20% - Accent2 6 2" xfId="113" xr:uid="{00000000-0005-0000-0000-000068000000}"/>
    <cellStyle name="20% - Accent2 6 2 2" xfId="114" xr:uid="{00000000-0005-0000-0000-000069000000}"/>
    <cellStyle name="20% - Accent2 6 3" xfId="115" xr:uid="{00000000-0005-0000-0000-00006A000000}"/>
    <cellStyle name="20% - Accent2 7" xfId="116" xr:uid="{00000000-0005-0000-0000-00006B000000}"/>
    <cellStyle name="20% - Accent2 7 2" xfId="117" xr:uid="{00000000-0005-0000-0000-00006C000000}"/>
    <cellStyle name="20% - Accent2 7 2 2" xfId="118" xr:uid="{00000000-0005-0000-0000-00006D000000}"/>
    <cellStyle name="20% - Accent2 7 3" xfId="119" xr:uid="{00000000-0005-0000-0000-00006E000000}"/>
    <cellStyle name="20% - Accent2 8" xfId="120" xr:uid="{00000000-0005-0000-0000-00006F000000}"/>
    <cellStyle name="20% - Accent2 8 2" xfId="121" xr:uid="{00000000-0005-0000-0000-000070000000}"/>
    <cellStyle name="20% - Accent2 8 2 2" xfId="122" xr:uid="{00000000-0005-0000-0000-000071000000}"/>
    <cellStyle name="20% - Accent2 8 3" xfId="123" xr:uid="{00000000-0005-0000-0000-000072000000}"/>
    <cellStyle name="20% - Accent2 9" xfId="124" xr:uid="{00000000-0005-0000-0000-000073000000}"/>
    <cellStyle name="20% - Accent3 10" xfId="125" xr:uid="{00000000-0005-0000-0000-000074000000}"/>
    <cellStyle name="20% - Accent3 2" xfId="126" xr:uid="{00000000-0005-0000-0000-000075000000}"/>
    <cellStyle name="20% - Accent3 2 10" xfId="127" xr:uid="{00000000-0005-0000-0000-000076000000}"/>
    <cellStyle name="20% - Accent3 2 2" xfId="128" xr:uid="{00000000-0005-0000-0000-000077000000}"/>
    <cellStyle name="20% - Accent3 2 2 2" xfId="129" xr:uid="{00000000-0005-0000-0000-000078000000}"/>
    <cellStyle name="20% - Accent3 2 2 2 2" xfId="130" xr:uid="{00000000-0005-0000-0000-000079000000}"/>
    <cellStyle name="20% - Accent3 2 2 3" xfId="131" xr:uid="{00000000-0005-0000-0000-00007A000000}"/>
    <cellStyle name="20% - Accent3 2 3" xfId="132" xr:uid="{00000000-0005-0000-0000-00007B000000}"/>
    <cellStyle name="20% - Accent3 2 3 2" xfId="133" xr:uid="{00000000-0005-0000-0000-00007C000000}"/>
    <cellStyle name="20% - Accent3 2 3 2 2" xfId="134" xr:uid="{00000000-0005-0000-0000-00007D000000}"/>
    <cellStyle name="20% - Accent3 2 3 3" xfId="135" xr:uid="{00000000-0005-0000-0000-00007E000000}"/>
    <cellStyle name="20% - Accent3 2 4" xfId="136" xr:uid="{00000000-0005-0000-0000-00007F000000}"/>
    <cellStyle name="20% - Accent3 2 4 2" xfId="137" xr:uid="{00000000-0005-0000-0000-000080000000}"/>
    <cellStyle name="20% - Accent3 2 4 2 2" xfId="138" xr:uid="{00000000-0005-0000-0000-000081000000}"/>
    <cellStyle name="20% - Accent3 2 4 3" xfId="139" xr:uid="{00000000-0005-0000-0000-000082000000}"/>
    <cellStyle name="20% - Accent3 2 5" xfId="140" xr:uid="{00000000-0005-0000-0000-000083000000}"/>
    <cellStyle name="20% - Accent3 2 5 2" xfId="141" xr:uid="{00000000-0005-0000-0000-000084000000}"/>
    <cellStyle name="20% - Accent3 2 5 2 2" xfId="142" xr:uid="{00000000-0005-0000-0000-000085000000}"/>
    <cellStyle name="20% - Accent3 2 5 3" xfId="143" xr:uid="{00000000-0005-0000-0000-000086000000}"/>
    <cellStyle name="20% - Accent3 2 6" xfId="144" xr:uid="{00000000-0005-0000-0000-000087000000}"/>
    <cellStyle name="20% - Accent3 2 6 2" xfId="145" xr:uid="{00000000-0005-0000-0000-000088000000}"/>
    <cellStyle name="20% - Accent3 2 6 2 2" xfId="146" xr:uid="{00000000-0005-0000-0000-000089000000}"/>
    <cellStyle name="20% - Accent3 2 6 3" xfId="147" xr:uid="{00000000-0005-0000-0000-00008A000000}"/>
    <cellStyle name="20% - Accent3 2 7" xfId="148" xr:uid="{00000000-0005-0000-0000-00008B000000}"/>
    <cellStyle name="20% - Accent3 2 7 2" xfId="149" xr:uid="{00000000-0005-0000-0000-00008C000000}"/>
    <cellStyle name="20% - Accent3 2 7 2 2" xfId="150" xr:uid="{00000000-0005-0000-0000-00008D000000}"/>
    <cellStyle name="20% - Accent3 2 7 3" xfId="151" xr:uid="{00000000-0005-0000-0000-00008E000000}"/>
    <cellStyle name="20% - Accent3 2 8" xfId="152" xr:uid="{00000000-0005-0000-0000-00008F000000}"/>
    <cellStyle name="20% - Accent3 2 8 2" xfId="153" xr:uid="{00000000-0005-0000-0000-000090000000}"/>
    <cellStyle name="20% - Accent3 2 8 2 2" xfId="154" xr:uid="{00000000-0005-0000-0000-000091000000}"/>
    <cellStyle name="20% - Accent3 2 8 3" xfId="155" xr:uid="{00000000-0005-0000-0000-000092000000}"/>
    <cellStyle name="20% - Accent3 2 9" xfId="156" xr:uid="{00000000-0005-0000-0000-000093000000}"/>
    <cellStyle name="20% - Accent3 2 9 2" xfId="157" xr:uid="{00000000-0005-0000-0000-000094000000}"/>
    <cellStyle name="20% - Accent3 3" xfId="158" xr:uid="{00000000-0005-0000-0000-000095000000}"/>
    <cellStyle name="20% - Accent3 3 2" xfId="159" xr:uid="{00000000-0005-0000-0000-000096000000}"/>
    <cellStyle name="20% - Accent3 3 2 2" xfId="160" xr:uid="{00000000-0005-0000-0000-000097000000}"/>
    <cellStyle name="20% - Accent3 3 3" xfId="161" xr:uid="{00000000-0005-0000-0000-000098000000}"/>
    <cellStyle name="20% - Accent3 4" xfId="162" xr:uid="{00000000-0005-0000-0000-000099000000}"/>
    <cellStyle name="20% - Accent3 4 2" xfId="163" xr:uid="{00000000-0005-0000-0000-00009A000000}"/>
    <cellStyle name="20% - Accent3 4 2 2" xfId="164" xr:uid="{00000000-0005-0000-0000-00009B000000}"/>
    <cellStyle name="20% - Accent3 4 3" xfId="165" xr:uid="{00000000-0005-0000-0000-00009C000000}"/>
    <cellStyle name="20% - Accent3 5" xfId="166" xr:uid="{00000000-0005-0000-0000-00009D000000}"/>
    <cellStyle name="20% - Accent3 5 2" xfId="167" xr:uid="{00000000-0005-0000-0000-00009E000000}"/>
    <cellStyle name="20% - Accent3 5 2 2" xfId="168" xr:uid="{00000000-0005-0000-0000-00009F000000}"/>
    <cellStyle name="20% - Accent3 5 3" xfId="169" xr:uid="{00000000-0005-0000-0000-0000A0000000}"/>
    <cellStyle name="20% - Accent3 6" xfId="170" xr:uid="{00000000-0005-0000-0000-0000A1000000}"/>
    <cellStyle name="20% - Accent3 6 2" xfId="171" xr:uid="{00000000-0005-0000-0000-0000A2000000}"/>
    <cellStyle name="20% - Accent3 6 2 2" xfId="172" xr:uid="{00000000-0005-0000-0000-0000A3000000}"/>
    <cellStyle name="20% - Accent3 6 3" xfId="173" xr:uid="{00000000-0005-0000-0000-0000A4000000}"/>
    <cellStyle name="20% - Accent3 7" xfId="174" xr:uid="{00000000-0005-0000-0000-0000A5000000}"/>
    <cellStyle name="20% - Accent3 7 2" xfId="175" xr:uid="{00000000-0005-0000-0000-0000A6000000}"/>
    <cellStyle name="20% - Accent3 7 2 2" xfId="176" xr:uid="{00000000-0005-0000-0000-0000A7000000}"/>
    <cellStyle name="20% - Accent3 7 3" xfId="177" xr:uid="{00000000-0005-0000-0000-0000A8000000}"/>
    <cellStyle name="20% - Accent3 8" xfId="178" xr:uid="{00000000-0005-0000-0000-0000A9000000}"/>
    <cellStyle name="20% - Accent3 8 2" xfId="179" xr:uid="{00000000-0005-0000-0000-0000AA000000}"/>
    <cellStyle name="20% - Accent3 8 2 2" xfId="180" xr:uid="{00000000-0005-0000-0000-0000AB000000}"/>
    <cellStyle name="20% - Accent3 8 3" xfId="181" xr:uid="{00000000-0005-0000-0000-0000AC000000}"/>
    <cellStyle name="20% - Accent3 9" xfId="182" xr:uid="{00000000-0005-0000-0000-0000AD000000}"/>
    <cellStyle name="20% - Accent4 10" xfId="183" xr:uid="{00000000-0005-0000-0000-0000AE000000}"/>
    <cellStyle name="20% - Accent4 2" xfId="184" xr:uid="{00000000-0005-0000-0000-0000AF000000}"/>
    <cellStyle name="20% - Accent4 2 10" xfId="185" xr:uid="{00000000-0005-0000-0000-0000B0000000}"/>
    <cellStyle name="20% - Accent4 2 2" xfId="186" xr:uid="{00000000-0005-0000-0000-0000B1000000}"/>
    <cellStyle name="20% - Accent4 2 2 2" xfId="187" xr:uid="{00000000-0005-0000-0000-0000B2000000}"/>
    <cellStyle name="20% - Accent4 2 2 2 2" xfId="188" xr:uid="{00000000-0005-0000-0000-0000B3000000}"/>
    <cellStyle name="20% - Accent4 2 2 3" xfId="189" xr:uid="{00000000-0005-0000-0000-0000B4000000}"/>
    <cellStyle name="20% - Accent4 2 3" xfId="190" xr:uid="{00000000-0005-0000-0000-0000B5000000}"/>
    <cellStyle name="20% - Accent4 2 3 2" xfId="191" xr:uid="{00000000-0005-0000-0000-0000B6000000}"/>
    <cellStyle name="20% - Accent4 2 3 2 2" xfId="192" xr:uid="{00000000-0005-0000-0000-0000B7000000}"/>
    <cellStyle name="20% - Accent4 2 3 3" xfId="193" xr:uid="{00000000-0005-0000-0000-0000B8000000}"/>
    <cellStyle name="20% - Accent4 2 4" xfId="194" xr:uid="{00000000-0005-0000-0000-0000B9000000}"/>
    <cellStyle name="20% - Accent4 2 4 2" xfId="195" xr:uid="{00000000-0005-0000-0000-0000BA000000}"/>
    <cellStyle name="20% - Accent4 2 4 2 2" xfId="196" xr:uid="{00000000-0005-0000-0000-0000BB000000}"/>
    <cellStyle name="20% - Accent4 2 4 3" xfId="197" xr:uid="{00000000-0005-0000-0000-0000BC000000}"/>
    <cellStyle name="20% - Accent4 2 5" xfId="198" xr:uid="{00000000-0005-0000-0000-0000BD000000}"/>
    <cellStyle name="20% - Accent4 2 5 2" xfId="199" xr:uid="{00000000-0005-0000-0000-0000BE000000}"/>
    <cellStyle name="20% - Accent4 2 5 2 2" xfId="200" xr:uid="{00000000-0005-0000-0000-0000BF000000}"/>
    <cellStyle name="20% - Accent4 2 5 3" xfId="201" xr:uid="{00000000-0005-0000-0000-0000C0000000}"/>
    <cellStyle name="20% - Accent4 2 6" xfId="202" xr:uid="{00000000-0005-0000-0000-0000C1000000}"/>
    <cellStyle name="20% - Accent4 2 6 2" xfId="203" xr:uid="{00000000-0005-0000-0000-0000C2000000}"/>
    <cellStyle name="20% - Accent4 2 6 2 2" xfId="204" xr:uid="{00000000-0005-0000-0000-0000C3000000}"/>
    <cellStyle name="20% - Accent4 2 6 3" xfId="205" xr:uid="{00000000-0005-0000-0000-0000C4000000}"/>
    <cellStyle name="20% - Accent4 2 7" xfId="206" xr:uid="{00000000-0005-0000-0000-0000C5000000}"/>
    <cellStyle name="20% - Accent4 2 7 2" xfId="207" xr:uid="{00000000-0005-0000-0000-0000C6000000}"/>
    <cellStyle name="20% - Accent4 2 7 2 2" xfId="208" xr:uid="{00000000-0005-0000-0000-0000C7000000}"/>
    <cellStyle name="20% - Accent4 2 7 3" xfId="209" xr:uid="{00000000-0005-0000-0000-0000C8000000}"/>
    <cellStyle name="20% - Accent4 2 8" xfId="210" xr:uid="{00000000-0005-0000-0000-0000C9000000}"/>
    <cellStyle name="20% - Accent4 2 8 2" xfId="211" xr:uid="{00000000-0005-0000-0000-0000CA000000}"/>
    <cellStyle name="20% - Accent4 2 8 2 2" xfId="212" xr:uid="{00000000-0005-0000-0000-0000CB000000}"/>
    <cellStyle name="20% - Accent4 2 8 3" xfId="213" xr:uid="{00000000-0005-0000-0000-0000CC000000}"/>
    <cellStyle name="20% - Accent4 2 9" xfId="214" xr:uid="{00000000-0005-0000-0000-0000CD000000}"/>
    <cellStyle name="20% - Accent4 2 9 2" xfId="215" xr:uid="{00000000-0005-0000-0000-0000CE000000}"/>
    <cellStyle name="20% - Accent4 3" xfId="216" xr:uid="{00000000-0005-0000-0000-0000CF000000}"/>
    <cellStyle name="20% - Accent4 3 2" xfId="217" xr:uid="{00000000-0005-0000-0000-0000D0000000}"/>
    <cellStyle name="20% - Accent4 3 2 2" xfId="218" xr:uid="{00000000-0005-0000-0000-0000D1000000}"/>
    <cellStyle name="20% - Accent4 3 3" xfId="219" xr:uid="{00000000-0005-0000-0000-0000D2000000}"/>
    <cellStyle name="20% - Accent4 4" xfId="220" xr:uid="{00000000-0005-0000-0000-0000D3000000}"/>
    <cellStyle name="20% - Accent4 4 2" xfId="221" xr:uid="{00000000-0005-0000-0000-0000D4000000}"/>
    <cellStyle name="20% - Accent4 4 2 2" xfId="222" xr:uid="{00000000-0005-0000-0000-0000D5000000}"/>
    <cellStyle name="20% - Accent4 4 3" xfId="223" xr:uid="{00000000-0005-0000-0000-0000D6000000}"/>
    <cellStyle name="20% - Accent4 5" xfId="224" xr:uid="{00000000-0005-0000-0000-0000D7000000}"/>
    <cellStyle name="20% - Accent4 5 2" xfId="225" xr:uid="{00000000-0005-0000-0000-0000D8000000}"/>
    <cellStyle name="20% - Accent4 5 2 2" xfId="226" xr:uid="{00000000-0005-0000-0000-0000D9000000}"/>
    <cellStyle name="20% - Accent4 5 3" xfId="227" xr:uid="{00000000-0005-0000-0000-0000DA000000}"/>
    <cellStyle name="20% - Accent4 6" xfId="228" xr:uid="{00000000-0005-0000-0000-0000DB000000}"/>
    <cellStyle name="20% - Accent4 6 2" xfId="229" xr:uid="{00000000-0005-0000-0000-0000DC000000}"/>
    <cellStyle name="20% - Accent4 6 2 2" xfId="230" xr:uid="{00000000-0005-0000-0000-0000DD000000}"/>
    <cellStyle name="20% - Accent4 6 3" xfId="231" xr:uid="{00000000-0005-0000-0000-0000DE000000}"/>
    <cellStyle name="20% - Accent4 7" xfId="232" xr:uid="{00000000-0005-0000-0000-0000DF000000}"/>
    <cellStyle name="20% - Accent4 7 2" xfId="233" xr:uid="{00000000-0005-0000-0000-0000E0000000}"/>
    <cellStyle name="20% - Accent4 7 2 2" xfId="234" xr:uid="{00000000-0005-0000-0000-0000E1000000}"/>
    <cellStyle name="20% - Accent4 7 3" xfId="235" xr:uid="{00000000-0005-0000-0000-0000E2000000}"/>
    <cellStyle name="20% - Accent4 8" xfId="236" xr:uid="{00000000-0005-0000-0000-0000E3000000}"/>
    <cellStyle name="20% - Accent4 8 2" xfId="237" xr:uid="{00000000-0005-0000-0000-0000E4000000}"/>
    <cellStyle name="20% - Accent4 8 2 2" xfId="238" xr:uid="{00000000-0005-0000-0000-0000E5000000}"/>
    <cellStyle name="20% - Accent4 8 3" xfId="239" xr:uid="{00000000-0005-0000-0000-0000E6000000}"/>
    <cellStyle name="20% - Accent4 9" xfId="240" xr:uid="{00000000-0005-0000-0000-0000E7000000}"/>
    <cellStyle name="20% - Accent5 10" xfId="241" xr:uid="{00000000-0005-0000-0000-0000E8000000}"/>
    <cellStyle name="20% - Accent5 2" xfId="242" xr:uid="{00000000-0005-0000-0000-0000E9000000}"/>
    <cellStyle name="20% - Accent5 2 10" xfId="243" xr:uid="{00000000-0005-0000-0000-0000EA000000}"/>
    <cellStyle name="20% - Accent5 2 2" xfId="244" xr:uid="{00000000-0005-0000-0000-0000EB000000}"/>
    <cellStyle name="20% - Accent5 2 2 2" xfId="245" xr:uid="{00000000-0005-0000-0000-0000EC000000}"/>
    <cellStyle name="20% - Accent5 2 2 2 2" xfId="246" xr:uid="{00000000-0005-0000-0000-0000ED000000}"/>
    <cellStyle name="20% - Accent5 2 2 3" xfId="247" xr:uid="{00000000-0005-0000-0000-0000EE000000}"/>
    <cellStyle name="20% - Accent5 2 3" xfId="248" xr:uid="{00000000-0005-0000-0000-0000EF000000}"/>
    <cellStyle name="20% - Accent5 2 3 2" xfId="249" xr:uid="{00000000-0005-0000-0000-0000F0000000}"/>
    <cellStyle name="20% - Accent5 2 3 2 2" xfId="250" xr:uid="{00000000-0005-0000-0000-0000F1000000}"/>
    <cellStyle name="20% - Accent5 2 3 3" xfId="251" xr:uid="{00000000-0005-0000-0000-0000F2000000}"/>
    <cellStyle name="20% - Accent5 2 4" xfId="252" xr:uid="{00000000-0005-0000-0000-0000F3000000}"/>
    <cellStyle name="20% - Accent5 2 4 2" xfId="253" xr:uid="{00000000-0005-0000-0000-0000F4000000}"/>
    <cellStyle name="20% - Accent5 2 4 2 2" xfId="254" xr:uid="{00000000-0005-0000-0000-0000F5000000}"/>
    <cellStyle name="20% - Accent5 2 4 3" xfId="255" xr:uid="{00000000-0005-0000-0000-0000F6000000}"/>
    <cellStyle name="20% - Accent5 2 5" xfId="256" xr:uid="{00000000-0005-0000-0000-0000F7000000}"/>
    <cellStyle name="20% - Accent5 2 5 2" xfId="257" xr:uid="{00000000-0005-0000-0000-0000F8000000}"/>
    <cellStyle name="20% - Accent5 2 5 2 2" xfId="258" xr:uid="{00000000-0005-0000-0000-0000F9000000}"/>
    <cellStyle name="20% - Accent5 2 5 3" xfId="259" xr:uid="{00000000-0005-0000-0000-0000FA000000}"/>
    <cellStyle name="20% - Accent5 2 6" xfId="260" xr:uid="{00000000-0005-0000-0000-0000FB000000}"/>
    <cellStyle name="20% - Accent5 2 6 2" xfId="261" xr:uid="{00000000-0005-0000-0000-0000FC000000}"/>
    <cellStyle name="20% - Accent5 2 6 2 2" xfId="262" xr:uid="{00000000-0005-0000-0000-0000FD000000}"/>
    <cellStyle name="20% - Accent5 2 6 3" xfId="263" xr:uid="{00000000-0005-0000-0000-0000FE000000}"/>
    <cellStyle name="20% - Accent5 2 7" xfId="264" xr:uid="{00000000-0005-0000-0000-0000FF000000}"/>
    <cellStyle name="20% - Accent5 2 7 2" xfId="265" xr:uid="{00000000-0005-0000-0000-000000010000}"/>
    <cellStyle name="20% - Accent5 2 7 2 2" xfId="266" xr:uid="{00000000-0005-0000-0000-000001010000}"/>
    <cellStyle name="20% - Accent5 2 7 3" xfId="267" xr:uid="{00000000-0005-0000-0000-000002010000}"/>
    <cellStyle name="20% - Accent5 2 8" xfId="268" xr:uid="{00000000-0005-0000-0000-000003010000}"/>
    <cellStyle name="20% - Accent5 2 8 2" xfId="269" xr:uid="{00000000-0005-0000-0000-000004010000}"/>
    <cellStyle name="20% - Accent5 2 8 2 2" xfId="270" xr:uid="{00000000-0005-0000-0000-000005010000}"/>
    <cellStyle name="20% - Accent5 2 8 3" xfId="271" xr:uid="{00000000-0005-0000-0000-000006010000}"/>
    <cellStyle name="20% - Accent5 2 9" xfId="272" xr:uid="{00000000-0005-0000-0000-000007010000}"/>
    <cellStyle name="20% - Accent5 2 9 2" xfId="273" xr:uid="{00000000-0005-0000-0000-000008010000}"/>
    <cellStyle name="20% - Accent5 3" xfId="274" xr:uid="{00000000-0005-0000-0000-000009010000}"/>
    <cellStyle name="20% - Accent5 3 2" xfId="275" xr:uid="{00000000-0005-0000-0000-00000A010000}"/>
    <cellStyle name="20% - Accent5 3 2 2" xfId="276" xr:uid="{00000000-0005-0000-0000-00000B010000}"/>
    <cellStyle name="20% - Accent5 3 3" xfId="277" xr:uid="{00000000-0005-0000-0000-00000C010000}"/>
    <cellStyle name="20% - Accent5 4" xfId="278" xr:uid="{00000000-0005-0000-0000-00000D010000}"/>
    <cellStyle name="20% - Accent5 4 2" xfId="279" xr:uid="{00000000-0005-0000-0000-00000E010000}"/>
    <cellStyle name="20% - Accent5 4 2 2" xfId="280" xr:uid="{00000000-0005-0000-0000-00000F010000}"/>
    <cellStyle name="20% - Accent5 4 3" xfId="281" xr:uid="{00000000-0005-0000-0000-000010010000}"/>
    <cellStyle name="20% - Accent5 5" xfId="282" xr:uid="{00000000-0005-0000-0000-000011010000}"/>
    <cellStyle name="20% - Accent5 5 2" xfId="283" xr:uid="{00000000-0005-0000-0000-000012010000}"/>
    <cellStyle name="20% - Accent5 5 2 2" xfId="284" xr:uid="{00000000-0005-0000-0000-000013010000}"/>
    <cellStyle name="20% - Accent5 5 3" xfId="285" xr:uid="{00000000-0005-0000-0000-000014010000}"/>
    <cellStyle name="20% - Accent5 6" xfId="286" xr:uid="{00000000-0005-0000-0000-000015010000}"/>
    <cellStyle name="20% - Accent5 6 2" xfId="287" xr:uid="{00000000-0005-0000-0000-000016010000}"/>
    <cellStyle name="20% - Accent5 6 2 2" xfId="288" xr:uid="{00000000-0005-0000-0000-000017010000}"/>
    <cellStyle name="20% - Accent5 6 3" xfId="289" xr:uid="{00000000-0005-0000-0000-000018010000}"/>
    <cellStyle name="20% - Accent5 7" xfId="290" xr:uid="{00000000-0005-0000-0000-000019010000}"/>
    <cellStyle name="20% - Accent5 7 2" xfId="291" xr:uid="{00000000-0005-0000-0000-00001A010000}"/>
    <cellStyle name="20% - Accent5 7 2 2" xfId="292" xr:uid="{00000000-0005-0000-0000-00001B010000}"/>
    <cellStyle name="20% - Accent5 7 3" xfId="293" xr:uid="{00000000-0005-0000-0000-00001C010000}"/>
    <cellStyle name="20% - Accent5 8" xfId="294" xr:uid="{00000000-0005-0000-0000-00001D010000}"/>
    <cellStyle name="20% - Accent5 8 2" xfId="295" xr:uid="{00000000-0005-0000-0000-00001E010000}"/>
    <cellStyle name="20% - Accent5 8 2 2" xfId="296" xr:uid="{00000000-0005-0000-0000-00001F010000}"/>
    <cellStyle name="20% - Accent5 8 3" xfId="297" xr:uid="{00000000-0005-0000-0000-000020010000}"/>
    <cellStyle name="20% - Accent5 9" xfId="298" xr:uid="{00000000-0005-0000-0000-000021010000}"/>
    <cellStyle name="20% - Accent6 10" xfId="299" xr:uid="{00000000-0005-0000-0000-000022010000}"/>
    <cellStyle name="20% - Accent6 2" xfId="300" xr:uid="{00000000-0005-0000-0000-000023010000}"/>
    <cellStyle name="20% - Accent6 2 10" xfId="301" xr:uid="{00000000-0005-0000-0000-000024010000}"/>
    <cellStyle name="20% - Accent6 2 2" xfId="302" xr:uid="{00000000-0005-0000-0000-000025010000}"/>
    <cellStyle name="20% - Accent6 2 2 2" xfId="303" xr:uid="{00000000-0005-0000-0000-000026010000}"/>
    <cellStyle name="20% - Accent6 2 2 2 2" xfId="304" xr:uid="{00000000-0005-0000-0000-000027010000}"/>
    <cellStyle name="20% - Accent6 2 2 3" xfId="305" xr:uid="{00000000-0005-0000-0000-000028010000}"/>
    <cellStyle name="20% - Accent6 2 3" xfId="306" xr:uid="{00000000-0005-0000-0000-000029010000}"/>
    <cellStyle name="20% - Accent6 2 3 2" xfId="307" xr:uid="{00000000-0005-0000-0000-00002A010000}"/>
    <cellStyle name="20% - Accent6 2 3 2 2" xfId="308" xr:uid="{00000000-0005-0000-0000-00002B010000}"/>
    <cellStyle name="20% - Accent6 2 3 3" xfId="309" xr:uid="{00000000-0005-0000-0000-00002C010000}"/>
    <cellStyle name="20% - Accent6 2 4" xfId="310" xr:uid="{00000000-0005-0000-0000-00002D010000}"/>
    <cellStyle name="20% - Accent6 2 4 2" xfId="311" xr:uid="{00000000-0005-0000-0000-00002E010000}"/>
    <cellStyle name="20% - Accent6 2 4 2 2" xfId="312" xr:uid="{00000000-0005-0000-0000-00002F010000}"/>
    <cellStyle name="20% - Accent6 2 4 3" xfId="313" xr:uid="{00000000-0005-0000-0000-000030010000}"/>
    <cellStyle name="20% - Accent6 2 5" xfId="314" xr:uid="{00000000-0005-0000-0000-000031010000}"/>
    <cellStyle name="20% - Accent6 2 5 2" xfId="315" xr:uid="{00000000-0005-0000-0000-000032010000}"/>
    <cellStyle name="20% - Accent6 2 5 2 2" xfId="316" xr:uid="{00000000-0005-0000-0000-000033010000}"/>
    <cellStyle name="20% - Accent6 2 5 3" xfId="317" xr:uid="{00000000-0005-0000-0000-000034010000}"/>
    <cellStyle name="20% - Accent6 2 6" xfId="318" xr:uid="{00000000-0005-0000-0000-000035010000}"/>
    <cellStyle name="20% - Accent6 2 6 2" xfId="319" xr:uid="{00000000-0005-0000-0000-000036010000}"/>
    <cellStyle name="20% - Accent6 2 6 2 2" xfId="320" xr:uid="{00000000-0005-0000-0000-000037010000}"/>
    <cellStyle name="20% - Accent6 2 6 3" xfId="321" xr:uid="{00000000-0005-0000-0000-000038010000}"/>
    <cellStyle name="20% - Accent6 2 7" xfId="322" xr:uid="{00000000-0005-0000-0000-000039010000}"/>
    <cellStyle name="20% - Accent6 2 7 2" xfId="323" xr:uid="{00000000-0005-0000-0000-00003A010000}"/>
    <cellStyle name="20% - Accent6 2 7 2 2" xfId="324" xr:uid="{00000000-0005-0000-0000-00003B010000}"/>
    <cellStyle name="20% - Accent6 2 7 3" xfId="325" xr:uid="{00000000-0005-0000-0000-00003C010000}"/>
    <cellStyle name="20% - Accent6 2 8" xfId="326" xr:uid="{00000000-0005-0000-0000-00003D010000}"/>
    <cellStyle name="20% - Accent6 2 8 2" xfId="327" xr:uid="{00000000-0005-0000-0000-00003E010000}"/>
    <cellStyle name="20% - Accent6 2 8 2 2" xfId="328" xr:uid="{00000000-0005-0000-0000-00003F010000}"/>
    <cellStyle name="20% - Accent6 2 8 3" xfId="329" xr:uid="{00000000-0005-0000-0000-000040010000}"/>
    <cellStyle name="20% - Accent6 2 9" xfId="330" xr:uid="{00000000-0005-0000-0000-000041010000}"/>
    <cellStyle name="20% - Accent6 2 9 2" xfId="331" xr:uid="{00000000-0005-0000-0000-000042010000}"/>
    <cellStyle name="20% - Accent6 3" xfId="332" xr:uid="{00000000-0005-0000-0000-000043010000}"/>
    <cellStyle name="20% - Accent6 3 2" xfId="333" xr:uid="{00000000-0005-0000-0000-000044010000}"/>
    <cellStyle name="20% - Accent6 3 2 2" xfId="334" xr:uid="{00000000-0005-0000-0000-000045010000}"/>
    <cellStyle name="20% - Accent6 3 3" xfId="335" xr:uid="{00000000-0005-0000-0000-000046010000}"/>
    <cellStyle name="20% - Accent6 4" xfId="336" xr:uid="{00000000-0005-0000-0000-000047010000}"/>
    <cellStyle name="20% - Accent6 4 2" xfId="337" xr:uid="{00000000-0005-0000-0000-000048010000}"/>
    <cellStyle name="20% - Accent6 4 2 2" xfId="338" xr:uid="{00000000-0005-0000-0000-000049010000}"/>
    <cellStyle name="20% - Accent6 4 3" xfId="339" xr:uid="{00000000-0005-0000-0000-00004A010000}"/>
    <cellStyle name="20% - Accent6 5" xfId="340" xr:uid="{00000000-0005-0000-0000-00004B010000}"/>
    <cellStyle name="20% - Accent6 5 2" xfId="341" xr:uid="{00000000-0005-0000-0000-00004C010000}"/>
    <cellStyle name="20% - Accent6 5 2 2" xfId="342" xr:uid="{00000000-0005-0000-0000-00004D010000}"/>
    <cellStyle name="20% - Accent6 5 3" xfId="343" xr:uid="{00000000-0005-0000-0000-00004E010000}"/>
    <cellStyle name="20% - Accent6 6" xfId="344" xr:uid="{00000000-0005-0000-0000-00004F010000}"/>
    <cellStyle name="20% - Accent6 6 2" xfId="345" xr:uid="{00000000-0005-0000-0000-000050010000}"/>
    <cellStyle name="20% - Accent6 6 2 2" xfId="346" xr:uid="{00000000-0005-0000-0000-000051010000}"/>
    <cellStyle name="20% - Accent6 6 3" xfId="347" xr:uid="{00000000-0005-0000-0000-000052010000}"/>
    <cellStyle name="20% - Accent6 7" xfId="348" xr:uid="{00000000-0005-0000-0000-000053010000}"/>
    <cellStyle name="20% - Accent6 7 2" xfId="349" xr:uid="{00000000-0005-0000-0000-000054010000}"/>
    <cellStyle name="20% - Accent6 7 2 2" xfId="350" xr:uid="{00000000-0005-0000-0000-000055010000}"/>
    <cellStyle name="20% - Accent6 7 3" xfId="351" xr:uid="{00000000-0005-0000-0000-000056010000}"/>
    <cellStyle name="20% - Accent6 8" xfId="352" xr:uid="{00000000-0005-0000-0000-000057010000}"/>
    <cellStyle name="20% - Accent6 8 2" xfId="353" xr:uid="{00000000-0005-0000-0000-000058010000}"/>
    <cellStyle name="20% - Accent6 8 2 2" xfId="354" xr:uid="{00000000-0005-0000-0000-000059010000}"/>
    <cellStyle name="20% - Accent6 8 3" xfId="355" xr:uid="{00000000-0005-0000-0000-00005A010000}"/>
    <cellStyle name="20% - Accent6 9" xfId="356" xr:uid="{00000000-0005-0000-0000-00005B010000}"/>
    <cellStyle name="2x indented GHG Textfiels" xfId="357" xr:uid="{00000000-0005-0000-0000-00005C010000}"/>
    <cellStyle name="2x indented GHG Textfiels 2" xfId="1297" xr:uid="{00000000-0005-0000-0000-00005D010000}"/>
    <cellStyle name="2x indented GHG Textfiels 2 10" xfId="1688" xr:uid="{00000000-0005-0000-0000-00005E010000}"/>
    <cellStyle name="2x indented GHG Textfiels 2 10 2" xfId="5820" xr:uid="{00000000-0005-0000-0000-00005F010000}"/>
    <cellStyle name="2x indented GHG Textfiels 2 10 2 2" xfId="22417" xr:uid="{00000000-0005-0000-0000-000060010000}"/>
    <cellStyle name="2x indented GHG Textfiels 2 10 3" xfId="12082" xr:uid="{00000000-0005-0000-0000-000061010000}"/>
    <cellStyle name="2x indented GHG Textfiels 2 10 3 2" xfId="26914" xr:uid="{00000000-0005-0000-0000-000062010000}"/>
    <cellStyle name="2x indented GHG Textfiels 2 11" xfId="5475" xr:uid="{00000000-0005-0000-0000-000063010000}"/>
    <cellStyle name="2x indented GHG Textfiels 2 11 2" xfId="15710" xr:uid="{00000000-0005-0000-0000-000064010000}"/>
    <cellStyle name="2x indented GHG Textfiels 2 11 2 2" xfId="30542" xr:uid="{00000000-0005-0000-0000-000065010000}"/>
    <cellStyle name="2x indented GHG Textfiels 2 11 3" xfId="22203" xr:uid="{00000000-0005-0000-0000-000066010000}"/>
    <cellStyle name="2x indented GHG Textfiels 2 2" xfId="1381" xr:uid="{00000000-0005-0000-0000-000067010000}"/>
    <cellStyle name="2x indented GHG Textfiels 2 2 2" xfId="1677" xr:uid="{00000000-0005-0000-0000-000068010000}"/>
    <cellStyle name="2x indented GHG Textfiels 2 2 2 2" xfId="2260" xr:uid="{00000000-0005-0000-0000-000069010000}"/>
    <cellStyle name="2x indented GHG Textfiels 2 2 2 2 2" xfId="4364" xr:uid="{00000000-0005-0000-0000-00006A010000}"/>
    <cellStyle name="2x indented GHG Textfiels 2 2 2 2 2 2" xfId="8403" xr:uid="{00000000-0005-0000-0000-00006B010000}"/>
    <cellStyle name="2x indented GHG Textfiels 2 2 2 2 2 2 2" xfId="24061" xr:uid="{00000000-0005-0000-0000-00006C010000}"/>
    <cellStyle name="2x indented GHG Textfiels 2 2 2 2 2 3" xfId="14693" xr:uid="{00000000-0005-0000-0000-00006D010000}"/>
    <cellStyle name="2x indented GHG Textfiels 2 2 2 2 2 3 2" xfId="29525" xr:uid="{00000000-0005-0000-0000-00006E010000}"/>
    <cellStyle name="2x indented GHG Textfiels 2 2 2 2 3" xfId="5228" xr:uid="{00000000-0005-0000-0000-00006F010000}"/>
    <cellStyle name="2x indented GHG Textfiels 2 2 2 2 3 2" xfId="9267" xr:uid="{00000000-0005-0000-0000-000070010000}"/>
    <cellStyle name="2x indented GHG Textfiels 2 2 2 2 3 2 2" xfId="24605" xr:uid="{00000000-0005-0000-0000-000071010000}"/>
    <cellStyle name="2x indented GHG Textfiels 2 2 2 2 3 3" xfId="15544" xr:uid="{00000000-0005-0000-0000-000072010000}"/>
    <cellStyle name="2x indented GHG Textfiels 2 2 2 2 3 3 2" xfId="30376" xr:uid="{00000000-0005-0000-0000-000073010000}"/>
    <cellStyle name="2x indented GHG Textfiels 2 2 2 2 4" xfId="4258" xr:uid="{00000000-0005-0000-0000-000074010000}"/>
    <cellStyle name="2x indented GHG Textfiels 2 2 2 2 4 2" xfId="8297" xr:uid="{00000000-0005-0000-0000-000075010000}"/>
    <cellStyle name="2x indented GHG Textfiels 2 2 2 2 4 2 2" xfId="23992" xr:uid="{00000000-0005-0000-0000-000076010000}"/>
    <cellStyle name="2x indented GHG Textfiels 2 2 2 2 4 3" xfId="14590" xr:uid="{00000000-0005-0000-0000-000077010000}"/>
    <cellStyle name="2x indented GHG Textfiels 2 2 2 2 4 3 2" xfId="29422" xr:uid="{00000000-0005-0000-0000-000078010000}"/>
    <cellStyle name="2x indented GHG Textfiels 2 2 2 2 5" xfId="6372" xr:uid="{00000000-0005-0000-0000-000079010000}"/>
    <cellStyle name="2x indented GHG Textfiels 2 2 2 2 5 2" xfId="22774" xr:uid="{00000000-0005-0000-0000-00007A010000}"/>
    <cellStyle name="2x indented GHG Textfiels 2 2 2 3" xfId="3965" xr:uid="{00000000-0005-0000-0000-00007B010000}"/>
    <cellStyle name="2x indented GHG Textfiels 2 2 2 3 2" xfId="8015" xr:uid="{00000000-0005-0000-0000-00007C010000}"/>
    <cellStyle name="2x indented GHG Textfiels 2 2 2 3 2 2" xfId="23808" xr:uid="{00000000-0005-0000-0000-00007D010000}"/>
    <cellStyle name="2x indented GHG Textfiels 2 2 2 3 3" xfId="14298" xr:uid="{00000000-0005-0000-0000-00007E010000}"/>
    <cellStyle name="2x indented GHG Textfiels 2 2 2 3 3 2" xfId="29130" xr:uid="{00000000-0005-0000-0000-00007F010000}"/>
    <cellStyle name="2x indented GHG Textfiels 2 2 2 4" xfId="4274" xr:uid="{00000000-0005-0000-0000-000080010000}"/>
    <cellStyle name="2x indented GHG Textfiels 2 2 2 4 2" xfId="8313" xr:uid="{00000000-0005-0000-0000-000081010000}"/>
    <cellStyle name="2x indented GHG Textfiels 2 2 2 4 2 2" xfId="24007" xr:uid="{00000000-0005-0000-0000-000082010000}"/>
    <cellStyle name="2x indented GHG Textfiels 2 2 2 4 3" xfId="14606" xr:uid="{00000000-0005-0000-0000-000083010000}"/>
    <cellStyle name="2x indented GHG Textfiels 2 2 2 4 3 2" xfId="29438" xr:uid="{00000000-0005-0000-0000-000084010000}"/>
    <cellStyle name="2x indented GHG Textfiels 2 2 2 5" xfId="4863" xr:uid="{00000000-0005-0000-0000-000085010000}"/>
    <cellStyle name="2x indented GHG Textfiels 2 2 2 5 2" xfId="8902" xr:uid="{00000000-0005-0000-0000-000086010000}"/>
    <cellStyle name="2x indented GHG Textfiels 2 2 2 5 2 2" xfId="24368" xr:uid="{00000000-0005-0000-0000-000087010000}"/>
    <cellStyle name="2x indented GHG Textfiels 2 2 2 5 3" xfId="15187" xr:uid="{00000000-0005-0000-0000-000088010000}"/>
    <cellStyle name="2x indented GHG Textfiels 2 2 2 5 3 2" xfId="30019" xr:uid="{00000000-0005-0000-0000-000089010000}"/>
    <cellStyle name="2x indented GHG Textfiels 2 2 2 6" xfId="2853" xr:uid="{00000000-0005-0000-0000-00008A010000}"/>
    <cellStyle name="2x indented GHG Textfiels 2 2 2 6 2" xfId="13191" xr:uid="{00000000-0005-0000-0000-00008B010000}"/>
    <cellStyle name="2x indented GHG Textfiels 2 2 2 6 2 2" xfId="28023" xr:uid="{00000000-0005-0000-0000-00008C010000}"/>
    <cellStyle name="2x indented GHG Textfiels 2 2 2 6 3" xfId="20779" xr:uid="{00000000-0005-0000-0000-00008D010000}"/>
    <cellStyle name="2x indented GHG Textfiels 2 2 2 7" xfId="1885" xr:uid="{00000000-0005-0000-0000-00008E010000}"/>
    <cellStyle name="2x indented GHG Textfiels 2 2 2 7 2" xfId="6017" xr:uid="{00000000-0005-0000-0000-00008F010000}"/>
    <cellStyle name="2x indented GHG Textfiels 2 2 2 7 2 2" xfId="22550" xr:uid="{00000000-0005-0000-0000-000090010000}"/>
    <cellStyle name="2x indented GHG Textfiels 2 2 2 8" xfId="12072" xr:uid="{00000000-0005-0000-0000-000091010000}"/>
    <cellStyle name="2x indented GHG Textfiels 2 2 2 8 2" xfId="26904" xr:uid="{00000000-0005-0000-0000-000092010000}"/>
    <cellStyle name="2x indented GHG Textfiels 2 2 3" xfId="3664" xr:uid="{00000000-0005-0000-0000-000093010000}"/>
    <cellStyle name="2x indented GHG Textfiels 2 2 3 2" xfId="7723" xr:uid="{00000000-0005-0000-0000-000094010000}"/>
    <cellStyle name="2x indented GHG Textfiels 2 2 3 2 2" xfId="23619" xr:uid="{00000000-0005-0000-0000-000095010000}"/>
    <cellStyle name="2x indented GHG Textfiels 2 2 3 3" xfId="13999" xr:uid="{00000000-0005-0000-0000-000096010000}"/>
    <cellStyle name="2x indented GHG Textfiels 2 2 3 3 2" xfId="28831" xr:uid="{00000000-0005-0000-0000-000097010000}"/>
    <cellStyle name="2x indented GHG Textfiels 2 2 4" xfId="4443" xr:uid="{00000000-0005-0000-0000-000098010000}"/>
    <cellStyle name="2x indented GHG Textfiels 2 2 4 2" xfId="8482" xr:uid="{00000000-0005-0000-0000-000099010000}"/>
    <cellStyle name="2x indented GHG Textfiels 2 2 4 2 2" xfId="24108" xr:uid="{00000000-0005-0000-0000-00009A010000}"/>
    <cellStyle name="2x indented GHG Textfiels 2 2 4 3" xfId="14772" xr:uid="{00000000-0005-0000-0000-00009B010000}"/>
    <cellStyle name="2x indented GHG Textfiels 2 2 4 3 2" xfId="29604" xr:uid="{00000000-0005-0000-0000-00009C010000}"/>
    <cellStyle name="2x indented GHG Textfiels 2 2 5" xfId="2433" xr:uid="{00000000-0005-0000-0000-00009D010000}"/>
    <cellStyle name="2x indented GHG Textfiels 2 2 5 2" xfId="12772" xr:uid="{00000000-0005-0000-0000-00009E010000}"/>
    <cellStyle name="2x indented GHG Textfiels 2 2 5 2 2" xfId="27604" xr:uid="{00000000-0005-0000-0000-00009F010000}"/>
    <cellStyle name="2x indented GHG Textfiels 2 2 5 3" xfId="20525" xr:uid="{00000000-0005-0000-0000-0000A0010000}"/>
    <cellStyle name="2x indented GHG Textfiels 2 2 6" xfId="5558" xr:uid="{00000000-0005-0000-0000-0000A1010000}"/>
    <cellStyle name="2x indented GHG Textfiels 2 2 6 2" xfId="15793" xr:uid="{00000000-0005-0000-0000-0000A2010000}"/>
    <cellStyle name="2x indented GHG Textfiels 2 2 6 2 2" xfId="30625" xr:uid="{00000000-0005-0000-0000-0000A3010000}"/>
    <cellStyle name="2x indented GHG Textfiels 2 2 6 3" xfId="22254" xr:uid="{00000000-0005-0000-0000-0000A4010000}"/>
    <cellStyle name="2x indented GHG Textfiels 2 3" xfId="1553" xr:uid="{00000000-0005-0000-0000-0000A5010000}"/>
    <cellStyle name="2x indented GHG Textfiels 2 3 2" xfId="2050" xr:uid="{00000000-0005-0000-0000-0000A6010000}"/>
    <cellStyle name="2x indented GHG Textfiels 2 3 2 2" xfId="4073" xr:uid="{00000000-0005-0000-0000-0000A7010000}"/>
    <cellStyle name="2x indented GHG Textfiels 2 3 2 2 2" xfId="8120" xr:uid="{00000000-0005-0000-0000-0000A8010000}"/>
    <cellStyle name="2x indented GHG Textfiels 2 3 2 2 2 2" xfId="23871" xr:uid="{00000000-0005-0000-0000-0000A9010000}"/>
    <cellStyle name="2x indented GHG Textfiels 2 3 2 2 3" xfId="14405" xr:uid="{00000000-0005-0000-0000-0000AA010000}"/>
    <cellStyle name="2x indented GHG Textfiels 2 3 2 2 3 2" xfId="29237" xr:uid="{00000000-0005-0000-0000-0000AB010000}"/>
    <cellStyle name="2x indented GHG Textfiels 2 3 2 3" xfId="3450" xr:uid="{00000000-0005-0000-0000-0000AC010000}"/>
    <cellStyle name="2x indented GHG Textfiels 2 3 2 3 2" xfId="7513" xr:uid="{00000000-0005-0000-0000-0000AD010000}"/>
    <cellStyle name="2x indented GHG Textfiels 2 3 2 3 2 2" xfId="23484" xr:uid="{00000000-0005-0000-0000-0000AE010000}"/>
    <cellStyle name="2x indented GHG Textfiels 2 3 2 3 3" xfId="13787" xr:uid="{00000000-0005-0000-0000-0000AF010000}"/>
    <cellStyle name="2x indented GHG Textfiels 2 3 2 3 3 2" xfId="28619" xr:uid="{00000000-0005-0000-0000-0000B0010000}"/>
    <cellStyle name="2x indented GHG Textfiels 2 3 2 4" xfId="5018" xr:uid="{00000000-0005-0000-0000-0000B1010000}"/>
    <cellStyle name="2x indented GHG Textfiels 2 3 2 4 2" xfId="9057" xr:uid="{00000000-0005-0000-0000-0000B2010000}"/>
    <cellStyle name="2x indented GHG Textfiels 2 3 2 4 2 2" xfId="24491" xr:uid="{00000000-0005-0000-0000-0000B3010000}"/>
    <cellStyle name="2x indented GHG Textfiels 2 3 2 4 3" xfId="15340" xr:uid="{00000000-0005-0000-0000-0000B4010000}"/>
    <cellStyle name="2x indented GHG Textfiels 2 3 2 4 3 2" xfId="30172" xr:uid="{00000000-0005-0000-0000-0000B5010000}"/>
    <cellStyle name="2x indented GHG Textfiels 2 3 2 5" xfId="3008" xr:uid="{00000000-0005-0000-0000-0000B6010000}"/>
    <cellStyle name="2x indented GHG Textfiels 2 3 2 5 2" xfId="13346" xr:uid="{00000000-0005-0000-0000-0000B7010000}"/>
    <cellStyle name="2x indented GHG Textfiels 2 3 2 5 2 2" xfId="28178" xr:uid="{00000000-0005-0000-0000-0000B8010000}"/>
    <cellStyle name="2x indented GHG Textfiels 2 3 2 5 3" xfId="20902" xr:uid="{00000000-0005-0000-0000-0000B9010000}"/>
    <cellStyle name="2x indented GHG Textfiels 2 3 3" xfId="3775" xr:uid="{00000000-0005-0000-0000-0000BA010000}"/>
    <cellStyle name="2x indented GHG Textfiels 2 3 3 2" xfId="7831" xr:uid="{00000000-0005-0000-0000-0000BB010000}"/>
    <cellStyle name="2x indented GHG Textfiels 2 3 3 2 2" xfId="23687" xr:uid="{00000000-0005-0000-0000-0000BC010000}"/>
    <cellStyle name="2x indented GHG Textfiels 2 3 3 3" xfId="14110" xr:uid="{00000000-0005-0000-0000-0000BD010000}"/>
    <cellStyle name="2x indented GHG Textfiels 2 3 3 3 2" xfId="28942" xr:uid="{00000000-0005-0000-0000-0000BE010000}"/>
    <cellStyle name="2x indented GHG Textfiels 2 3 4" xfId="4598" xr:uid="{00000000-0005-0000-0000-0000BF010000}"/>
    <cellStyle name="2x indented GHG Textfiels 2 3 4 2" xfId="8637" xr:uid="{00000000-0005-0000-0000-0000C0010000}"/>
    <cellStyle name="2x indented GHG Textfiels 2 3 4 2 2" xfId="24231" xr:uid="{00000000-0005-0000-0000-0000C1010000}"/>
    <cellStyle name="2x indented GHG Textfiels 2 3 4 3" xfId="14925" xr:uid="{00000000-0005-0000-0000-0000C2010000}"/>
    <cellStyle name="2x indented GHG Textfiels 2 3 4 3 2" xfId="29757" xr:uid="{00000000-0005-0000-0000-0000C3010000}"/>
    <cellStyle name="2x indented GHG Textfiels 2 3 5" xfId="2588" xr:uid="{00000000-0005-0000-0000-0000C4010000}"/>
    <cellStyle name="2x indented GHG Textfiels 2 3 5 2" xfId="12926" xr:uid="{00000000-0005-0000-0000-0000C5010000}"/>
    <cellStyle name="2x indented GHG Textfiels 2 3 5 2 2" xfId="27758" xr:uid="{00000000-0005-0000-0000-0000C6010000}"/>
    <cellStyle name="2x indented GHG Textfiels 2 3 5 3" xfId="20642" xr:uid="{00000000-0005-0000-0000-0000C7010000}"/>
    <cellStyle name="2x indented GHG Textfiels 2 3 6" xfId="1699" xr:uid="{00000000-0005-0000-0000-0000C8010000}"/>
    <cellStyle name="2x indented GHG Textfiels 2 3 6 2" xfId="5831" xr:uid="{00000000-0005-0000-0000-0000C9010000}"/>
    <cellStyle name="2x indented GHG Textfiels 2 3 6 2 2" xfId="22428" xr:uid="{00000000-0005-0000-0000-0000CA010000}"/>
    <cellStyle name="2x indented GHG Textfiels 2 3 6 3" xfId="12093" xr:uid="{00000000-0005-0000-0000-0000CB010000}"/>
    <cellStyle name="2x indented GHG Textfiels 2 3 6 3 2" xfId="26925" xr:uid="{00000000-0005-0000-0000-0000CC010000}"/>
    <cellStyle name="2x indented GHG Textfiels 2 4" xfId="1606" xr:uid="{00000000-0005-0000-0000-0000CD010000}"/>
    <cellStyle name="2x indented GHG Textfiels 2 4 2" xfId="2103" xr:uid="{00000000-0005-0000-0000-0000CE010000}"/>
    <cellStyle name="2x indented GHG Textfiels 2 4 2 2" xfId="4113" xr:uid="{00000000-0005-0000-0000-0000CF010000}"/>
    <cellStyle name="2x indented GHG Textfiels 2 4 2 2 2" xfId="8159" xr:uid="{00000000-0005-0000-0000-0000D0010000}"/>
    <cellStyle name="2x indented GHG Textfiels 2 4 2 2 2 2" xfId="23897" xr:uid="{00000000-0005-0000-0000-0000D1010000}"/>
    <cellStyle name="2x indented GHG Textfiels 2 4 2 2 3" xfId="14445" xr:uid="{00000000-0005-0000-0000-0000D2010000}"/>
    <cellStyle name="2x indented GHG Textfiels 2 4 2 2 3 2" xfId="29277" xr:uid="{00000000-0005-0000-0000-0000D3010000}"/>
    <cellStyle name="2x indented GHG Textfiels 2 4 2 3" xfId="3643" xr:uid="{00000000-0005-0000-0000-0000D4010000}"/>
    <cellStyle name="2x indented GHG Textfiels 2 4 2 3 2" xfId="7702" xr:uid="{00000000-0005-0000-0000-0000D5010000}"/>
    <cellStyle name="2x indented GHG Textfiels 2 4 2 3 2 2" xfId="23602" xr:uid="{00000000-0005-0000-0000-0000D6010000}"/>
    <cellStyle name="2x indented GHG Textfiels 2 4 2 3 3" xfId="13978" xr:uid="{00000000-0005-0000-0000-0000D7010000}"/>
    <cellStyle name="2x indented GHG Textfiels 2 4 2 3 3 2" xfId="28810" xr:uid="{00000000-0005-0000-0000-0000D8010000}"/>
    <cellStyle name="2x indented GHG Textfiels 2 4 2 4" xfId="5071" xr:uid="{00000000-0005-0000-0000-0000D9010000}"/>
    <cellStyle name="2x indented GHG Textfiels 2 4 2 4 2" xfId="9110" xr:uid="{00000000-0005-0000-0000-0000DA010000}"/>
    <cellStyle name="2x indented GHG Textfiels 2 4 2 4 2 2" xfId="24512" xr:uid="{00000000-0005-0000-0000-0000DB010000}"/>
    <cellStyle name="2x indented GHG Textfiels 2 4 2 4 3" xfId="15392" xr:uid="{00000000-0005-0000-0000-0000DC010000}"/>
    <cellStyle name="2x indented GHG Textfiels 2 4 2 4 3 2" xfId="30224" xr:uid="{00000000-0005-0000-0000-0000DD010000}"/>
    <cellStyle name="2x indented GHG Textfiels 2 4 2 5" xfId="3061" xr:uid="{00000000-0005-0000-0000-0000DE010000}"/>
    <cellStyle name="2x indented GHG Textfiels 2 4 2 5 2" xfId="13399" xr:uid="{00000000-0005-0000-0000-0000DF010000}"/>
    <cellStyle name="2x indented GHG Textfiels 2 4 2 5 2 2" xfId="28231" xr:uid="{00000000-0005-0000-0000-0000E0010000}"/>
    <cellStyle name="2x indented GHG Textfiels 2 4 2 5 3" xfId="20923" xr:uid="{00000000-0005-0000-0000-0000E1010000}"/>
    <cellStyle name="2x indented GHG Textfiels 2 4 3" xfId="3813" xr:uid="{00000000-0005-0000-0000-0000E2010000}"/>
    <cellStyle name="2x indented GHG Textfiels 2 4 3 2" xfId="7867" xr:uid="{00000000-0005-0000-0000-0000E3010000}"/>
    <cellStyle name="2x indented GHG Textfiels 2 4 3 2 2" xfId="23714" xr:uid="{00000000-0005-0000-0000-0000E4010000}"/>
    <cellStyle name="2x indented GHG Textfiels 2 4 3 3" xfId="14148" xr:uid="{00000000-0005-0000-0000-0000E5010000}"/>
    <cellStyle name="2x indented GHG Textfiels 2 4 3 3 2" xfId="28980" xr:uid="{00000000-0005-0000-0000-0000E6010000}"/>
    <cellStyle name="2x indented GHG Textfiels 2 4 4" xfId="4651" xr:uid="{00000000-0005-0000-0000-0000E7010000}"/>
    <cellStyle name="2x indented GHG Textfiels 2 4 4 2" xfId="8690" xr:uid="{00000000-0005-0000-0000-0000E8010000}"/>
    <cellStyle name="2x indented GHG Textfiels 2 4 4 2 2" xfId="24252" xr:uid="{00000000-0005-0000-0000-0000E9010000}"/>
    <cellStyle name="2x indented GHG Textfiels 2 4 4 3" xfId="14977" xr:uid="{00000000-0005-0000-0000-0000EA010000}"/>
    <cellStyle name="2x indented GHG Textfiels 2 4 4 3 2" xfId="29809" xr:uid="{00000000-0005-0000-0000-0000EB010000}"/>
    <cellStyle name="2x indented GHG Textfiels 2 4 5" xfId="2641" xr:uid="{00000000-0005-0000-0000-0000EC010000}"/>
    <cellStyle name="2x indented GHG Textfiels 2 4 5 2" xfId="12979" xr:uid="{00000000-0005-0000-0000-0000ED010000}"/>
    <cellStyle name="2x indented GHG Textfiels 2 4 5 2 2" xfId="27811" xr:uid="{00000000-0005-0000-0000-0000EE010000}"/>
    <cellStyle name="2x indented GHG Textfiels 2 4 5 3" xfId="20663" xr:uid="{00000000-0005-0000-0000-0000EF010000}"/>
    <cellStyle name="2x indented GHG Textfiels 2 4 6" xfId="1704" xr:uid="{00000000-0005-0000-0000-0000F0010000}"/>
    <cellStyle name="2x indented GHG Textfiels 2 4 6 2" xfId="5836" xr:uid="{00000000-0005-0000-0000-0000F1010000}"/>
    <cellStyle name="2x indented GHG Textfiels 2 4 6 2 2" xfId="22433" xr:uid="{00000000-0005-0000-0000-0000F2010000}"/>
    <cellStyle name="2x indented GHG Textfiels 2 4 6 3" xfId="12098" xr:uid="{00000000-0005-0000-0000-0000F3010000}"/>
    <cellStyle name="2x indented GHG Textfiels 2 4 6 3 2" xfId="26930" xr:uid="{00000000-0005-0000-0000-0000F4010000}"/>
    <cellStyle name="2x indented GHG Textfiels 2 5" xfId="1656" xr:uid="{00000000-0005-0000-0000-0000F5010000}"/>
    <cellStyle name="2x indented GHG Textfiels 2 5 2" xfId="2153" xr:uid="{00000000-0005-0000-0000-0000F6010000}"/>
    <cellStyle name="2x indented GHG Textfiels 2 5 2 2" xfId="4151" xr:uid="{00000000-0005-0000-0000-0000F7010000}"/>
    <cellStyle name="2x indented GHG Textfiels 2 5 2 2 2" xfId="8194" xr:uid="{00000000-0005-0000-0000-0000F8010000}"/>
    <cellStyle name="2x indented GHG Textfiels 2 5 2 2 2 2" xfId="23921" xr:uid="{00000000-0005-0000-0000-0000F9010000}"/>
    <cellStyle name="2x indented GHG Textfiels 2 5 2 2 3" xfId="14483" xr:uid="{00000000-0005-0000-0000-0000FA010000}"/>
    <cellStyle name="2x indented GHG Textfiels 2 5 2 2 3 2" xfId="29315" xr:uid="{00000000-0005-0000-0000-0000FB010000}"/>
    <cellStyle name="2x indented GHG Textfiels 2 5 2 3" xfId="3657" xr:uid="{00000000-0005-0000-0000-0000FC010000}"/>
    <cellStyle name="2x indented GHG Textfiels 2 5 2 3 2" xfId="7716" xr:uid="{00000000-0005-0000-0000-0000FD010000}"/>
    <cellStyle name="2x indented GHG Textfiels 2 5 2 3 2 2" xfId="23613" xr:uid="{00000000-0005-0000-0000-0000FE010000}"/>
    <cellStyle name="2x indented GHG Textfiels 2 5 2 3 3" xfId="13992" xr:uid="{00000000-0005-0000-0000-0000FF010000}"/>
    <cellStyle name="2x indented GHG Textfiels 2 5 2 3 3 2" xfId="28824" xr:uid="{00000000-0005-0000-0000-000000020000}"/>
    <cellStyle name="2x indented GHG Textfiels 2 5 2 4" xfId="5121" xr:uid="{00000000-0005-0000-0000-000001020000}"/>
    <cellStyle name="2x indented GHG Textfiels 2 5 2 4 2" xfId="9160" xr:uid="{00000000-0005-0000-0000-000002020000}"/>
    <cellStyle name="2x indented GHG Textfiels 2 5 2 4 2 2" xfId="24530" xr:uid="{00000000-0005-0000-0000-000003020000}"/>
    <cellStyle name="2x indented GHG Textfiels 2 5 2 4 3" xfId="15441" xr:uid="{00000000-0005-0000-0000-000004020000}"/>
    <cellStyle name="2x indented GHG Textfiels 2 5 2 4 3 2" xfId="30273" xr:uid="{00000000-0005-0000-0000-000005020000}"/>
    <cellStyle name="2x indented GHG Textfiels 2 5 2 5" xfId="3111" xr:uid="{00000000-0005-0000-0000-000006020000}"/>
    <cellStyle name="2x indented GHG Textfiels 2 5 2 5 2" xfId="13449" xr:uid="{00000000-0005-0000-0000-000007020000}"/>
    <cellStyle name="2x indented GHG Textfiels 2 5 2 5 2 2" xfId="28281" xr:uid="{00000000-0005-0000-0000-000008020000}"/>
    <cellStyle name="2x indented GHG Textfiels 2 5 2 5 3" xfId="20941" xr:uid="{00000000-0005-0000-0000-000009020000}"/>
    <cellStyle name="2x indented GHG Textfiels 2 5 3" xfId="3851" xr:uid="{00000000-0005-0000-0000-00000A020000}"/>
    <cellStyle name="2x indented GHG Textfiels 2 5 3 2" xfId="7904" xr:uid="{00000000-0005-0000-0000-00000B020000}"/>
    <cellStyle name="2x indented GHG Textfiels 2 5 3 2 2" xfId="23740" xr:uid="{00000000-0005-0000-0000-00000C020000}"/>
    <cellStyle name="2x indented GHG Textfiels 2 5 3 3" xfId="14186" xr:uid="{00000000-0005-0000-0000-00000D020000}"/>
    <cellStyle name="2x indented GHG Textfiels 2 5 3 3 2" xfId="29018" xr:uid="{00000000-0005-0000-0000-00000E020000}"/>
    <cellStyle name="2x indented GHG Textfiels 2 5 4" xfId="4701" xr:uid="{00000000-0005-0000-0000-00000F020000}"/>
    <cellStyle name="2x indented GHG Textfiels 2 5 4 2" xfId="8740" xr:uid="{00000000-0005-0000-0000-000010020000}"/>
    <cellStyle name="2x indented GHG Textfiels 2 5 4 2 2" xfId="24270" xr:uid="{00000000-0005-0000-0000-000011020000}"/>
    <cellStyle name="2x indented GHG Textfiels 2 5 4 3" xfId="15026" xr:uid="{00000000-0005-0000-0000-000012020000}"/>
    <cellStyle name="2x indented GHG Textfiels 2 5 4 3 2" xfId="29858" xr:uid="{00000000-0005-0000-0000-000013020000}"/>
    <cellStyle name="2x indented GHG Textfiels 2 5 5" xfId="2691" xr:uid="{00000000-0005-0000-0000-000014020000}"/>
    <cellStyle name="2x indented GHG Textfiels 2 5 5 2" xfId="13029" xr:uid="{00000000-0005-0000-0000-000015020000}"/>
    <cellStyle name="2x indented GHG Textfiels 2 5 5 2 2" xfId="27861" xr:uid="{00000000-0005-0000-0000-000016020000}"/>
    <cellStyle name="2x indented GHG Textfiels 2 5 5 3" xfId="20681" xr:uid="{00000000-0005-0000-0000-000017020000}"/>
    <cellStyle name="2x indented GHG Textfiels 2 5 6" xfId="1709" xr:uid="{00000000-0005-0000-0000-000018020000}"/>
    <cellStyle name="2x indented GHG Textfiels 2 5 6 2" xfId="5841" xr:uid="{00000000-0005-0000-0000-000019020000}"/>
    <cellStyle name="2x indented GHG Textfiels 2 5 6 2 2" xfId="22438" xr:uid="{00000000-0005-0000-0000-00001A020000}"/>
    <cellStyle name="2x indented GHG Textfiels 2 5 6 3" xfId="12103" xr:uid="{00000000-0005-0000-0000-00001B020000}"/>
    <cellStyle name="2x indented GHG Textfiels 2 5 6 3 2" xfId="26935" xr:uid="{00000000-0005-0000-0000-00001C020000}"/>
    <cellStyle name="2x indented GHG Textfiels 2 6" xfId="1667" xr:uid="{00000000-0005-0000-0000-00001D020000}"/>
    <cellStyle name="2x indented GHG Textfiels 2 6 2" xfId="4354" xr:uid="{00000000-0005-0000-0000-00001E020000}"/>
    <cellStyle name="2x indented GHG Textfiels 2 6 2 2" xfId="8393" xr:uid="{00000000-0005-0000-0000-00001F020000}"/>
    <cellStyle name="2x indented GHG Textfiels 2 6 2 2 2" xfId="24051" xr:uid="{00000000-0005-0000-0000-000020020000}"/>
    <cellStyle name="2x indented GHG Textfiels 2 6 2 3" xfId="14683" xr:uid="{00000000-0005-0000-0000-000021020000}"/>
    <cellStyle name="2x indented GHG Textfiels 2 6 2 3 2" xfId="29515" xr:uid="{00000000-0005-0000-0000-000022020000}"/>
    <cellStyle name="2x indented GHG Textfiels 2 6 3" xfId="5218" xr:uid="{00000000-0005-0000-0000-000023020000}"/>
    <cellStyle name="2x indented GHG Textfiels 2 6 3 2" xfId="9257" xr:uid="{00000000-0005-0000-0000-000024020000}"/>
    <cellStyle name="2x indented GHG Textfiels 2 6 3 2 2" xfId="24595" xr:uid="{00000000-0005-0000-0000-000025020000}"/>
    <cellStyle name="2x indented GHG Textfiels 2 6 3 3" xfId="15534" xr:uid="{00000000-0005-0000-0000-000026020000}"/>
    <cellStyle name="2x indented GHG Textfiels 2 6 3 3 2" xfId="30366" xr:uid="{00000000-0005-0000-0000-000027020000}"/>
    <cellStyle name="2x indented GHG Textfiels 2 6 4" xfId="4248" xr:uid="{00000000-0005-0000-0000-000028020000}"/>
    <cellStyle name="2x indented GHG Textfiels 2 6 4 2" xfId="8287" xr:uid="{00000000-0005-0000-0000-000029020000}"/>
    <cellStyle name="2x indented GHG Textfiels 2 6 4 2 2" xfId="23982" xr:uid="{00000000-0005-0000-0000-00002A020000}"/>
    <cellStyle name="2x indented GHG Textfiels 2 6 4 3" xfId="14580" xr:uid="{00000000-0005-0000-0000-00002B020000}"/>
    <cellStyle name="2x indented GHG Textfiels 2 6 4 3 2" xfId="29412" xr:uid="{00000000-0005-0000-0000-00002C020000}"/>
    <cellStyle name="2x indented GHG Textfiels 2 6 5" xfId="2250" xr:uid="{00000000-0005-0000-0000-00002D020000}"/>
    <cellStyle name="2x indented GHG Textfiels 2 6 5 2" xfId="6362" xr:uid="{00000000-0005-0000-0000-00002E020000}"/>
    <cellStyle name="2x indented GHG Textfiels 2 6 5 2 2" xfId="22764" xr:uid="{00000000-0005-0000-0000-00002F020000}"/>
    <cellStyle name="2x indented GHG Textfiels 2 6 6" xfId="5809" xr:uid="{00000000-0005-0000-0000-000030020000}"/>
    <cellStyle name="2x indented GHG Textfiels 2 6 6 2" xfId="22407" xr:uid="{00000000-0005-0000-0000-000031020000}"/>
    <cellStyle name="2x indented GHG Textfiels 2 6 7" xfId="12062" xr:uid="{00000000-0005-0000-0000-000032020000}"/>
    <cellStyle name="2x indented GHG Textfiels 2 6 7 2" xfId="26894" xr:uid="{00000000-0005-0000-0000-000033020000}"/>
    <cellStyle name="2x indented GHG Textfiels 2 7" xfId="3613" xr:uid="{00000000-0005-0000-0000-000034020000}"/>
    <cellStyle name="2x indented GHG Textfiels 2 7 2" xfId="7674" xr:uid="{00000000-0005-0000-0000-000035020000}"/>
    <cellStyle name="2x indented GHG Textfiels 2 7 2 2" xfId="23584" xr:uid="{00000000-0005-0000-0000-000036020000}"/>
    <cellStyle name="2x indented GHG Textfiels 2 7 3" xfId="13948" xr:uid="{00000000-0005-0000-0000-000037020000}"/>
    <cellStyle name="2x indented GHG Textfiels 2 7 3 2" xfId="28780" xr:uid="{00000000-0005-0000-0000-000038020000}"/>
    <cellStyle name="2x indented GHG Textfiels 2 8" xfId="4264" xr:uid="{00000000-0005-0000-0000-000039020000}"/>
    <cellStyle name="2x indented GHG Textfiels 2 8 2" xfId="8303" xr:uid="{00000000-0005-0000-0000-00003A020000}"/>
    <cellStyle name="2x indented GHG Textfiels 2 8 2 2" xfId="23998" xr:uid="{00000000-0005-0000-0000-00003B020000}"/>
    <cellStyle name="2x indented GHG Textfiels 2 8 3" xfId="14596" xr:uid="{00000000-0005-0000-0000-00003C020000}"/>
    <cellStyle name="2x indented GHG Textfiels 2 8 3 2" xfId="29428" xr:uid="{00000000-0005-0000-0000-00003D020000}"/>
    <cellStyle name="2x indented GHG Textfiels 2 9" xfId="2349" xr:uid="{00000000-0005-0000-0000-00003E020000}"/>
    <cellStyle name="2x indented GHG Textfiels 2 9 2" xfId="6461" xr:uid="{00000000-0005-0000-0000-00003F020000}"/>
    <cellStyle name="2x indented GHG Textfiels 2 9 2 2" xfId="22831" xr:uid="{00000000-0005-0000-0000-000040020000}"/>
    <cellStyle name="2x indented GHG Textfiels 2 9 3" xfId="12689" xr:uid="{00000000-0005-0000-0000-000041020000}"/>
    <cellStyle name="2x indented GHG Textfiels 2 9 3 2" xfId="27521" xr:uid="{00000000-0005-0000-0000-000042020000}"/>
    <cellStyle name="2x indented GHG Textfiels 3" xfId="1420" xr:uid="{00000000-0005-0000-0000-000043020000}"/>
    <cellStyle name="2x indented GHG Textfiels 3 2" xfId="1672" xr:uid="{00000000-0005-0000-0000-000044020000}"/>
    <cellStyle name="2x indented GHG Textfiels 3 2 2" xfId="2255" xr:uid="{00000000-0005-0000-0000-000045020000}"/>
    <cellStyle name="2x indented GHG Textfiels 3 2 2 2" xfId="4359" xr:uid="{00000000-0005-0000-0000-000046020000}"/>
    <cellStyle name="2x indented GHG Textfiels 3 2 2 2 2" xfId="8398" xr:uid="{00000000-0005-0000-0000-000047020000}"/>
    <cellStyle name="2x indented GHG Textfiels 3 2 2 2 2 2" xfId="24056" xr:uid="{00000000-0005-0000-0000-000048020000}"/>
    <cellStyle name="2x indented GHG Textfiels 3 2 2 2 3" xfId="14688" xr:uid="{00000000-0005-0000-0000-000049020000}"/>
    <cellStyle name="2x indented GHG Textfiels 3 2 2 2 3 2" xfId="29520" xr:uid="{00000000-0005-0000-0000-00004A020000}"/>
    <cellStyle name="2x indented GHG Textfiels 3 2 2 3" xfId="5223" xr:uid="{00000000-0005-0000-0000-00004B020000}"/>
    <cellStyle name="2x indented GHG Textfiels 3 2 2 3 2" xfId="9262" xr:uid="{00000000-0005-0000-0000-00004C020000}"/>
    <cellStyle name="2x indented GHG Textfiels 3 2 2 3 2 2" xfId="24600" xr:uid="{00000000-0005-0000-0000-00004D020000}"/>
    <cellStyle name="2x indented GHG Textfiels 3 2 2 3 3" xfId="15539" xr:uid="{00000000-0005-0000-0000-00004E020000}"/>
    <cellStyle name="2x indented GHG Textfiels 3 2 2 3 3 2" xfId="30371" xr:uid="{00000000-0005-0000-0000-00004F020000}"/>
    <cellStyle name="2x indented GHG Textfiels 3 2 2 4" xfId="4253" xr:uid="{00000000-0005-0000-0000-000050020000}"/>
    <cellStyle name="2x indented GHG Textfiels 3 2 2 4 2" xfId="8292" xr:uid="{00000000-0005-0000-0000-000051020000}"/>
    <cellStyle name="2x indented GHG Textfiels 3 2 2 4 2 2" xfId="23987" xr:uid="{00000000-0005-0000-0000-000052020000}"/>
    <cellStyle name="2x indented GHG Textfiels 3 2 2 4 3" xfId="14585" xr:uid="{00000000-0005-0000-0000-000053020000}"/>
    <cellStyle name="2x indented GHG Textfiels 3 2 2 4 3 2" xfId="29417" xr:uid="{00000000-0005-0000-0000-000054020000}"/>
    <cellStyle name="2x indented GHG Textfiels 3 2 2 5" xfId="6367" xr:uid="{00000000-0005-0000-0000-000055020000}"/>
    <cellStyle name="2x indented GHG Textfiels 3 2 2 5 2" xfId="22769" xr:uid="{00000000-0005-0000-0000-000056020000}"/>
    <cellStyle name="2x indented GHG Textfiels 3 2 3" xfId="3989" xr:uid="{00000000-0005-0000-0000-000057020000}"/>
    <cellStyle name="2x indented GHG Textfiels 3 2 3 2" xfId="8037" xr:uid="{00000000-0005-0000-0000-000058020000}"/>
    <cellStyle name="2x indented GHG Textfiels 3 2 3 2 2" xfId="23824" xr:uid="{00000000-0005-0000-0000-000059020000}"/>
    <cellStyle name="2x indented GHG Textfiels 3 2 3 3" xfId="14322" xr:uid="{00000000-0005-0000-0000-00005A020000}"/>
    <cellStyle name="2x indented GHG Textfiels 3 2 3 3 2" xfId="29154" xr:uid="{00000000-0005-0000-0000-00005B020000}"/>
    <cellStyle name="2x indented GHG Textfiels 3 2 4" xfId="3638" xr:uid="{00000000-0005-0000-0000-00005C020000}"/>
    <cellStyle name="2x indented GHG Textfiels 3 2 4 2" xfId="13973" xr:uid="{00000000-0005-0000-0000-00005D020000}"/>
    <cellStyle name="2x indented GHG Textfiels 3 2 4 2 2" xfId="28805" xr:uid="{00000000-0005-0000-0000-00005E020000}"/>
    <cellStyle name="2x indented GHG Textfiels 3 2 4 3" xfId="21264" xr:uid="{00000000-0005-0000-0000-00005F020000}"/>
    <cellStyle name="2x indented GHG Textfiels 3 2 5" xfId="4900" xr:uid="{00000000-0005-0000-0000-000060020000}"/>
    <cellStyle name="2x indented GHG Textfiels 3 2 5 2" xfId="8939" xr:uid="{00000000-0005-0000-0000-000061020000}"/>
    <cellStyle name="2x indented GHG Textfiels 3 2 5 2 2" xfId="24405" xr:uid="{00000000-0005-0000-0000-000062020000}"/>
    <cellStyle name="2x indented GHG Textfiels 3 2 5 3" xfId="15223" xr:uid="{00000000-0005-0000-0000-000063020000}"/>
    <cellStyle name="2x indented GHG Textfiels 3 2 5 3 2" xfId="30055" xr:uid="{00000000-0005-0000-0000-000064020000}"/>
    <cellStyle name="2x indented GHG Textfiels 3 2 6" xfId="2890" xr:uid="{00000000-0005-0000-0000-000065020000}"/>
    <cellStyle name="2x indented GHG Textfiels 3 2 6 2" xfId="13228" xr:uid="{00000000-0005-0000-0000-000066020000}"/>
    <cellStyle name="2x indented GHG Textfiels 3 2 6 2 2" xfId="28060" xr:uid="{00000000-0005-0000-0000-000067020000}"/>
    <cellStyle name="2x indented GHG Textfiels 3 2 6 3" xfId="20816" xr:uid="{00000000-0005-0000-0000-000068020000}"/>
    <cellStyle name="2x indented GHG Textfiels 3 2 7" xfId="12067" xr:uid="{00000000-0005-0000-0000-000069020000}"/>
    <cellStyle name="2x indented GHG Textfiels 3 2 7 2" xfId="26899" xr:uid="{00000000-0005-0000-0000-00006A020000}"/>
    <cellStyle name="2x indented GHG Textfiels 3 3" xfId="2239" xr:uid="{00000000-0005-0000-0000-00006B020000}"/>
    <cellStyle name="2x indented GHG Textfiels 3 3 2" xfId="4343" xr:uid="{00000000-0005-0000-0000-00006C020000}"/>
    <cellStyle name="2x indented GHG Textfiels 3 3 2 2" xfId="8382" xr:uid="{00000000-0005-0000-0000-00006D020000}"/>
    <cellStyle name="2x indented GHG Textfiels 3 3 2 2 2" xfId="24040" xr:uid="{00000000-0005-0000-0000-00006E020000}"/>
    <cellStyle name="2x indented GHG Textfiels 3 3 2 3" xfId="14673" xr:uid="{00000000-0005-0000-0000-00006F020000}"/>
    <cellStyle name="2x indented GHG Textfiels 3 3 2 3 2" xfId="29505" xr:uid="{00000000-0005-0000-0000-000070020000}"/>
    <cellStyle name="2x indented GHG Textfiels 3 3 3" xfId="5207" xr:uid="{00000000-0005-0000-0000-000071020000}"/>
    <cellStyle name="2x indented GHG Textfiels 3 3 3 2" xfId="9246" xr:uid="{00000000-0005-0000-0000-000072020000}"/>
    <cellStyle name="2x indented GHG Textfiels 3 3 3 2 2" xfId="24584" xr:uid="{00000000-0005-0000-0000-000073020000}"/>
    <cellStyle name="2x indented GHG Textfiels 3 3 3 3" xfId="15524" xr:uid="{00000000-0005-0000-0000-000074020000}"/>
    <cellStyle name="2x indented GHG Textfiels 3 3 3 3 2" xfId="30356" xr:uid="{00000000-0005-0000-0000-000075020000}"/>
    <cellStyle name="2x indented GHG Textfiels 3 3 4" xfId="4237" xr:uid="{00000000-0005-0000-0000-000076020000}"/>
    <cellStyle name="2x indented GHG Textfiels 3 3 4 2" xfId="8277" xr:uid="{00000000-0005-0000-0000-000077020000}"/>
    <cellStyle name="2x indented GHG Textfiels 3 3 4 2 2" xfId="23972" xr:uid="{00000000-0005-0000-0000-000078020000}"/>
    <cellStyle name="2x indented GHG Textfiels 3 3 4 3" xfId="14569" xr:uid="{00000000-0005-0000-0000-000079020000}"/>
    <cellStyle name="2x indented GHG Textfiels 3 3 4 3 2" xfId="29401" xr:uid="{00000000-0005-0000-0000-00007A020000}"/>
    <cellStyle name="2x indented GHG Textfiels 3 3 5" xfId="6352" xr:uid="{00000000-0005-0000-0000-00007B020000}"/>
    <cellStyle name="2x indented GHG Textfiels 3 3 5 2" xfId="22754" xr:uid="{00000000-0005-0000-0000-00007C020000}"/>
    <cellStyle name="2x indented GHG Textfiels 3 4" xfId="3689" xr:uid="{00000000-0005-0000-0000-00007D020000}"/>
    <cellStyle name="2x indented GHG Textfiels 3 4 2" xfId="7746" xr:uid="{00000000-0005-0000-0000-00007E020000}"/>
    <cellStyle name="2x indented GHG Textfiels 3 4 2 2" xfId="23633" xr:uid="{00000000-0005-0000-0000-00007F020000}"/>
    <cellStyle name="2x indented GHG Textfiels 3 4 3" xfId="14024" xr:uid="{00000000-0005-0000-0000-000080020000}"/>
    <cellStyle name="2x indented GHG Textfiels 3 4 3 2" xfId="28856" xr:uid="{00000000-0005-0000-0000-000081020000}"/>
    <cellStyle name="2x indented GHG Textfiels 3 5" xfId="3683" xr:uid="{00000000-0005-0000-0000-000082020000}"/>
    <cellStyle name="2x indented GHG Textfiels 3 5 2" xfId="14018" xr:uid="{00000000-0005-0000-0000-000083020000}"/>
    <cellStyle name="2x indented GHG Textfiels 3 5 2 2" xfId="28850" xr:uid="{00000000-0005-0000-0000-000084020000}"/>
    <cellStyle name="2x indented GHG Textfiels 3 5 3" xfId="21291" xr:uid="{00000000-0005-0000-0000-000085020000}"/>
    <cellStyle name="2x indented GHG Textfiels 3 6" xfId="4480" xr:uid="{00000000-0005-0000-0000-000086020000}"/>
    <cellStyle name="2x indented GHG Textfiels 3 6 2" xfId="8519" xr:uid="{00000000-0005-0000-0000-000087020000}"/>
    <cellStyle name="2x indented GHG Textfiels 3 6 2 2" xfId="24145" xr:uid="{00000000-0005-0000-0000-000088020000}"/>
    <cellStyle name="2x indented GHG Textfiels 3 6 3" xfId="14808" xr:uid="{00000000-0005-0000-0000-000089020000}"/>
    <cellStyle name="2x indented GHG Textfiels 3 6 3 2" xfId="29640" xr:uid="{00000000-0005-0000-0000-00008A020000}"/>
    <cellStyle name="2x indented GHG Textfiels 3 7" xfId="2470" xr:uid="{00000000-0005-0000-0000-00008B020000}"/>
    <cellStyle name="2x indented GHG Textfiels 3 7 2" xfId="6576" xr:uid="{00000000-0005-0000-0000-00008C020000}"/>
    <cellStyle name="2x indented GHG Textfiels 3 7 2 2" xfId="22914" xr:uid="{00000000-0005-0000-0000-00008D020000}"/>
    <cellStyle name="2x indented GHG Textfiels 3 7 3" xfId="12809" xr:uid="{00000000-0005-0000-0000-00008E020000}"/>
    <cellStyle name="2x indented GHG Textfiels 3 7 3 2" xfId="27641" xr:uid="{00000000-0005-0000-0000-00008F020000}"/>
    <cellStyle name="2x indented GHG Textfiels 3 8" xfId="1693" xr:uid="{00000000-0005-0000-0000-000090020000}"/>
    <cellStyle name="2x indented GHG Textfiels 3 8 2" xfId="5825" xr:uid="{00000000-0005-0000-0000-000091020000}"/>
    <cellStyle name="2x indented GHG Textfiels 3 8 2 2" xfId="22422" xr:uid="{00000000-0005-0000-0000-000092020000}"/>
    <cellStyle name="2x indented GHG Textfiels 3 8 3" xfId="12087" xr:uid="{00000000-0005-0000-0000-000093020000}"/>
    <cellStyle name="2x indented GHG Textfiels 3 8 3 2" xfId="26919" xr:uid="{00000000-0005-0000-0000-000094020000}"/>
    <cellStyle name="2x indented GHG Textfiels 3 9" xfId="5594" xr:uid="{00000000-0005-0000-0000-000095020000}"/>
    <cellStyle name="2x indented GHG Textfiels 3 9 2" xfId="15829" xr:uid="{00000000-0005-0000-0000-000096020000}"/>
    <cellStyle name="2x indented GHG Textfiels 3 9 2 2" xfId="30661" xr:uid="{00000000-0005-0000-0000-000097020000}"/>
    <cellStyle name="2x indented GHG Textfiels 3 9 3" xfId="22290" xr:uid="{00000000-0005-0000-0000-000098020000}"/>
    <cellStyle name="2x indented GHG Textfiels 4" xfId="1662" xr:uid="{00000000-0005-0000-0000-000099020000}"/>
    <cellStyle name="2x indented GHG Textfiels 4 2" xfId="4349" xr:uid="{00000000-0005-0000-0000-00009A020000}"/>
    <cellStyle name="2x indented GHG Textfiels 4 2 2" xfId="8388" xr:uid="{00000000-0005-0000-0000-00009B020000}"/>
    <cellStyle name="2x indented GHG Textfiels 4 2 2 2" xfId="24046" xr:uid="{00000000-0005-0000-0000-00009C020000}"/>
    <cellStyle name="2x indented GHG Textfiels 4 2 3" xfId="14678" xr:uid="{00000000-0005-0000-0000-00009D020000}"/>
    <cellStyle name="2x indented GHG Textfiels 4 2 3 2" xfId="29510" xr:uid="{00000000-0005-0000-0000-00009E020000}"/>
    <cellStyle name="2x indented GHG Textfiels 4 3" xfId="5213" xr:uid="{00000000-0005-0000-0000-00009F020000}"/>
    <cellStyle name="2x indented GHG Textfiels 4 3 2" xfId="9252" xr:uid="{00000000-0005-0000-0000-0000A0020000}"/>
    <cellStyle name="2x indented GHG Textfiels 4 3 2 2" xfId="24590" xr:uid="{00000000-0005-0000-0000-0000A1020000}"/>
    <cellStyle name="2x indented GHG Textfiels 4 3 3" xfId="15529" xr:uid="{00000000-0005-0000-0000-0000A2020000}"/>
    <cellStyle name="2x indented GHG Textfiels 4 3 3 2" xfId="30361" xr:uid="{00000000-0005-0000-0000-0000A3020000}"/>
    <cellStyle name="2x indented GHG Textfiels 4 4" xfId="4243" xr:uid="{00000000-0005-0000-0000-0000A4020000}"/>
    <cellStyle name="2x indented GHG Textfiels 4 4 2" xfId="8282" xr:uid="{00000000-0005-0000-0000-0000A5020000}"/>
    <cellStyle name="2x indented GHG Textfiels 4 4 2 2" xfId="23977" xr:uid="{00000000-0005-0000-0000-0000A6020000}"/>
    <cellStyle name="2x indented GHG Textfiels 4 4 3" xfId="14575" xr:uid="{00000000-0005-0000-0000-0000A7020000}"/>
    <cellStyle name="2x indented GHG Textfiels 4 4 3 2" xfId="29407" xr:uid="{00000000-0005-0000-0000-0000A8020000}"/>
    <cellStyle name="2x indented GHG Textfiels 4 5" xfId="2245" xr:uid="{00000000-0005-0000-0000-0000A9020000}"/>
    <cellStyle name="2x indented GHG Textfiels 4 5 2" xfId="6357" xr:uid="{00000000-0005-0000-0000-0000AA020000}"/>
    <cellStyle name="2x indented GHG Textfiels 4 5 2 2" xfId="22759" xr:uid="{00000000-0005-0000-0000-0000AB020000}"/>
    <cellStyle name="2x indented GHG Textfiels 4 6" xfId="5804" xr:uid="{00000000-0005-0000-0000-0000AC020000}"/>
    <cellStyle name="2x indented GHG Textfiels 4 6 2" xfId="22402" xr:uid="{00000000-0005-0000-0000-0000AD020000}"/>
    <cellStyle name="2x indented GHG Textfiels 4 7" xfId="12057" xr:uid="{00000000-0005-0000-0000-0000AE020000}"/>
    <cellStyle name="2x indented GHG Textfiels 4 7 2" xfId="26889" xr:uid="{00000000-0005-0000-0000-0000AF020000}"/>
    <cellStyle name="2x indented GHG Textfiels 5" xfId="3215" xr:uid="{00000000-0005-0000-0000-0000B0020000}"/>
    <cellStyle name="2x indented GHG Textfiels 5 2" xfId="7279" xr:uid="{00000000-0005-0000-0000-0000B1020000}"/>
    <cellStyle name="2x indented GHG Textfiels 5 2 2" xfId="23324" xr:uid="{00000000-0005-0000-0000-0000B2020000}"/>
    <cellStyle name="2x indented GHG Textfiels 5 3" xfId="13553" xr:uid="{00000000-0005-0000-0000-0000B3020000}"/>
    <cellStyle name="2x indented GHG Textfiels 5 3 2" xfId="28385" xr:uid="{00000000-0005-0000-0000-0000B4020000}"/>
    <cellStyle name="2x indented GHG Textfiels 6" xfId="3427" xr:uid="{00000000-0005-0000-0000-0000B5020000}"/>
    <cellStyle name="2x indented GHG Textfiels 6 2" xfId="7490" xr:uid="{00000000-0005-0000-0000-0000B6020000}"/>
    <cellStyle name="2x indented GHG Textfiels 6 2 2" xfId="23468" xr:uid="{00000000-0005-0000-0000-0000B7020000}"/>
    <cellStyle name="2x indented GHG Textfiels 6 3" xfId="13764" xr:uid="{00000000-0005-0000-0000-0000B8020000}"/>
    <cellStyle name="2x indented GHG Textfiels 6 3 2" xfId="28596" xr:uid="{00000000-0005-0000-0000-0000B9020000}"/>
    <cellStyle name="2x indented GHG Textfiels 7" xfId="2265" xr:uid="{00000000-0005-0000-0000-0000BA020000}"/>
    <cellStyle name="2x indented GHG Textfiels 7 2" xfId="6377" xr:uid="{00000000-0005-0000-0000-0000BB020000}"/>
    <cellStyle name="2x indented GHG Textfiels 7 2 2" xfId="22779" xr:uid="{00000000-0005-0000-0000-0000BC020000}"/>
    <cellStyle name="2x indented GHG Textfiels 7 3" xfId="12606" xr:uid="{00000000-0005-0000-0000-0000BD020000}"/>
    <cellStyle name="2x indented GHG Textfiels 7 3 2" xfId="27438" xr:uid="{00000000-0005-0000-0000-0000BE020000}"/>
    <cellStyle name="2x indented GHG Textfiels 8" xfId="1683" xr:uid="{00000000-0005-0000-0000-0000BF020000}"/>
    <cellStyle name="2x indented GHG Textfiels 8 2" xfId="5815" xr:uid="{00000000-0005-0000-0000-0000C0020000}"/>
    <cellStyle name="2x indented GHG Textfiels 8 2 2" xfId="22412" xr:uid="{00000000-0005-0000-0000-0000C1020000}"/>
    <cellStyle name="2x indented GHG Textfiels 8 3" xfId="12077" xr:uid="{00000000-0005-0000-0000-0000C2020000}"/>
    <cellStyle name="2x indented GHG Textfiels 8 3 2" xfId="26909" xr:uid="{00000000-0005-0000-0000-0000C3020000}"/>
    <cellStyle name="2x indented GHG Textfiels 9" xfId="5470" xr:uid="{00000000-0005-0000-0000-0000C4020000}"/>
    <cellStyle name="2x indented GHG Textfiels 9 2" xfId="15705" xr:uid="{00000000-0005-0000-0000-0000C5020000}"/>
    <cellStyle name="2x indented GHG Textfiels 9 2 2" xfId="30537" xr:uid="{00000000-0005-0000-0000-0000C6020000}"/>
    <cellStyle name="2x indented GHG Textfiels 9 3" xfId="22198" xr:uid="{00000000-0005-0000-0000-0000C7020000}"/>
    <cellStyle name="40% - Accent1 10" xfId="358" xr:uid="{00000000-0005-0000-0000-0000C8020000}"/>
    <cellStyle name="40% - Accent1 2" xfId="359" xr:uid="{00000000-0005-0000-0000-0000C9020000}"/>
    <cellStyle name="40% - Accent1 2 10" xfId="360" xr:uid="{00000000-0005-0000-0000-0000CA020000}"/>
    <cellStyle name="40% - Accent1 2 2" xfId="361" xr:uid="{00000000-0005-0000-0000-0000CB020000}"/>
    <cellStyle name="40% - Accent1 2 2 2" xfId="362" xr:uid="{00000000-0005-0000-0000-0000CC020000}"/>
    <cellStyle name="40% - Accent1 2 2 2 2" xfId="363" xr:uid="{00000000-0005-0000-0000-0000CD020000}"/>
    <cellStyle name="40% - Accent1 2 2 3" xfId="364" xr:uid="{00000000-0005-0000-0000-0000CE020000}"/>
    <cellStyle name="40% - Accent1 2 3" xfId="365" xr:uid="{00000000-0005-0000-0000-0000CF020000}"/>
    <cellStyle name="40% - Accent1 2 3 2" xfId="366" xr:uid="{00000000-0005-0000-0000-0000D0020000}"/>
    <cellStyle name="40% - Accent1 2 3 2 2" xfId="367" xr:uid="{00000000-0005-0000-0000-0000D1020000}"/>
    <cellStyle name="40% - Accent1 2 3 3" xfId="368" xr:uid="{00000000-0005-0000-0000-0000D2020000}"/>
    <cellStyle name="40% - Accent1 2 4" xfId="369" xr:uid="{00000000-0005-0000-0000-0000D3020000}"/>
    <cellStyle name="40% - Accent1 2 4 2" xfId="370" xr:uid="{00000000-0005-0000-0000-0000D4020000}"/>
    <cellStyle name="40% - Accent1 2 4 2 2" xfId="371" xr:uid="{00000000-0005-0000-0000-0000D5020000}"/>
    <cellStyle name="40% - Accent1 2 4 3" xfId="372" xr:uid="{00000000-0005-0000-0000-0000D6020000}"/>
    <cellStyle name="40% - Accent1 2 5" xfId="373" xr:uid="{00000000-0005-0000-0000-0000D7020000}"/>
    <cellStyle name="40% - Accent1 2 5 2" xfId="374" xr:uid="{00000000-0005-0000-0000-0000D8020000}"/>
    <cellStyle name="40% - Accent1 2 5 2 2" xfId="375" xr:uid="{00000000-0005-0000-0000-0000D9020000}"/>
    <cellStyle name="40% - Accent1 2 5 3" xfId="376" xr:uid="{00000000-0005-0000-0000-0000DA020000}"/>
    <cellStyle name="40% - Accent1 2 6" xfId="377" xr:uid="{00000000-0005-0000-0000-0000DB020000}"/>
    <cellStyle name="40% - Accent1 2 6 2" xfId="378" xr:uid="{00000000-0005-0000-0000-0000DC020000}"/>
    <cellStyle name="40% - Accent1 2 6 2 2" xfId="379" xr:uid="{00000000-0005-0000-0000-0000DD020000}"/>
    <cellStyle name="40% - Accent1 2 6 3" xfId="380" xr:uid="{00000000-0005-0000-0000-0000DE020000}"/>
    <cellStyle name="40% - Accent1 2 7" xfId="381" xr:uid="{00000000-0005-0000-0000-0000DF020000}"/>
    <cellStyle name="40% - Accent1 2 7 2" xfId="382" xr:uid="{00000000-0005-0000-0000-0000E0020000}"/>
    <cellStyle name="40% - Accent1 2 7 2 2" xfId="383" xr:uid="{00000000-0005-0000-0000-0000E1020000}"/>
    <cellStyle name="40% - Accent1 2 7 3" xfId="384" xr:uid="{00000000-0005-0000-0000-0000E2020000}"/>
    <cellStyle name="40% - Accent1 2 8" xfId="385" xr:uid="{00000000-0005-0000-0000-0000E3020000}"/>
    <cellStyle name="40% - Accent1 2 8 2" xfId="386" xr:uid="{00000000-0005-0000-0000-0000E4020000}"/>
    <cellStyle name="40% - Accent1 2 8 2 2" xfId="387" xr:uid="{00000000-0005-0000-0000-0000E5020000}"/>
    <cellStyle name="40% - Accent1 2 8 3" xfId="388" xr:uid="{00000000-0005-0000-0000-0000E6020000}"/>
    <cellStyle name="40% - Accent1 2 9" xfId="389" xr:uid="{00000000-0005-0000-0000-0000E7020000}"/>
    <cellStyle name="40% - Accent1 2 9 2" xfId="390" xr:uid="{00000000-0005-0000-0000-0000E8020000}"/>
    <cellStyle name="40% - Accent1 3" xfId="391" xr:uid="{00000000-0005-0000-0000-0000E9020000}"/>
    <cellStyle name="40% - Accent1 3 2" xfId="392" xr:uid="{00000000-0005-0000-0000-0000EA020000}"/>
    <cellStyle name="40% - Accent1 3 2 2" xfId="393" xr:uid="{00000000-0005-0000-0000-0000EB020000}"/>
    <cellStyle name="40% - Accent1 3 3" xfId="394" xr:uid="{00000000-0005-0000-0000-0000EC020000}"/>
    <cellStyle name="40% - Accent1 4" xfId="395" xr:uid="{00000000-0005-0000-0000-0000ED020000}"/>
    <cellStyle name="40% - Accent1 4 2" xfId="396" xr:uid="{00000000-0005-0000-0000-0000EE020000}"/>
    <cellStyle name="40% - Accent1 4 2 2" xfId="397" xr:uid="{00000000-0005-0000-0000-0000EF020000}"/>
    <cellStyle name="40% - Accent1 4 3" xfId="398" xr:uid="{00000000-0005-0000-0000-0000F0020000}"/>
    <cellStyle name="40% - Accent1 5" xfId="399" xr:uid="{00000000-0005-0000-0000-0000F1020000}"/>
    <cellStyle name="40% - Accent1 5 2" xfId="400" xr:uid="{00000000-0005-0000-0000-0000F2020000}"/>
    <cellStyle name="40% - Accent1 5 2 2" xfId="401" xr:uid="{00000000-0005-0000-0000-0000F3020000}"/>
    <cellStyle name="40% - Accent1 5 3" xfId="402" xr:uid="{00000000-0005-0000-0000-0000F4020000}"/>
    <cellStyle name="40% - Accent1 6" xfId="403" xr:uid="{00000000-0005-0000-0000-0000F5020000}"/>
    <cellStyle name="40% - Accent1 6 2" xfId="404" xr:uid="{00000000-0005-0000-0000-0000F6020000}"/>
    <cellStyle name="40% - Accent1 6 2 2" xfId="405" xr:uid="{00000000-0005-0000-0000-0000F7020000}"/>
    <cellStyle name="40% - Accent1 6 3" xfId="406" xr:uid="{00000000-0005-0000-0000-0000F8020000}"/>
    <cellStyle name="40% - Accent1 7" xfId="407" xr:uid="{00000000-0005-0000-0000-0000F9020000}"/>
    <cellStyle name="40% - Accent1 7 2" xfId="408" xr:uid="{00000000-0005-0000-0000-0000FA020000}"/>
    <cellStyle name="40% - Accent1 7 2 2" xfId="409" xr:uid="{00000000-0005-0000-0000-0000FB020000}"/>
    <cellStyle name="40% - Accent1 7 3" xfId="410" xr:uid="{00000000-0005-0000-0000-0000FC020000}"/>
    <cellStyle name="40% - Accent1 8" xfId="411" xr:uid="{00000000-0005-0000-0000-0000FD020000}"/>
    <cellStyle name="40% - Accent1 8 2" xfId="412" xr:uid="{00000000-0005-0000-0000-0000FE020000}"/>
    <cellStyle name="40% - Accent1 8 2 2" xfId="413" xr:uid="{00000000-0005-0000-0000-0000FF020000}"/>
    <cellStyle name="40% - Accent1 8 3" xfId="414" xr:uid="{00000000-0005-0000-0000-000000030000}"/>
    <cellStyle name="40% - Accent1 9" xfId="415" xr:uid="{00000000-0005-0000-0000-000001030000}"/>
    <cellStyle name="40% - Accent2 10" xfId="416" xr:uid="{00000000-0005-0000-0000-000002030000}"/>
    <cellStyle name="40% - Accent2 2" xfId="417" xr:uid="{00000000-0005-0000-0000-000003030000}"/>
    <cellStyle name="40% - Accent2 2 10" xfId="418" xr:uid="{00000000-0005-0000-0000-000004030000}"/>
    <cellStyle name="40% - Accent2 2 2" xfId="419" xr:uid="{00000000-0005-0000-0000-000005030000}"/>
    <cellStyle name="40% - Accent2 2 2 2" xfId="420" xr:uid="{00000000-0005-0000-0000-000006030000}"/>
    <cellStyle name="40% - Accent2 2 2 2 2" xfId="421" xr:uid="{00000000-0005-0000-0000-000007030000}"/>
    <cellStyle name="40% - Accent2 2 2 3" xfId="422" xr:uid="{00000000-0005-0000-0000-000008030000}"/>
    <cellStyle name="40% - Accent2 2 3" xfId="423" xr:uid="{00000000-0005-0000-0000-000009030000}"/>
    <cellStyle name="40% - Accent2 2 3 2" xfId="424" xr:uid="{00000000-0005-0000-0000-00000A030000}"/>
    <cellStyle name="40% - Accent2 2 3 2 2" xfId="425" xr:uid="{00000000-0005-0000-0000-00000B030000}"/>
    <cellStyle name="40% - Accent2 2 3 3" xfId="426" xr:uid="{00000000-0005-0000-0000-00000C030000}"/>
    <cellStyle name="40% - Accent2 2 4" xfId="427" xr:uid="{00000000-0005-0000-0000-00000D030000}"/>
    <cellStyle name="40% - Accent2 2 4 2" xfId="428" xr:uid="{00000000-0005-0000-0000-00000E030000}"/>
    <cellStyle name="40% - Accent2 2 4 2 2" xfId="429" xr:uid="{00000000-0005-0000-0000-00000F030000}"/>
    <cellStyle name="40% - Accent2 2 4 3" xfId="430" xr:uid="{00000000-0005-0000-0000-000010030000}"/>
    <cellStyle name="40% - Accent2 2 5" xfId="431" xr:uid="{00000000-0005-0000-0000-000011030000}"/>
    <cellStyle name="40% - Accent2 2 5 2" xfId="432" xr:uid="{00000000-0005-0000-0000-000012030000}"/>
    <cellStyle name="40% - Accent2 2 5 2 2" xfId="433" xr:uid="{00000000-0005-0000-0000-000013030000}"/>
    <cellStyle name="40% - Accent2 2 5 3" xfId="434" xr:uid="{00000000-0005-0000-0000-000014030000}"/>
    <cellStyle name="40% - Accent2 2 6" xfId="435" xr:uid="{00000000-0005-0000-0000-000015030000}"/>
    <cellStyle name="40% - Accent2 2 6 2" xfId="436" xr:uid="{00000000-0005-0000-0000-000016030000}"/>
    <cellStyle name="40% - Accent2 2 6 2 2" xfId="437" xr:uid="{00000000-0005-0000-0000-000017030000}"/>
    <cellStyle name="40% - Accent2 2 6 3" xfId="438" xr:uid="{00000000-0005-0000-0000-000018030000}"/>
    <cellStyle name="40% - Accent2 2 7" xfId="439" xr:uid="{00000000-0005-0000-0000-000019030000}"/>
    <cellStyle name="40% - Accent2 2 7 2" xfId="440" xr:uid="{00000000-0005-0000-0000-00001A030000}"/>
    <cellStyle name="40% - Accent2 2 7 2 2" xfId="441" xr:uid="{00000000-0005-0000-0000-00001B030000}"/>
    <cellStyle name="40% - Accent2 2 7 3" xfId="442" xr:uid="{00000000-0005-0000-0000-00001C030000}"/>
    <cellStyle name="40% - Accent2 2 8" xfId="443" xr:uid="{00000000-0005-0000-0000-00001D030000}"/>
    <cellStyle name="40% - Accent2 2 8 2" xfId="444" xr:uid="{00000000-0005-0000-0000-00001E030000}"/>
    <cellStyle name="40% - Accent2 2 8 2 2" xfId="445" xr:uid="{00000000-0005-0000-0000-00001F030000}"/>
    <cellStyle name="40% - Accent2 2 8 3" xfId="446" xr:uid="{00000000-0005-0000-0000-000020030000}"/>
    <cellStyle name="40% - Accent2 2 9" xfId="447" xr:uid="{00000000-0005-0000-0000-000021030000}"/>
    <cellStyle name="40% - Accent2 2 9 2" xfId="448" xr:uid="{00000000-0005-0000-0000-000022030000}"/>
    <cellStyle name="40% - Accent2 3" xfId="449" xr:uid="{00000000-0005-0000-0000-000023030000}"/>
    <cellStyle name="40% - Accent2 3 2" xfId="450" xr:uid="{00000000-0005-0000-0000-000024030000}"/>
    <cellStyle name="40% - Accent2 3 2 2" xfId="451" xr:uid="{00000000-0005-0000-0000-000025030000}"/>
    <cellStyle name="40% - Accent2 3 3" xfId="452" xr:uid="{00000000-0005-0000-0000-000026030000}"/>
    <cellStyle name="40% - Accent2 4" xfId="453" xr:uid="{00000000-0005-0000-0000-000027030000}"/>
    <cellStyle name="40% - Accent2 4 2" xfId="454" xr:uid="{00000000-0005-0000-0000-000028030000}"/>
    <cellStyle name="40% - Accent2 4 2 2" xfId="455" xr:uid="{00000000-0005-0000-0000-000029030000}"/>
    <cellStyle name="40% - Accent2 4 3" xfId="456" xr:uid="{00000000-0005-0000-0000-00002A030000}"/>
    <cellStyle name="40% - Accent2 5" xfId="457" xr:uid="{00000000-0005-0000-0000-00002B030000}"/>
    <cellStyle name="40% - Accent2 5 2" xfId="458" xr:uid="{00000000-0005-0000-0000-00002C030000}"/>
    <cellStyle name="40% - Accent2 5 2 2" xfId="459" xr:uid="{00000000-0005-0000-0000-00002D030000}"/>
    <cellStyle name="40% - Accent2 5 3" xfId="460" xr:uid="{00000000-0005-0000-0000-00002E030000}"/>
    <cellStyle name="40% - Accent2 6" xfId="461" xr:uid="{00000000-0005-0000-0000-00002F030000}"/>
    <cellStyle name="40% - Accent2 6 2" xfId="462" xr:uid="{00000000-0005-0000-0000-000030030000}"/>
    <cellStyle name="40% - Accent2 6 2 2" xfId="463" xr:uid="{00000000-0005-0000-0000-000031030000}"/>
    <cellStyle name="40% - Accent2 6 3" xfId="464" xr:uid="{00000000-0005-0000-0000-000032030000}"/>
    <cellStyle name="40% - Accent2 7" xfId="465" xr:uid="{00000000-0005-0000-0000-000033030000}"/>
    <cellStyle name="40% - Accent2 7 2" xfId="466" xr:uid="{00000000-0005-0000-0000-000034030000}"/>
    <cellStyle name="40% - Accent2 7 2 2" xfId="467" xr:uid="{00000000-0005-0000-0000-000035030000}"/>
    <cellStyle name="40% - Accent2 7 3" xfId="468" xr:uid="{00000000-0005-0000-0000-000036030000}"/>
    <cellStyle name="40% - Accent2 8" xfId="469" xr:uid="{00000000-0005-0000-0000-000037030000}"/>
    <cellStyle name="40% - Accent2 8 2" xfId="470" xr:uid="{00000000-0005-0000-0000-000038030000}"/>
    <cellStyle name="40% - Accent2 8 2 2" xfId="471" xr:uid="{00000000-0005-0000-0000-000039030000}"/>
    <cellStyle name="40% - Accent2 8 3" xfId="472" xr:uid="{00000000-0005-0000-0000-00003A030000}"/>
    <cellStyle name="40% - Accent2 9" xfId="473" xr:uid="{00000000-0005-0000-0000-00003B030000}"/>
    <cellStyle name="40% - Accent3 10" xfId="474" xr:uid="{00000000-0005-0000-0000-00003C030000}"/>
    <cellStyle name="40% - Accent3 2" xfId="475" xr:uid="{00000000-0005-0000-0000-00003D030000}"/>
    <cellStyle name="40% - Accent3 2 10" xfId="476" xr:uid="{00000000-0005-0000-0000-00003E030000}"/>
    <cellStyle name="40% - Accent3 2 2" xfId="477" xr:uid="{00000000-0005-0000-0000-00003F030000}"/>
    <cellStyle name="40% - Accent3 2 2 2" xfId="478" xr:uid="{00000000-0005-0000-0000-000040030000}"/>
    <cellStyle name="40% - Accent3 2 2 2 2" xfId="479" xr:uid="{00000000-0005-0000-0000-000041030000}"/>
    <cellStyle name="40% - Accent3 2 2 3" xfId="480" xr:uid="{00000000-0005-0000-0000-000042030000}"/>
    <cellStyle name="40% - Accent3 2 3" xfId="481" xr:uid="{00000000-0005-0000-0000-000043030000}"/>
    <cellStyle name="40% - Accent3 2 3 2" xfId="482" xr:uid="{00000000-0005-0000-0000-000044030000}"/>
    <cellStyle name="40% - Accent3 2 3 2 2" xfId="483" xr:uid="{00000000-0005-0000-0000-000045030000}"/>
    <cellStyle name="40% - Accent3 2 3 3" xfId="484" xr:uid="{00000000-0005-0000-0000-000046030000}"/>
    <cellStyle name="40% - Accent3 2 4" xfId="485" xr:uid="{00000000-0005-0000-0000-000047030000}"/>
    <cellStyle name="40% - Accent3 2 4 2" xfId="486" xr:uid="{00000000-0005-0000-0000-000048030000}"/>
    <cellStyle name="40% - Accent3 2 4 2 2" xfId="487" xr:uid="{00000000-0005-0000-0000-000049030000}"/>
    <cellStyle name="40% - Accent3 2 4 3" xfId="488" xr:uid="{00000000-0005-0000-0000-00004A030000}"/>
    <cellStyle name="40% - Accent3 2 5" xfId="489" xr:uid="{00000000-0005-0000-0000-00004B030000}"/>
    <cellStyle name="40% - Accent3 2 5 2" xfId="490" xr:uid="{00000000-0005-0000-0000-00004C030000}"/>
    <cellStyle name="40% - Accent3 2 5 2 2" xfId="491" xr:uid="{00000000-0005-0000-0000-00004D030000}"/>
    <cellStyle name="40% - Accent3 2 5 3" xfId="492" xr:uid="{00000000-0005-0000-0000-00004E030000}"/>
    <cellStyle name="40% - Accent3 2 6" xfId="493" xr:uid="{00000000-0005-0000-0000-00004F030000}"/>
    <cellStyle name="40% - Accent3 2 6 2" xfId="494" xr:uid="{00000000-0005-0000-0000-000050030000}"/>
    <cellStyle name="40% - Accent3 2 6 2 2" xfId="495" xr:uid="{00000000-0005-0000-0000-000051030000}"/>
    <cellStyle name="40% - Accent3 2 6 3" xfId="496" xr:uid="{00000000-0005-0000-0000-000052030000}"/>
    <cellStyle name="40% - Accent3 2 7" xfId="497" xr:uid="{00000000-0005-0000-0000-000053030000}"/>
    <cellStyle name="40% - Accent3 2 7 2" xfId="498" xr:uid="{00000000-0005-0000-0000-000054030000}"/>
    <cellStyle name="40% - Accent3 2 7 2 2" xfId="499" xr:uid="{00000000-0005-0000-0000-000055030000}"/>
    <cellStyle name="40% - Accent3 2 7 3" xfId="500" xr:uid="{00000000-0005-0000-0000-000056030000}"/>
    <cellStyle name="40% - Accent3 2 8" xfId="501" xr:uid="{00000000-0005-0000-0000-000057030000}"/>
    <cellStyle name="40% - Accent3 2 8 2" xfId="502" xr:uid="{00000000-0005-0000-0000-000058030000}"/>
    <cellStyle name="40% - Accent3 2 8 2 2" xfId="503" xr:uid="{00000000-0005-0000-0000-000059030000}"/>
    <cellStyle name="40% - Accent3 2 8 3" xfId="504" xr:uid="{00000000-0005-0000-0000-00005A030000}"/>
    <cellStyle name="40% - Accent3 2 9" xfId="505" xr:uid="{00000000-0005-0000-0000-00005B030000}"/>
    <cellStyle name="40% - Accent3 2 9 2" xfId="506" xr:uid="{00000000-0005-0000-0000-00005C030000}"/>
    <cellStyle name="40% - Accent3 3" xfId="507" xr:uid="{00000000-0005-0000-0000-00005D030000}"/>
    <cellStyle name="40% - Accent3 3 2" xfId="508" xr:uid="{00000000-0005-0000-0000-00005E030000}"/>
    <cellStyle name="40% - Accent3 3 2 2" xfId="509" xr:uid="{00000000-0005-0000-0000-00005F030000}"/>
    <cellStyle name="40% - Accent3 3 3" xfId="510" xr:uid="{00000000-0005-0000-0000-000060030000}"/>
    <cellStyle name="40% - Accent3 4" xfId="511" xr:uid="{00000000-0005-0000-0000-000061030000}"/>
    <cellStyle name="40% - Accent3 4 2" xfId="512" xr:uid="{00000000-0005-0000-0000-000062030000}"/>
    <cellStyle name="40% - Accent3 4 2 2" xfId="513" xr:uid="{00000000-0005-0000-0000-000063030000}"/>
    <cellStyle name="40% - Accent3 4 3" xfId="514" xr:uid="{00000000-0005-0000-0000-000064030000}"/>
    <cellStyle name="40% - Accent3 5" xfId="515" xr:uid="{00000000-0005-0000-0000-000065030000}"/>
    <cellStyle name="40% - Accent3 5 2" xfId="516" xr:uid="{00000000-0005-0000-0000-000066030000}"/>
    <cellStyle name="40% - Accent3 5 2 2" xfId="517" xr:uid="{00000000-0005-0000-0000-000067030000}"/>
    <cellStyle name="40% - Accent3 5 3" xfId="518" xr:uid="{00000000-0005-0000-0000-000068030000}"/>
    <cellStyle name="40% - Accent3 6" xfId="519" xr:uid="{00000000-0005-0000-0000-000069030000}"/>
    <cellStyle name="40% - Accent3 6 2" xfId="520" xr:uid="{00000000-0005-0000-0000-00006A030000}"/>
    <cellStyle name="40% - Accent3 6 2 2" xfId="521" xr:uid="{00000000-0005-0000-0000-00006B030000}"/>
    <cellStyle name="40% - Accent3 6 3" xfId="522" xr:uid="{00000000-0005-0000-0000-00006C030000}"/>
    <cellStyle name="40% - Accent3 7" xfId="523" xr:uid="{00000000-0005-0000-0000-00006D030000}"/>
    <cellStyle name="40% - Accent3 7 2" xfId="524" xr:uid="{00000000-0005-0000-0000-00006E030000}"/>
    <cellStyle name="40% - Accent3 7 2 2" xfId="525" xr:uid="{00000000-0005-0000-0000-00006F030000}"/>
    <cellStyle name="40% - Accent3 7 3" xfId="526" xr:uid="{00000000-0005-0000-0000-000070030000}"/>
    <cellStyle name="40% - Accent3 8" xfId="527" xr:uid="{00000000-0005-0000-0000-000071030000}"/>
    <cellStyle name="40% - Accent3 8 2" xfId="528" xr:uid="{00000000-0005-0000-0000-000072030000}"/>
    <cellStyle name="40% - Accent3 8 2 2" xfId="529" xr:uid="{00000000-0005-0000-0000-000073030000}"/>
    <cellStyle name="40% - Accent3 8 3" xfId="530" xr:uid="{00000000-0005-0000-0000-000074030000}"/>
    <cellStyle name="40% - Accent3 9" xfId="531" xr:uid="{00000000-0005-0000-0000-000075030000}"/>
    <cellStyle name="40% - Accent4 10" xfId="532" xr:uid="{00000000-0005-0000-0000-000076030000}"/>
    <cellStyle name="40% - Accent4 2" xfId="533" xr:uid="{00000000-0005-0000-0000-000077030000}"/>
    <cellStyle name="40% - Accent4 2 10" xfId="534" xr:uid="{00000000-0005-0000-0000-000078030000}"/>
    <cellStyle name="40% - Accent4 2 2" xfId="535" xr:uid="{00000000-0005-0000-0000-000079030000}"/>
    <cellStyle name="40% - Accent4 2 2 2" xfId="536" xr:uid="{00000000-0005-0000-0000-00007A030000}"/>
    <cellStyle name="40% - Accent4 2 2 2 2" xfId="537" xr:uid="{00000000-0005-0000-0000-00007B030000}"/>
    <cellStyle name="40% - Accent4 2 2 3" xfId="538" xr:uid="{00000000-0005-0000-0000-00007C030000}"/>
    <cellStyle name="40% - Accent4 2 3" xfId="539" xr:uid="{00000000-0005-0000-0000-00007D030000}"/>
    <cellStyle name="40% - Accent4 2 3 2" xfId="540" xr:uid="{00000000-0005-0000-0000-00007E030000}"/>
    <cellStyle name="40% - Accent4 2 3 2 2" xfId="541" xr:uid="{00000000-0005-0000-0000-00007F030000}"/>
    <cellStyle name="40% - Accent4 2 3 3" xfId="542" xr:uid="{00000000-0005-0000-0000-000080030000}"/>
    <cellStyle name="40% - Accent4 2 4" xfId="543" xr:uid="{00000000-0005-0000-0000-000081030000}"/>
    <cellStyle name="40% - Accent4 2 4 2" xfId="544" xr:uid="{00000000-0005-0000-0000-000082030000}"/>
    <cellStyle name="40% - Accent4 2 4 2 2" xfId="545" xr:uid="{00000000-0005-0000-0000-000083030000}"/>
    <cellStyle name="40% - Accent4 2 4 3" xfId="546" xr:uid="{00000000-0005-0000-0000-000084030000}"/>
    <cellStyle name="40% - Accent4 2 5" xfId="547" xr:uid="{00000000-0005-0000-0000-000085030000}"/>
    <cellStyle name="40% - Accent4 2 5 2" xfId="548" xr:uid="{00000000-0005-0000-0000-000086030000}"/>
    <cellStyle name="40% - Accent4 2 5 2 2" xfId="549" xr:uid="{00000000-0005-0000-0000-000087030000}"/>
    <cellStyle name="40% - Accent4 2 5 3" xfId="550" xr:uid="{00000000-0005-0000-0000-000088030000}"/>
    <cellStyle name="40% - Accent4 2 6" xfId="551" xr:uid="{00000000-0005-0000-0000-000089030000}"/>
    <cellStyle name="40% - Accent4 2 6 2" xfId="552" xr:uid="{00000000-0005-0000-0000-00008A030000}"/>
    <cellStyle name="40% - Accent4 2 6 2 2" xfId="553" xr:uid="{00000000-0005-0000-0000-00008B030000}"/>
    <cellStyle name="40% - Accent4 2 6 3" xfId="554" xr:uid="{00000000-0005-0000-0000-00008C030000}"/>
    <cellStyle name="40% - Accent4 2 7" xfId="555" xr:uid="{00000000-0005-0000-0000-00008D030000}"/>
    <cellStyle name="40% - Accent4 2 7 2" xfId="556" xr:uid="{00000000-0005-0000-0000-00008E030000}"/>
    <cellStyle name="40% - Accent4 2 7 2 2" xfId="557" xr:uid="{00000000-0005-0000-0000-00008F030000}"/>
    <cellStyle name="40% - Accent4 2 7 3" xfId="558" xr:uid="{00000000-0005-0000-0000-000090030000}"/>
    <cellStyle name="40% - Accent4 2 8" xfId="559" xr:uid="{00000000-0005-0000-0000-000091030000}"/>
    <cellStyle name="40% - Accent4 2 8 2" xfId="560" xr:uid="{00000000-0005-0000-0000-000092030000}"/>
    <cellStyle name="40% - Accent4 2 8 2 2" xfId="561" xr:uid="{00000000-0005-0000-0000-000093030000}"/>
    <cellStyle name="40% - Accent4 2 8 3" xfId="562" xr:uid="{00000000-0005-0000-0000-000094030000}"/>
    <cellStyle name="40% - Accent4 2 9" xfId="563" xr:uid="{00000000-0005-0000-0000-000095030000}"/>
    <cellStyle name="40% - Accent4 2 9 2" xfId="564" xr:uid="{00000000-0005-0000-0000-000096030000}"/>
    <cellStyle name="40% - Accent4 3" xfId="565" xr:uid="{00000000-0005-0000-0000-000097030000}"/>
    <cellStyle name="40% - Accent4 3 2" xfId="566" xr:uid="{00000000-0005-0000-0000-000098030000}"/>
    <cellStyle name="40% - Accent4 3 2 2" xfId="567" xr:uid="{00000000-0005-0000-0000-000099030000}"/>
    <cellStyle name="40% - Accent4 3 3" xfId="568" xr:uid="{00000000-0005-0000-0000-00009A030000}"/>
    <cellStyle name="40% - Accent4 4" xfId="569" xr:uid="{00000000-0005-0000-0000-00009B030000}"/>
    <cellStyle name="40% - Accent4 4 2" xfId="570" xr:uid="{00000000-0005-0000-0000-00009C030000}"/>
    <cellStyle name="40% - Accent4 4 2 2" xfId="571" xr:uid="{00000000-0005-0000-0000-00009D030000}"/>
    <cellStyle name="40% - Accent4 4 3" xfId="572" xr:uid="{00000000-0005-0000-0000-00009E030000}"/>
    <cellStyle name="40% - Accent4 5" xfId="573" xr:uid="{00000000-0005-0000-0000-00009F030000}"/>
    <cellStyle name="40% - Accent4 5 2" xfId="574" xr:uid="{00000000-0005-0000-0000-0000A0030000}"/>
    <cellStyle name="40% - Accent4 5 2 2" xfId="575" xr:uid="{00000000-0005-0000-0000-0000A1030000}"/>
    <cellStyle name="40% - Accent4 5 3" xfId="576" xr:uid="{00000000-0005-0000-0000-0000A2030000}"/>
    <cellStyle name="40% - Accent4 6" xfId="577" xr:uid="{00000000-0005-0000-0000-0000A3030000}"/>
    <cellStyle name="40% - Accent4 6 2" xfId="578" xr:uid="{00000000-0005-0000-0000-0000A4030000}"/>
    <cellStyle name="40% - Accent4 6 2 2" xfId="579" xr:uid="{00000000-0005-0000-0000-0000A5030000}"/>
    <cellStyle name="40% - Accent4 6 3" xfId="580" xr:uid="{00000000-0005-0000-0000-0000A6030000}"/>
    <cellStyle name="40% - Accent4 7" xfId="581" xr:uid="{00000000-0005-0000-0000-0000A7030000}"/>
    <cellStyle name="40% - Accent4 7 2" xfId="582" xr:uid="{00000000-0005-0000-0000-0000A8030000}"/>
    <cellStyle name="40% - Accent4 7 2 2" xfId="583" xr:uid="{00000000-0005-0000-0000-0000A9030000}"/>
    <cellStyle name="40% - Accent4 7 3" xfId="584" xr:uid="{00000000-0005-0000-0000-0000AA030000}"/>
    <cellStyle name="40% - Accent4 8" xfId="585" xr:uid="{00000000-0005-0000-0000-0000AB030000}"/>
    <cellStyle name="40% - Accent4 8 2" xfId="586" xr:uid="{00000000-0005-0000-0000-0000AC030000}"/>
    <cellStyle name="40% - Accent4 8 2 2" xfId="587" xr:uid="{00000000-0005-0000-0000-0000AD030000}"/>
    <cellStyle name="40% - Accent4 8 3" xfId="588" xr:uid="{00000000-0005-0000-0000-0000AE030000}"/>
    <cellStyle name="40% - Accent4 9" xfId="589" xr:uid="{00000000-0005-0000-0000-0000AF030000}"/>
    <cellStyle name="40% - Accent5 10" xfId="590" xr:uid="{00000000-0005-0000-0000-0000B0030000}"/>
    <cellStyle name="40% - Accent5 2" xfId="591" xr:uid="{00000000-0005-0000-0000-0000B1030000}"/>
    <cellStyle name="40% - Accent5 2 10" xfId="592" xr:uid="{00000000-0005-0000-0000-0000B2030000}"/>
    <cellStyle name="40% - Accent5 2 2" xfId="593" xr:uid="{00000000-0005-0000-0000-0000B3030000}"/>
    <cellStyle name="40% - Accent5 2 2 2" xfId="594" xr:uid="{00000000-0005-0000-0000-0000B4030000}"/>
    <cellStyle name="40% - Accent5 2 2 2 2" xfId="595" xr:uid="{00000000-0005-0000-0000-0000B5030000}"/>
    <cellStyle name="40% - Accent5 2 2 3" xfId="596" xr:uid="{00000000-0005-0000-0000-0000B6030000}"/>
    <cellStyle name="40% - Accent5 2 3" xfId="597" xr:uid="{00000000-0005-0000-0000-0000B7030000}"/>
    <cellStyle name="40% - Accent5 2 3 2" xfId="598" xr:uid="{00000000-0005-0000-0000-0000B8030000}"/>
    <cellStyle name="40% - Accent5 2 3 2 2" xfId="599" xr:uid="{00000000-0005-0000-0000-0000B9030000}"/>
    <cellStyle name="40% - Accent5 2 3 3" xfId="600" xr:uid="{00000000-0005-0000-0000-0000BA030000}"/>
    <cellStyle name="40% - Accent5 2 4" xfId="601" xr:uid="{00000000-0005-0000-0000-0000BB030000}"/>
    <cellStyle name="40% - Accent5 2 4 2" xfId="602" xr:uid="{00000000-0005-0000-0000-0000BC030000}"/>
    <cellStyle name="40% - Accent5 2 4 2 2" xfId="603" xr:uid="{00000000-0005-0000-0000-0000BD030000}"/>
    <cellStyle name="40% - Accent5 2 4 3" xfId="604" xr:uid="{00000000-0005-0000-0000-0000BE030000}"/>
    <cellStyle name="40% - Accent5 2 5" xfId="605" xr:uid="{00000000-0005-0000-0000-0000BF030000}"/>
    <cellStyle name="40% - Accent5 2 5 2" xfId="606" xr:uid="{00000000-0005-0000-0000-0000C0030000}"/>
    <cellStyle name="40% - Accent5 2 5 2 2" xfId="607" xr:uid="{00000000-0005-0000-0000-0000C1030000}"/>
    <cellStyle name="40% - Accent5 2 5 3" xfId="608" xr:uid="{00000000-0005-0000-0000-0000C2030000}"/>
    <cellStyle name="40% - Accent5 2 6" xfId="609" xr:uid="{00000000-0005-0000-0000-0000C3030000}"/>
    <cellStyle name="40% - Accent5 2 6 2" xfId="610" xr:uid="{00000000-0005-0000-0000-0000C4030000}"/>
    <cellStyle name="40% - Accent5 2 6 2 2" xfId="611" xr:uid="{00000000-0005-0000-0000-0000C5030000}"/>
    <cellStyle name="40% - Accent5 2 6 3" xfId="612" xr:uid="{00000000-0005-0000-0000-0000C6030000}"/>
    <cellStyle name="40% - Accent5 2 7" xfId="613" xr:uid="{00000000-0005-0000-0000-0000C7030000}"/>
    <cellStyle name="40% - Accent5 2 7 2" xfId="614" xr:uid="{00000000-0005-0000-0000-0000C8030000}"/>
    <cellStyle name="40% - Accent5 2 7 2 2" xfId="615" xr:uid="{00000000-0005-0000-0000-0000C9030000}"/>
    <cellStyle name="40% - Accent5 2 7 3" xfId="616" xr:uid="{00000000-0005-0000-0000-0000CA030000}"/>
    <cellStyle name="40% - Accent5 2 8" xfId="617" xr:uid="{00000000-0005-0000-0000-0000CB030000}"/>
    <cellStyle name="40% - Accent5 2 8 2" xfId="618" xr:uid="{00000000-0005-0000-0000-0000CC030000}"/>
    <cellStyle name="40% - Accent5 2 8 2 2" xfId="619" xr:uid="{00000000-0005-0000-0000-0000CD030000}"/>
    <cellStyle name="40% - Accent5 2 8 3" xfId="620" xr:uid="{00000000-0005-0000-0000-0000CE030000}"/>
    <cellStyle name="40% - Accent5 2 9" xfId="621" xr:uid="{00000000-0005-0000-0000-0000CF030000}"/>
    <cellStyle name="40% - Accent5 2 9 2" xfId="622" xr:uid="{00000000-0005-0000-0000-0000D0030000}"/>
    <cellStyle name="40% - Accent5 3" xfId="623" xr:uid="{00000000-0005-0000-0000-0000D1030000}"/>
    <cellStyle name="40% - Accent5 3 2" xfId="624" xr:uid="{00000000-0005-0000-0000-0000D2030000}"/>
    <cellStyle name="40% - Accent5 3 2 2" xfId="625" xr:uid="{00000000-0005-0000-0000-0000D3030000}"/>
    <cellStyle name="40% - Accent5 3 3" xfId="626" xr:uid="{00000000-0005-0000-0000-0000D4030000}"/>
    <cellStyle name="40% - Accent5 4" xfId="627" xr:uid="{00000000-0005-0000-0000-0000D5030000}"/>
    <cellStyle name="40% - Accent5 4 2" xfId="628" xr:uid="{00000000-0005-0000-0000-0000D6030000}"/>
    <cellStyle name="40% - Accent5 4 2 2" xfId="629" xr:uid="{00000000-0005-0000-0000-0000D7030000}"/>
    <cellStyle name="40% - Accent5 4 3" xfId="630" xr:uid="{00000000-0005-0000-0000-0000D8030000}"/>
    <cellStyle name="40% - Accent5 5" xfId="631" xr:uid="{00000000-0005-0000-0000-0000D9030000}"/>
    <cellStyle name="40% - Accent5 5 2" xfId="632" xr:uid="{00000000-0005-0000-0000-0000DA030000}"/>
    <cellStyle name="40% - Accent5 5 2 2" xfId="633" xr:uid="{00000000-0005-0000-0000-0000DB030000}"/>
    <cellStyle name="40% - Accent5 5 3" xfId="634" xr:uid="{00000000-0005-0000-0000-0000DC030000}"/>
    <cellStyle name="40% - Accent5 6" xfId="635" xr:uid="{00000000-0005-0000-0000-0000DD030000}"/>
    <cellStyle name="40% - Accent5 6 2" xfId="636" xr:uid="{00000000-0005-0000-0000-0000DE030000}"/>
    <cellStyle name="40% - Accent5 6 2 2" xfId="637" xr:uid="{00000000-0005-0000-0000-0000DF030000}"/>
    <cellStyle name="40% - Accent5 6 3" xfId="638" xr:uid="{00000000-0005-0000-0000-0000E0030000}"/>
    <cellStyle name="40% - Accent5 7" xfId="639" xr:uid="{00000000-0005-0000-0000-0000E1030000}"/>
    <cellStyle name="40% - Accent5 7 2" xfId="640" xr:uid="{00000000-0005-0000-0000-0000E2030000}"/>
    <cellStyle name="40% - Accent5 7 2 2" xfId="641" xr:uid="{00000000-0005-0000-0000-0000E3030000}"/>
    <cellStyle name="40% - Accent5 7 3" xfId="642" xr:uid="{00000000-0005-0000-0000-0000E4030000}"/>
    <cellStyle name="40% - Accent5 8" xfId="643" xr:uid="{00000000-0005-0000-0000-0000E5030000}"/>
    <cellStyle name="40% - Accent5 8 2" xfId="644" xr:uid="{00000000-0005-0000-0000-0000E6030000}"/>
    <cellStyle name="40% - Accent5 8 2 2" xfId="645" xr:uid="{00000000-0005-0000-0000-0000E7030000}"/>
    <cellStyle name="40% - Accent5 8 3" xfId="646" xr:uid="{00000000-0005-0000-0000-0000E8030000}"/>
    <cellStyle name="40% - Accent5 9" xfId="647" xr:uid="{00000000-0005-0000-0000-0000E9030000}"/>
    <cellStyle name="40% - Accent6 10" xfId="648" xr:uid="{00000000-0005-0000-0000-0000EA030000}"/>
    <cellStyle name="40% - Accent6 2" xfId="649" xr:uid="{00000000-0005-0000-0000-0000EB030000}"/>
    <cellStyle name="40% - Accent6 2 10" xfId="650" xr:uid="{00000000-0005-0000-0000-0000EC030000}"/>
    <cellStyle name="40% - Accent6 2 2" xfId="651" xr:uid="{00000000-0005-0000-0000-0000ED030000}"/>
    <cellStyle name="40% - Accent6 2 2 2" xfId="652" xr:uid="{00000000-0005-0000-0000-0000EE030000}"/>
    <cellStyle name="40% - Accent6 2 2 2 2" xfId="653" xr:uid="{00000000-0005-0000-0000-0000EF030000}"/>
    <cellStyle name="40% - Accent6 2 2 3" xfId="654" xr:uid="{00000000-0005-0000-0000-0000F0030000}"/>
    <cellStyle name="40% - Accent6 2 3" xfId="655" xr:uid="{00000000-0005-0000-0000-0000F1030000}"/>
    <cellStyle name="40% - Accent6 2 3 2" xfId="656" xr:uid="{00000000-0005-0000-0000-0000F2030000}"/>
    <cellStyle name="40% - Accent6 2 3 2 2" xfId="657" xr:uid="{00000000-0005-0000-0000-0000F3030000}"/>
    <cellStyle name="40% - Accent6 2 3 3" xfId="658" xr:uid="{00000000-0005-0000-0000-0000F4030000}"/>
    <cellStyle name="40% - Accent6 2 4" xfId="659" xr:uid="{00000000-0005-0000-0000-0000F5030000}"/>
    <cellStyle name="40% - Accent6 2 4 2" xfId="660" xr:uid="{00000000-0005-0000-0000-0000F6030000}"/>
    <cellStyle name="40% - Accent6 2 4 2 2" xfId="661" xr:uid="{00000000-0005-0000-0000-0000F7030000}"/>
    <cellStyle name="40% - Accent6 2 4 3" xfId="662" xr:uid="{00000000-0005-0000-0000-0000F8030000}"/>
    <cellStyle name="40% - Accent6 2 5" xfId="663" xr:uid="{00000000-0005-0000-0000-0000F9030000}"/>
    <cellStyle name="40% - Accent6 2 5 2" xfId="664" xr:uid="{00000000-0005-0000-0000-0000FA030000}"/>
    <cellStyle name="40% - Accent6 2 5 2 2" xfId="665" xr:uid="{00000000-0005-0000-0000-0000FB030000}"/>
    <cellStyle name="40% - Accent6 2 5 3" xfId="666" xr:uid="{00000000-0005-0000-0000-0000FC030000}"/>
    <cellStyle name="40% - Accent6 2 6" xfId="667" xr:uid="{00000000-0005-0000-0000-0000FD030000}"/>
    <cellStyle name="40% - Accent6 2 6 2" xfId="668" xr:uid="{00000000-0005-0000-0000-0000FE030000}"/>
    <cellStyle name="40% - Accent6 2 6 2 2" xfId="669" xr:uid="{00000000-0005-0000-0000-0000FF030000}"/>
    <cellStyle name="40% - Accent6 2 6 3" xfId="670" xr:uid="{00000000-0005-0000-0000-000000040000}"/>
    <cellStyle name="40% - Accent6 2 7" xfId="671" xr:uid="{00000000-0005-0000-0000-000001040000}"/>
    <cellStyle name="40% - Accent6 2 7 2" xfId="672" xr:uid="{00000000-0005-0000-0000-000002040000}"/>
    <cellStyle name="40% - Accent6 2 7 2 2" xfId="673" xr:uid="{00000000-0005-0000-0000-000003040000}"/>
    <cellStyle name="40% - Accent6 2 7 3" xfId="674" xr:uid="{00000000-0005-0000-0000-000004040000}"/>
    <cellStyle name="40% - Accent6 2 8" xfId="675" xr:uid="{00000000-0005-0000-0000-000005040000}"/>
    <cellStyle name="40% - Accent6 2 8 2" xfId="676" xr:uid="{00000000-0005-0000-0000-000006040000}"/>
    <cellStyle name="40% - Accent6 2 8 2 2" xfId="677" xr:uid="{00000000-0005-0000-0000-000007040000}"/>
    <cellStyle name="40% - Accent6 2 8 3" xfId="678" xr:uid="{00000000-0005-0000-0000-000008040000}"/>
    <cellStyle name="40% - Accent6 2 9" xfId="679" xr:uid="{00000000-0005-0000-0000-000009040000}"/>
    <cellStyle name="40% - Accent6 2 9 2" xfId="680" xr:uid="{00000000-0005-0000-0000-00000A040000}"/>
    <cellStyle name="40% - Accent6 3" xfId="681" xr:uid="{00000000-0005-0000-0000-00000B040000}"/>
    <cellStyle name="40% - Accent6 3 2" xfId="682" xr:uid="{00000000-0005-0000-0000-00000C040000}"/>
    <cellStyle name="40% - Accent6 3 2 2" xfId="683" xr:uid="{00000000-0005-0000-0000-00000D040000}"/>
    <cellStyle name="40% - Accent6 3 3" xfId="684" xr:uid="{00000000-0005-0000-0000-00000E040000}"/>
    <cellStyle name="40% - Accent6 4" xfId="685" xr:uid="{00000000-0005-0000-0000-00000F040000}"/>
    <cellStyle name="40% - Accent6 4 2" xfId="686" xr:uid="{00000000-0005-0000-0000-000010040000}"/>
    <cellStyle name="40% - Accent6 4 2 2" xfId="687" xr:uid="{00000000-0005-0000-0000-000011040000}"/>
    <cellStyle name="40% - Accent6 4 3" xfId="688" xr:uid="{00000000-0005-0000-0000-000012040000}"/>
    <cellStyle name="40% - Accent6 5" xfId="689" xr:uid="{00000000-0005-0000-0000-000013040000}"/>
    <cellStyle name="40% - Accent6 5 2" xfId="690" xr:uid="{00000000-0005-0000-0000-000014040000}"/>
    <cellStyle name="40% - Accent6 5 2 2" xfId="691" xr:uid="{00000000-0005-0000-0000-000015040000}"/>
    <cellStyle name="40% - Accent6 5 3" xfId="692" xr:uid="{00000000-0005-0000-0000-000016040000}"/>
    <cellStyle name="40% - Accent6 6" xfId="693" xr:uid="{00000000-0005-0000-0000-000017040000}"/>
    <cellStyle name="40% - Accent6 6 2" xfId="694" xr:uid="{00000000-0005-0000-0000-000018040000}"/>
    <cellStyle name="40% - Accent6 6 2 2" xfId="695" xr:uid="{00000000-0005-0000-0000-000019040000}"/>
    <cellStyle name="40% - Accent6 6 3" xfId="696" xr:uid="{00000000-0005-0000-0000-00001A040000}"/>
    <cellStyle name="40% - Accent6 7" xfId="697" xr:uid="{00000000-0005-0000-0000-00001B040000}"/>
    <cellStyle name="40% - Accent6 7 2" xfId="698" xr:uid="{00000000-0005-0000-0000-00001C040000}"/>
    <cellStyle name="40% - Accent6 7 2 2" xfId="699" xr:uid="{00000000-0005-0000-0000-00001D040000}"/>
    <cellStyle name="40% - Accent6 7 3" xfId="700" xr:uid="{00000000-0005-0000-0000-00001E040000}"/>
    <cellStyle name="40% - Accent6 8" xfId="701" xr:uid="{00000000-0005-0000-0000-00001F040000}"/>
    <cellStyle name="40% - Accent6 8 2" xfId="702" xr:uid="{00000000-0005-0000-0000-000020040000}"/>
    <cellStyle name="40% - Accent6 8 2 2" xfId="703" xr:uid="{00000000-0005-0000-0000-000021040000}"/>
    <cellStyle name="40% - Accent6 8 3" xfId="704" xr:uid="{00000000-0005-0000-0000-000022040000}"/>
    <cellStyle name="40% - Accent6 9" xfId="705" xr:uid="{00000000-0005-0000-0000-000023040000}"/>
    <cellStyle name="5x indented GHG Textfiels" xfId="706" xr:uid="{00000000-0005-0000-0000-000024040000}"/>
    <cellStyle name="5x indented GHG Textfiels 2" xfId="1298" xr:uid="{00000000-0005-0000-0000-000025040000}"/>
    <cellStyle name="5x indented GHG Textfiels 2 10" xfId="5311" xr:uid="{00000000-0005-0000-0000-000026040000}"/>
    <cellStyle name="5x indented GHG Textfiels 2 2" xfId="1382" xr:uid="{00000000-0005-0000-0000-000027040000}"/>
    <cellStyle name="5x indented GHG Textfiels 2 2 2" xfId="1886" xr:uid="{00000000-0005-0000-0000-000028040000}"/>
    <cellStyle name="5x indented GHG Textfiels 2 2 2 2" xfId="3966" xr:uid="{00000000-0005-0000-0000-000029040000}"/>
    <cellStyle name="5x indented GHG Textfiels 2 2 2 2 2" xfId="14299" xr:uid="{00000000-0005-0000-0000-00002A040000}"/>
    <cellStyle name="5x indented GHG Textfiels 2 2 2 2 2 2" xfId="20216" xr:uid="{00000000-0005-0000-0000-00002B040000}"/>
    <cellStyle name="5x indented GHG Textfiels 2 2 2 2 2 3" xfId="29131" xr:uid="{00000000-0005-0000-0000-00002C040000}"/>
    <cellStyle name="5x indented GHG Textfiels 2 2 2 2 3" xfId="11068" xr:uid="{00000000-0005-0000-0000-00002D040000}"/>
    <cellStyle name="5x indented GHG Textfiels 2 2 2 2 3 2" xfId="20189" xr:uid="{00000000-0005-0000-0000-00002E040000}"/>
    <cellStyle name="5x indented GHG Textfiels 2 2 2 2 3 3" xfId="25900" xr:uid="{00000000-0005-0000-0000-00002F040000}"/>
    <cellStyle name="5x indented GHG Textfiels 2 2 2 2 4" xfId="21450" xr:uid="{00000000-0005-0000-0000-000030040000}"/>
    <cellStyle name="5x indented GHG Textfiels 2 2 2 3" xfId="4292" xr:uid="{00000000-0005-0000-0000-000031040000}"/>
    <cellStyle name="5x indented GHG Textfiels 2 2 2 3 2" xfId="8331" xr:uid="{00000000-0005-0000-0000-000032040000}"/>
    <cellStyle name="5x indented GHG Textfiels 2 2 2 3 2 2" xfId="17612" xr:uid="{00000000-0005-0000-0000-000033040000}"/>
    <cellStyle name="5x indented GHG Textfiels 2 2 2 3 2 2 2" xfId="20235" xr:uid="{00000000-0005-0000-0000-000034040000}"/>
    <cellStyle name="5x indented GHG Textfiels 2 2 2 3 2 2 3" xfId="32444" xr:uid="{00000000-0005-0000-0000-000035040000}"/>
    <cellStyle name="5x indented GHG Textfiels 2 2 2 3 2 3" xfId="24019" xr:uid="{00000000-0005-0000-0000-000036040000}"/>
    <cellStyle name="5x indented GHG Textfiels 2 2 2 4" xfId="4864" xr:uid="{00000000-0005-0000-0000-000037040000}"/>
    <cellStyle name="5x indented GHG Textfiels 2 2 2 4 2" xfId="8903" xr:uid="{00000000-0005-0000-0000-000038040000}"/>
    <cellStyle name="5x indented GHG Textfiels 2 2 2 4 2 2" xfId="17943" xr:uid="{00000000-0005-0000-0000-000039040000}"/>
    <cellStyle name="5x indented GHG Textfiels 2 2 2 4 2 2 2" xfId="20243" xr:uid="{00000000-0005-0000-0000-00003A040000}"/>
    <cellStyle name="5x indented GHG Textfiels 2 2 2 4 2 2 3" xfId="32775" xr:uid="{00000000-0005-0000-0000-00003B040000}"/>
    <cellStyle name="5x indented GHG Textfiels 2 2 2 4 2 3" xfId="24369" xr:uid="{00000000-0005-0000-0000-00003C040000}"/>
    <cellStyle name="5x indented GHG Textfiels 2 2 2 5" xfId="2854" xr:uid="{00000000-0005-0000-0000-00003D040000}"/>
    <cellStyle name="5x indented GHG Textfiels 2 2 2 5 2" xfId="13192" xr:uid="{00000000-0005-0000-0000-00003E040000}"/>
    <cellStyle name="5x indented GHG Textfiels 2 2 2 5 2 2" xfId="20203" xr:uid="{00000000-0005-0000-0000-00003F040000}"/>
    <cellStyle name="5x indented GHG Textfiels 2 2 2 5 2 3" xfId="28024" xr:uid="{00000000-0005-0000-0000-000040040000}"/>
    <cellStyle name="5x indented GHG Textfiels 2 2 2 5 3" xfId="10490" xr:uid="{00000000-0005-0000-0000-000041040000}"/>
    <cellStyle name="5x indented GHG Textfiels 2 2 2 5 3 2" xfId="20176" xr:uid="{00000000-0005-0000-0000-000042040000}"/>
    <cellStyle name="5x indented GHG Textfiels 2 2 2 5 3 3" xfId="25322" xr:uid="{00000000-0005-0000-0000-000043040000}"/>
    <cellStyle name="5x indented GHG Textfiels 2 2 2 5 4" xfId="20780" xr:uid="{00000000-0005-0000-0000-000044040000}"/>
    <cellStyle name="5x indented GHG Textfiels 2 2 3" xfId="3665" xr:uid="{00000000-0005-0000-0000-000045040000}"/>
    <cellStyle name="5x indented GHG Textfiels 2 2 3 2" xfId="14000" xr:uid="{00000000-0005-0000-0000-000046040000}"/>
    <cellStyle name="5x indented GHG Textfiels 2 2 3 2 2" xfId="20210" xr:uid="{00000000-0005-0000-0000-000047040000}"/>
    <cellStyle name="5x indented GHG Textfiels 2 2 3 2 3" xfId="28832" xr:uid="{00000000-0005-0000-0000-000048040000}"/>
    <cellStyle name="5x indented GHG Textfiels 2 2 3 3" xfId="10923" xr:uid="{00000000-0005-0000-0000-000049040000}"/>
    <cellStyle name="5x indented GHG Textfiels 2 2 3 3 2" xfId="20183" xr:uid="{00000000-0005-0000-0000-00004A040000}"/>
    <cellStyle name="5x indented GHG Textfiels 2 2 3 3 3" xfId="25755" xr:uid="{00000000-0005-0000-0000-00004B040000}"/>
    <cellStyle name="5x indented GHG Textfiels 2 2 3 4" xfId="21283" xr:uid="{00000000-0005-0000-0000-00004C040000}"/>
    <cellStyle name="5x indented GHG Textfiels 2 2 4" xfId="4444" xr:uid="{00000000-0005-0000-0000-00004D040000}"/>
    <cellStyle name="5x indented GHG Textfiels 2 2 4 2" xfId="8483" xr:uid="{00000000-0005-0000-0000-00004E040000}"/>
    <cellStyle name="5x indented GHG Textfiels 2 2 4 2 2" xfId="17703" xr:uid="{00000000-0005-0000-0000-00004F040000}"/>
    <cellStyle name="5x indented GHG Textfiels 2 2 4 2 2 2" xfId="20238" xr:uid="{00000000-0005-0000-0000-000050040000}"/>
    <cellStyle name="5x indented GHG Textfiels 2 2 4 2 2 3" xfId="32535" xr:uid="{00000000-0005-0000-0000-000051040000}"/>
    <cellStyle name="5x indented GHG Textfiels 2 2 4 2 3" xfId="24109" xr:uid="{00000000-0005-0000-0000-000052040000}"/>
    <cellStyle name="5x indented GHG Textfiels 2 2 5" xfId="2434" xr:uid="{00000000-0005-0000-0000-000053040000}"/>
    <cellStyle name="5x indented GHG Textfiels 2 2 5 2" xfId="12773" xr:uid="{00000000-0005-0000-0000-000054040000}"/>
    <cellStyle name="5x indented GHG Textfiels 2 2 5 2 2" xfId="20199" xr:uid="{00000000-0005-0000-0000-000055040000}"/>
    <cellStyle name="5x indented GHG Textfiels 2 2 5 2 3" xfId="27605" xr:uid="{00000000-0005-0000-0000-000056040000}"/>
    <cellStyle name="5x indented GHG Textfiels 2 2 5 3" xfId="10251" xr:uid="{00000000-0005-0000-0000-000057040000}"/>
    <cellStyle name="5x indented GHG Textfiels 2 2 5 3 2" xfId="20172" xr:uid="{00000000-0005-0000-0000-000058040000}"/>
    <cellStyle name="5x indented GHG Textfiels 2 2 5 3 3" xfId="25083" xr:uid="{00000000-0005-0000-0000-000059040000}"/>
    <cellStyle name="5x indented GHG Textfiels 2 2 5 4" xfId="20526" xr:uid="{00000000-0005-0000-0000-00005A040000}"/>
    <cellStyle name="5x indented GHG Textfiels 2 2 6" xfId="9479" xr:uid="{00000000-0005-0000-0000-00005B040000}"/>
    <cellStyle name="5x indented GHG Textfiels 2 3" xfId="1554" xr:uid="{00000000-0005-0000-0000-00005C040000}"/>
    <cellStyle name="5x indented GHG Textfiels 2 3 2" xfId="2051" xr:uid="{00000000-0005-0000-0000-00005D040000}"/>
    <cellStyle name="5x indented GHG Textfiels 2 3 2 2" xfId="4074" xr:uid="{00000000-0005-0000-0000-00005E040000}"/>
    <cellStyle name="5x indented GHG Textfiels 2 3 2 2 2" xfId="14406" xr:uid="{00000000-0005-0000-0000-00005F040000}"/>
    <cellStyle name="5x indented GHG Textfiels 2 3 2 2 2 2" xfId="20219" xr:uid="{00000000-0005-0000-0000-000060040000}"/>
    <cellStyle name="5x indented GHG Textfiels 2 3 2 2 2 3" xfId="29238" xr:uid="{00000000-0005-0000-0000-000061040000}"/>
    <cellStyle name="5x indented GHG Textfiels 2 3 2 2 3" xfId="11124" xr:uid="{00000000-0005-0000-0000-000062040000}"/>
    <cellStyle name="5x indented GHG Textfiels 2 3 2 2 3 2" xfId="20192" xr:uid="{00000000-0005-0000-0000-000063040000}"/>
    <cellStyle name="5x indented GHG Textfiels 2 3 2 2 3 3" xfId="25956" xr:uid="{00000000-0005-0000-0000-000064040000}"/>
    <cellStyle name="5x indented GHG Textfiels 2 3 2 2 4" xfId="21505" xr:uid="{00000000-0005-0000-0000-000065040000}"/>
    <cellStyle name="5x indented GHG Textfiels 2 3 2 3" xfId="3233" xr:uid="{00000000-0005-0000-0000-000066040000}"/>
    <cellStyle name="5x indented GHG Textfiels 2 3 2 3 2" xfId="7297" xr:uid="{00000000-0005-0000-0000-000067040000}"/>
    <cellStyle name="5x indented GHG Textfiels 2 3 2 3 2 2" xfId="17057" xr:uid="{00000000-0005-0000-0000-000068040000}"/>
    <cellStyle name="5x indented GHG Textfiels 2 3 2 3 2 2 2" xfId="20229" xr:uid="{00000000-0005-0000-0000-000069040000}"/>
    <cellStyle name="5x indented GHG Textfiels 2 3 2 3 2 2 3" xfId="31889" xr:uid="{00000000-0005-0000-0000-00006A040000}"/>
    <cellStyle name="5x indented GHG Textfiels 2 3 2 3 2 3" xfId="23337" xr:uid="{00000000-0005-0000-0000-00006B040000}"/>
    <cellStyle name="5x indented GHG Textfiels 2 3 2 4" xfId="5019" xr:uid="{00000000-0005-0000-0000-00006C040000}"/>
    <cellStyle name="5x indented GHG Textfiels 2 3 2 4 2" xfId="9058" xr:uid="{00000000-0005-0000-0000-00006D040000}"/>
    <cellStyle name="5x indented GHG Textfiels 2 3 2 4 2 2" xfId="17995" xr:uid="{00000000-0005-0000-0000-00006E040000}"/>
    <cellStyle name="5x indented GHG Textfiels 2 3 2 4 2 2 2" xfId="20245" xr:uid="{00000000-0005-0000-0000-00006F040000}"/>
    <cellStyle name="5x indented GHG Textfiels 2 3 2 4 2 2 3" xfId="32827" xr:uid="{00000000-0005-0000-0000-000070040000}"/>
    <cellStyle name="5x indented GHG Textfiels 2 3 2 4 2 3" xfId="24492" xr:uid="{00000000-0005-0000-0000-000071040000}"/>
    <cellStyle name="5x indented GHG Textfiels 2 3 2 5" xfId="3009" xr:uid="{00000000-0005-0000-0000-000072040000}"/>
    <cellStyle name="5x indented GHG Textfiels 2 3 2 5 2" xfId="13347" xr:uid="{00000000-0005-0000-0000-000073040000}"/>
    <cellStyle name="5x indented GHG Textfiels 2 3 2 5 2 2" xfId="20205" xr:uid="{00000000-0005-0000-0000-000074040000}"/>
    <cellStyle name="5x indented GHG Textfiels 2 3 2 5 2 3" xfId="28179" xr:uid="{00000000-0005-0000-0000-000075040000}"/>
    <cellStyle name="5x indented GHG Textfiels 2 3 2 5 3" xfId="10542" xr:uid="{00000000-0005-0000-0000-000076040000}"/>
    <cellStyle name="5x indented GHG Textfiels 2 3 2 5 3 2" xfId="20178" xr:uid="{00000000-0005-0000-0000-000077040000}"/>
    <cellStyle name="5x indented GHG Textfiels 2 3 2 5 3 3" xfId="25374" xr:uid="{00000000-0005-0000-0000-000078040000}"/>
    <cellStyle name="5x indented GHG Textfiels 2 3 2 5 4" xfId="20903" xr:uid="{00000000-0005-0000-0000-000079040000}"/>
    <cellStyle name="5x indented GHG Textfiels 2 3 3" xfId="3776" xr:uid="{00000000-0005-0000-0000-00007A040000}"/>
    <cellStyle name="5x indented GHG Textfiels 2 3 3 2" xfId="14111" xr:uid="{00000000-0005-0000-0000-00007B040000}"/>
    <cellStyle name="5x indented GHG Textfiels 2 3 3 2 2" xfId="20212" xr:uid="{00000000-0005-0000-0000-00007C040000}"/>
    <cellStyle name="5x indented GHG Textfiels 2 3 3 2 3" xfId="28943" xr:uid="{00000000-0005-0000-0000-00007D040000}"/>
    <cellStyle name="5x indented GHG Textfiels 2 3 3 3" xfId="10978" xr:uid="{00000000-0005-0000-0000-00007E040000}"/>
    <cellStyle name="5x indented GHG Textfiels 2 3 3 3 2" xfId="20185" xr:uid="{00000000-0005-0000-0000-00007F040000}"/>
    <cellStyle name="5x indented GHG Textfiels 2 3 3 3 3" xfId="25810" xr:uid="{00000000-0005-0000-0000-000080040000}"/>
    <cellStyle name="5x indented GHG Textfiels 2 3 3 4" xfId="21343" xr:uid="{00000000-0005-0000-0000-000081040000}"/>
    <cellStyle name="5x indented GHG Textfiels 2 3 4" xfId="4599" xr:uid="{00000000-0005-0000-0000-000082040000}"/>
    <cellStyle name="5x indented GHG Textfiels 2 3 4 2" xfId="8638" xr:uid="{00000000-0005-0000-0000-000083040000}"/>
    <cellStyle name="5x indented GHG Textfiels 2 3 4 2 2" xfId="17755" xr:uid="{00000000-0005-0000-0000-000084040000}"/>
    <cellStyle name="5x indented GHG Textfiels 2 3 4 2 2 2" xfId="20240" xr:uid="{00000000-0005-0000-0000-000085040000}"/>
    <cellStyle name="5x indented GHG Textfiels 2 3 4 2 2 3" xfId="32587" xr:uid="{00000000-0005-0000-0000-000086040000}"/>
    <cellStyle name="5x indented GHG Textfiels 2 3 4 2 3" xfId="24232" xr:uid="{00000000-0005-0000-0000-000087040000}"/>
    <cellStyle name="5x indented GHG Textfiels 2 3 5" xfId="2589" xr:uid="{00000000-0005-0000-0000-000088040000}"/>
    <cellStyle name="5x indented GHG Textfiels 2 3 5 2" xfId="12927" xr:uid="{00000000-0005-0000-0000-000089040000}"/>
    <cellStyle name="5x indented GHG Textfiels 2 3 5 2 2" xfId="20200" xr:uid="{00000000-0005-0000-0000-00008A040000}"/>
    <cellStyle name="5x indented GHG Textfiels 2 3 5 2 3" xfId="27759" xr:uid="{00000000-0005-0000-0000-00008B040000}"/>
    <cellStyle name="5x indented GHG Textfiels 2 3 5 3" xfId="10302" xr:uid="{00000000-0005-0000-0000-00008C040000}"/>
    <cellStyle name="5x indented GHG Textfiels 2 3 5 3 2" xfId="20173" xr:uid="{00000000-0005-0000-0000-00008D040000}"/>
    <cellStyle name="5x indented GHG Textfiels 2 3 5 3 3" xfId="25134" xr:uid="{00000000-0005-0000-0000-00008E040000}"/>
    <cellStyle name="5x indented GHG Textfiels 2 3 5 4" xfId="20643" xr:uid="{00000000-0005-0000-0000-00008F040000}"/>
    <cellStyle name="5x indented GHG Textfiels 2 3 6" xfId="9624" xr:uid="{00000000-0005-0000-0000-000090040000}"/>
    <cellStyle name="5x indented GHG Textfiels 2 4" xfId="1607" xr:uid="{00000000-0005-0000-0000-000091040000}"/>
    <cellStyle name="5x indented GHG Textfiels 2 4 2" xfId="2104" xr:uid="{00000000-0005-0000-0000-000092040000}"/>
    <cellStyle name="5x indented GHG Textfiels 2 4 2 2" xfId="4114" xr:uid="{00000000-0005-0000-0000-000093040000}"/>
    <cellStyle name="5x indented GHG Textfiels 2 4 2 2 2" xfId="14446" xr:uid="{00000000-0005-0000-0000-000094040000}"/>
    <cellStyle name="5x indented GHG Textfiels 2 4 2 2 2 2" xfId="20220" xr:uid="{00000000-0005-0000-0000-000095040000}"/>
    <cellStyle name="5x indented GHG Textfiels 2 4 2 2 2 3" xfId="29278" xr:uid="{00000000-0005-0000-0000-000096040000}"/>
    <cellStyle name="5x indented GHG Textfiels 2 4 2 2 3" xfId="11144" xr:uid="{00000000-0005-0000-0000-000097040000}"/>
    <cellStyle name="5x indented GHG Textfiels 2 4 2 2 3 2" xfId="20193" xr:uid="{00000000-0005-0000-0000-000098040000}"/>
    <cellStyle name="5x indented GHG Textfiels 2 4 2 2 3 3" xfId="25976" xr:uid="{00000000-0005-0000-0000-000099040000}"/>
    <cellStyle name="5x indented GHG Textfiels 2 4 2 2 4" xfId="21527" xr:uid="{00000000-0005-0000-0000-00009A040000}"/>
    <cellStyle name="5x indented GHG Textfiels 2 4 2 3" xfId="3881" xr:uid="{00000000-0005-0000-0000-00009B040000}"/>
    <cellStyle name="5x indented GHG Textfiels 2 4 2 3 2" xfId="7932" xr:uid="{00000000-0005-0000-0000-00009C040000}"/>
    <cellStyle name="5x indented GHG Textfiels 2 4 2 3 2 2" xfId="17408" xr:uid="{00000000-0005-0000-0000-00009D040000}"/>
    <cellStyle name="5x indented GHG Textfiels 2 4 2 3 2 2 2" xfId="20232" xr:uid="{00000000-0005-0000-0000-00009E040000}"/>
    <cellStyle name="5x indented GHG Textfiels 2 4 2 3 2 2 3" xfId="32240" xr:uid="{00000000-0005-0000-0000-00009F040000}"/>
    <cellStyle name="5x indented GHG Textfiels 2 4 2 3 2 3" xfId="23758" xr:uid="{00000000-0005-0000-0000-0000A0040000}"/>
    <cellStyle name="5x indented GHG Textfiels 2 4 2 4" xfId="5072" xr:uid="{00000000-0005-0000-0000-0000A1040000}"/>
    <cellStyle name="5x indented GHG Textfiels 2 4 2 4 2" xfId="9111" xr:uid="{00000000-0005-0000-0000-0000A2040000}"/>
    <cellStyle name="5x indented GHG Textfiels 2 4 2 4 2 2" xfId="18043" xr:uid="{00000000-0005-0000-0000-0000A3040000}"/>
    <cellStyle name="5x indented GHG Textfiels 2 4 2 4 2 2 2" xfId="20246" xr:uid="{00000000-0005-0000-0000-0000A4040000}"/>
    <cellStyle name="5x indented GHG Textfiels 2 4 2 4 2 2 3" xfId="32875" xr:uid="{00000000-0005-0000-0000-0000A5040000}"/>
    <cellStyle name="5x indented GHG Textfiels 2 4 2 4 2 3" xfId="24513" xr:uid="{00000000-0005-0000-0000-0000A6040000}"/>
    <cellStyle name="5x indented GHG Textfiels 2 4 2 5" xfId="3062" xr:uid="{00000000-0005-0000-0000-0000A7040000}"/>
    <cellStyle name="5x indented GHG Textfiels 2 4 2 5 2" xfId="13400" xr:uid="{00000000-0005-0000-0000-0000A8040000}"/>
    <cellStyle name="5x indented GHG Textfiels 2 4 2 5 2 2" xfId="20206" xr:uid="{00000000-0005-0000-0000-0000A9040000}"/>
    <cellStyle name="5x indented GHG Textfiels 2 4 2 5 2 3" xfId="28232" xr:uid="{00000000-0005-0000-0000-0000AA040000}"/>
    <cellStyle name="5x indented GHG Textfiels 2 4 2 5 3" xfId="10590" xr:uid="{00000000-0005-0000-0000-0000AB040000}"/>
    <cellStyle name="5x indented GHG Textfiels 2 4 2 5 3 2" xfId="20179" xr:uid="{00000000-0005-0000-0000-0000AC040000}"/>
    <cellStyle name="5x indented GHG Textfiels 2 4 2 5 3 3" xfId="25422" xr:uid="{00000000-0005-0000-0000-0000AD040000}"/>
    <cellStyle name="5x indented GHG Textfiels 2 4 2 5 4" xfId="20924" xr:uid="{00000000-0005-0000-0000-0000AE040000}"/>
    <cellStyle name="5x indented GHG Textfiels 2 4 3" xfId="3814" xr:uid="{00000000-0005-0000-0000-0000AF040000}"/>
    <cellStyle name="5x indented GHG Textfiels 2 4 3 2" xfId="14149" xr:uid="{00000000-0005-0000-0000-0000B0040000}"/>
    <cellStyle name="5x indented GHG Textfiels 2 4 3 2 2" xfId="20214" xr:uid="{00000000-0005-0000-0000-0000B1040000}"/>
    <cellStyle name="5x indented GHG Textfiels 2 4 3 2 3" xfId="28981" xr:uid="{00000000-0005-0000-0000-0000B2040000}"/>
    <cellStyle name="5x indented GHG Textfiels 2 4 3 3" xfId="10998" xr:uid="{00000000-0005-0000-0000-0000B3040000}"/>
    <cellStyle name="5x indented GHG Textfiels 2 4 3 3 2" xfId="20187" xr:uid="{00000000-0005-0000-0000-0000B4040000}"/>
    <cellStyle name="5x indented GHG Textfiels 2 4 3 3 3" xfId="25830" xr:uid="{00000000-0005-0000-0000-0000B5040000}"/>
    <cellStyle name="5x indented GHG Textfiels 2 4 3 4" xfId="21366" xr:uid="{00000000-0005-0000-0000-0000B6040000}"/>
    <cellStyle name="5x indented GHG Textfiels 2 4 4" xfId="4652" xr:uid="{00000000-0005-0000-0000-0000B7040000}"/>
    <cellStyle name="5x indented GHG Textfiels 2 4 4 2" xfId="8691" xr:uid="{00000000-0005-0000-0000-0000B8040000}"/>
    <cellStyle name="5x indented GHG Textfiels 2 4 4 2 2" xfId="17803" xr:uid="{00000000-0005-0000-0000-0000B9040000}"/>
    <cellStyle name="5x indented GHG Textfiels 2 4 4 2 2 2" xfId="20241" xr:uid="{00000000-0005-0000-0000-0000BA040000}"/>
    <cellStyle name="5x indented GHG Textfiels 2 4 4 2 2 3" xfId="32635" xr:uid="{00000000-0005-0000-0000-0000BB040000}"/>
    <cellStyle name="5x indented GHG Textfiels 2 4 4 2 3" xfId="24253" xr:uid="{00000000-0005-0000-0000-0000BC040000}"/>
    <cellStyle name="5x indented GHG Textfiels 2 4 5" xfId="2642" xr:uid="{00000000-0005-0000-0000-0000BD040000}"/>
    <cellStyle name="5x indented GHG Textfiels 2 4 5 2" xfId="12980" xr:uid="{00000000-0005-0000-0000-0000BE040000}"/>
    <cellStyle name="5x indented GHG Textfiels 2 4 5 2 2" xfId="20201" xr:uid="{00000000-0005-0000-0000-0000BF040000}"/>
    <cellStyle name="5x indented GHG Textfiels 2 4 5 2 3" xfId="27812" xr:uid="{00000000-0005-0000-0000-0000C0040000}"/>
    <cellStyle name="5x indented GHG Textfiels 2 4 5 3" xfId="10350" xr:uid="{00000000-0005-0000-0000-0000C1040000}"/>
    <cellStyle name="5x indented GHG Textfiels 2 4 5 3 2" xfId="20174" xr:uid="{00000000-0005-0000-0000-0000C2040000}"/>
    <cellStyle name="5x indented GHG Textfiels 2 4 5 3 3" xfId="25182" xr:uid="{00000000-0005-0000-0000-0000C3040000}"/>
    <cellStyle name="5x indented GHG Textfiels 2 4 5 4" xfId="20664" xr:uid="{00000000-0005-0000-0000-0000C4040000}"/>
    <cellStyle name="5x indented GHG Textfiels 2 4 6" xfId="9672" xr:uid="{00000000-0005-0000-0000-0000C5040000}"/>
    <cellStyle name="5x indented GHG Textfiels 2 5" xfId="1657" xr:uid="{00000000-0005-0000-0000-0000C6040000}"/>
    <cellStyle name="5x indented GHG Textfiels 2 5 2" xfId="2154" xr:uid="{00000000-0005-0000-0000-0000C7040000}"/>
    <cellStyle name="5x indented GHG Textfiels 2 5 2 2" xfId="4152" xr:uid="{00000000-0005-0000-0000-0000C8040000}"/>
    <cellStyle name="5x indented GHG Textfiels 2 5 2 2 2" xfId="14484" xr:uid="{00000000-0005-0000-0000-0000C9040000}"/>
    <cellStyle name="5x indented GHG Textfiels 2 5 2 2 2 2" xfId="20221" xr:uid="{00000000-0005-0000-0000-0000CA040000}"/>
    <cellStyle name="5x indented GHG Textfiels 2 5 2 2 2 3" xfId="29316" xr:uid="{00000000-0005-0000-0000-0000CB040000}"/>
    <cellStyle name="5x indented GHG Textfiels 2 5 2 2 3" xfId="11164" xr:uid="{00000000-0005-0000-0000-0000CC040000}"/>
    <cellStyle name="5x indented GHG Textfiels 2 5 2 2 3 2" xfId="20194" xr:uid="{00000000-0005-0000-0000-0000CD040000}"/>
    <cellStyle name="5x indented GHG Textfiels 2 5 2 2 3 3" xfId="25996" xr:uid="{00000000-0005-0000-0000-0000CE040000}"/>
    <cellStyle name="5x indented GHG Textfiels 2 5 2 2 4" xfId="21549" xr:uid="{00000000-0005-0000-0000-0000CF040000}"/>
    <cellStyle name="5x indented GHG Textfiels 2 5 2 3" xfId="3891" xr:uid="{00000000-0005-0000-0000-0000D0040000}"/>
    <cellStyle name="5x indented GHG Textfiels 2 5 2 3 2" xfId="7942" xr:uid="{00000000-0005-0000-0000-0000D1040000}"/>
    <cellStyle name="5x indented GHG Textfiels 2 5 2 3 2 2" xfId="17415" xr:uid="{00000000-0005-0000-0000-0000D2040000}"/>
    <cellStyle name="5x indented GHG Textfiels 2 5 2 3 2 2 2" xfId="20233" xr:uid="{00000000-0005-0000-0000-0000D3040000}"/>
    <cellStyle name="5x indented GHG Textfiels 2 5 2 3 2 2 3" xfId="32247" xr:uid="{00000000-0005-0000-0000-0000D4040000}"/>
    <cellStyle name="5x indented GHG Textfiels 2 5 2 3 2 3" xfId="23764" xr:uid="{00000000-0005-0000-0000-0000D5040000}"/>
    <cellStyle name="5x indented GHG Textfiels 2 5 2 4" xfId="5122" xr:uid="{00000000-0005-0000-0000-0000D6040000}"/>
    <cellStyle name="5x indented GHG Textfiels 2 5 2 4 2" xfId="9161" xr:uid="{00000000-0005-0000-0000-0000D7040000}"/>
    <cellStyle name="5x indented GHG Textfiels 2 5 2 4 2 2" xfId="18088" xr:uid="{00000000-0005-0000-0000-0000D8040000}"/>
    <cellStyle name="5x indented GHG Textfiels 2 5 2 4 2 2 2" xfId="20247" xr:uid="{00000000-0005-0000-0000-0000D9040000}"/>
    <cellStyle name="5x indented GHG Textfiels 2 5 2 4 2 2 3" xfId="32920" xr:uid="{00000000-0005-0000-0000-0000DA040000}"/>
    <cellStyle name="5x indented GHG Textfiels 2 5 2 4 2 3" xfId="24531" xr:uid="{00000000-0005-0000-0000-0000DB040000}"/>
    <cellStyle name="5x indented GHG Textfiels 2 5 2 5" xfId="3112" xr:uid="{00000000-0005-0000-0000-0000DC040000}"/>
    <cellStyle name="5x indented GHG Textfiels 2 5 2 5 2" xfId="13450" xr:uid="{00000000-0005-0000-0000-0000DD040000}"/>
    <cellStyle name="5x indented GHG Textfiels 2 5 2 5 2 2" xfId="20207" xr:uid="{00000000-0005-0000-0000-0000DE040000}"/>
    <cellStyle name="5x indented GHG Textfiels 2 5 2 5 2 3" xfId="28282" xr:uid="{00000000-0005-0000-0000-0000DF040000}"/>
    <cellStyle name="5x indented GHG Textfiels 2 5 2 5 3" xfId="10635" xr:uid="{00000000-0005-0000-0000-0000E0040000}"/>
    <cellStyle name="5x indented GHG Textfiels 2 5 2 5 3 2" xfId="20180" xr:uid="{00000000-0005-0000-0000-0000E1040000}"/>
    <cellStyle name="5x indented GHG Textfiels 2 5 2 5 3 3" xfId="25467" xr:uid="{00000000-0005-0000-0000-0000E2040000}"/>
    <cellStyle name="5x indented GHG Textfiels 2 5 2 5 4" xfId="20942" xr:uid="{00000000-0005-0000-0000-0000E3040000}"/>
    <cellStyle name="5x indented GHG Textfiels 2 5 3" xfId="3852" xr:uid="{00000000-0005-0000-0000-0000E4040000}"/>
    <cellStyle name="5x indented GHG Textfiels 2 5 3 2" xfId="14187" xr:uid="{00000000-0005-0000-0000-0000E5040000}"/>
    <cellStyle name="5x indented GHG Textfiels 2 5 3 2 2" xfId="20215" xr:uid="{00000000-0005-0000-0000-0000E6040000}"/>
    <cellStyle name="5x indented GHG Textfiels 2 5 3 2 3" xfId="29019" xr:uid="{00000000-0005-0000-0000-0000E7040000}"/>
    <cellStyle name="5x indented GHG Textfiels 2 5 3 3" xfId="11014" xr:uid="{00000000-0005-0000-0000-0000E8040000}"/>
    <cellStyle name="5x indented GHG Textfiels 2 5 3 3 2" xfId="20188" xr:uid="{00000000-0005-0000-0000-0000E9040000}"/>
    <cellStyle name="5x indented GHG Textfiels 2 5 3 3 3" xfId="25846" xr:uid="{00000000-0005-0000-0000-0000EA040000}"/>
    <cellStyle name="5x indented GHG Textfiels 2 5 3 4" xfId="21386" xr:uid="{00000000-0005-0000-0000-0000EB040000}"/>
    <cellStyle name="5x indented GHG Textfiels 2 5 4" xfId="4702" xr:uid="{00000000-0005-0000-0000-0000EC040000}"/>
    <cellStyle name="5x indented GHG Textfiels 2 5 4 2" xfId="8741" xr:uid="{00000000-0005-0000-0000-0000ED040000}"/>
    <cellStyle name="5x indented GHG Textfiels 2 5 4 2 2" xfId="17848" xr:uid="{00000000-0005-0000-0000-0000EE040000}"/>
    <cellStyle name="5x indented GHG Textfiels 2 5 4 2 2 2" xfId="20242" xr:uid="{00000000-0005-0000-0000-0000EF040000}"/>
    <cellStyle name="5x indented GHG Textfiels 2 5 4 2 2 3" xfId="32680" xr:uid="{00000000-0005-0000-0000-0000F0040000}"/>
    <cellStyle name="5x indented GHG Textfiels 2 5 4 2 3" xfId="24271" xr:uid="{00000000-0005-0000-0000-0000F1040000}"/>
    <cellStyle name="5x indented GHG Textfiels 2 5 5" xfId="2692" xr:uid="{00000000-0005-0000-0000-0000F2040000}"/>
    <cellStyle name="5x indented GHG Textfiels 2 5 5 2" xfId="13030" xr:uid="{00000000-0005-0000-0000-0000F3040000}"/>
    <cellStyle name="5x indented GHG Textfiels 2 5 5 2 2" xfId="20202" xr:uid="{00000000-0005-0000-0000-0000F4040000}"/>
    <cellStyle name="5x indented GHG Textfiels 2 5 5 2 3" xfId="27862" xr:uid="{00000000-0005-0000-0000-0000F5040000}"/>
    <cellStyle name="5x indented GHG Textfiels 2 5 5 3" xfId="10395" xr:uid="{00000000-0005-0000-0000-0000F6040000}"/>
    <cellStyle name="5x indented GHG Textfiels 2 5 5 3 2" xfId="20175" xr:uid="{00000000-0005-0000-0000-0000F7040000}"/>
    <cellStyle name="5x indented GHG Textfiels 2 5 5 3 3" xfId="25227" xr:uid="{00000000-0005-0000-0000-0000F8040000}"/>
    <cellStyle name="5x indented GHG Textfiels 2 5 5 4" xfId="20682" xr:uid="{00000000-0005-0000-0000-0000F9040000}"/>
    <cellStyle name="5x indented GHG Textfiels 2 5 6" xfId="9717" xr:uid="{00000000-0005-0000-0000-0000FA040000}"/>
    <cellStyle name="5x indented GHG Textfiels 2 6" xfId="2159" xr:uid="{00000000-0005-0000-0000-0000FB040000}"/>
    <cellStyle name="5x indented GHG Textfiels 2 6 2" xfId="3538" xr:uid="{00000000-0005-0000-0000-0000FC040000}"/>
    <cellStyle name="5x indented GHG Textfiels 2 6 2 2" xfId="7600" xr:uid="{00000000-0005-0000-0000-0000FD040000}"/>
    <cellStyle name="5x indented GHG Textfiels 2 6 2 2 2" xfId="17244" xr:uid="{00000000-0005-0000-0000-0000FE040000}"/>
    <cellStyle name="5x indented GHG Textfiels 2 6 2 2 2 2" xfId="20230" xr:uid="{00000000-0005-0000-0000-0000FF040000}"/>
    <cellStyle name="5x indented GHG Textfiels 2 6 2 2 2 3" xfId="32076" xr:uid="{00000000-0005-0000-0000-000000050000}"/>
    <cellStyle name="5x indented GHG Textfiels 2 6 2 2 3" xfId="23540" xr:uid="{00000000-0005-0000-0000-000001050000}"/>
    <cellStyle name="5x indented GHG Textfiels 2 6 3" xfId="5127" xr:uid="{00000000-0005-0000-0000-000002050000}"/>
    <cellStyle name="5x indented GHG Textfiels 2 6 3 2" xfId="9166" xr:uid="{00000000-0005-0000-0000-000003050000}"/>
    <cellStyle name="5x indented GHG Textfiels 2 6 3 2 2" xfId="18089" xr:uid="{00000000-0005-0000-0000-000004050000}"/>
    <cellStyle name="5x indented GHG Textfiels 2 6 3 2 2 2" xfId="20248" xr:uid="{00000000-0005-0000-0000-000005050000}"/>
    <cellStyle name="5x indented GHG Textfiels 2 6 3 2 2 3" xfId="32921" xr:uid="{00000000-0005-0000-0000-000006050000}"/>
    <cellStyle name="5x indented GHG Textfiels 2 6 3 2 3" xfId="24536" xr:uid="{00000000-0005-0000-0000-000007050000}"/>
    <cellStyle name="5x indented GHG Textfiels 2 6 4" xfId="4157" xr:uid="{00000000-0005-0000-0000-000008050000}"/>
    <cellStyle name="5x indented GHG Textfiels 2 6 4 2" xfId="14489" xr:uid="{00000000-0005-0000-0000-000009050000}"/>
    <cellStyle name="5x indented GHG Textfiels 2 6 4 2 2" xfId="20222" xr:uid="{00000000-0005-0000-0000-00000A050000}"/>
    <cellStyle name="5x indented GHG Textfiels 2 6 4 2 3" xfId="29321" xr:uid="{00000000-0005-0000-0000-00000B050000}"/>
    <cellStyle name="5x indented GHG Textfiels 2 6 4 3" xfId="11165" xr:uid="{00000000-0005-0000-0000-00000C050000}"/>
    <cellStyle name="5x indented GHG Textfiels 2 6 4 3 2" xfId="20195" xr:uid="{00000000-0005-0000-0000-00000D050000}"/>
    <cellStyle name="5x indented GHG Textfiels 2 6 4 3 3" xfId="25997" xr:uid="{00000000-0005-0000-0000-00000E050000}"/>
    <cellStyle name="5x indented GHG Textfiels 2 6 4 4" xfId="21550" xr:uid="{00000000-0005-0000-0000-00000F050000}"/>
    <cellStyle name="5x indented GHG Textfiels 2 7" xfId="3614" xr:uid="{00000000-0005-0000-0000-000010050000}"/>
    <cellStyle name="5x indented GHG Textfiels 2 7 2" xfId="13949" xr:uid="{00000000-0005-0000-0000-000011050000}"/>
    <cellStyle name="5x indented GHG Textfiels 2 7 2 2" xfId="20209" xr:uid="{00000000-0005-0000-0000-000012050000}"/>
    <cellStyle name="5x indented GHG Textfiels 2 7 2 3" xfId="28781" xr:uid="{00000000-0005-0000-0000-000013050000}"/>
    <cellStyle name="5x indented GHG Textfiels 2 7 3" xfId="10899" xr:uid="{00000000-0005-0000-0000-000014050000}"/>
    <cellStyle name="5x indented GHG Textfiels 2 7 3 2" xfId="20182" xr:uid="{00000000-0005-0000-0000-000015050000}"/>
    <cellStyle name="5x indented GHG Textfiels 2 7 3 3" xfId="25731" xr:uid="{00000000-0005-0000-0000-000016050000}"/>
    <cellStyle name="5x indented GHG Textfiels 2 7 4" xfId="21252" xr:uid="{00000000-0005-0000-0000-000017050000}"/>
    <cellStyle name="5x indented GHG Textfiels 2 8" xfId="3997" xr:uid="{00000000-0005-0000-0000-000018050000}"/>
    <cellStyle name="5x indented GHG Textfiels 2 8 2" xfId="8044" xr:uid="{00000000-0005-0000-0000-000019050000}"/>
    <cellStyle name="5x indented GHG Textfiels 2 8 2 2" xfId="17465" xr:uid="{00000000-0005-0000-0000-00001A050000}"/>
    <cellStyle name="5x indented GHG Textfiels 2 8 2 2 2" xfId="20234" xr:uid="{00000000-0005-0000-0000-00001B050000}"/>
    <cellStyle name="5x indented GHG Textfiels 2 8 2 2 3" xfId="32297" xr:uid="{00000000-0005-0000-0000-00001C050000}"/>
    <cellStyle name="5x indented GHG Textfiels 2 8 2 3" xfId="23827" xr:uid="{00000000-0005-0000-0000-00001D050000}"/>
    <cellStyle name="5x indented GHG Textfiels 2 9" xfId="2350" xr:uid="{00000000-0005-0000-0000-00001E050000}"/>
    <cellStyle name="5x indented GHG Textfiels 2 9 2" xfId="6462" xr:uid="{00000000-0005-0000-0000-00001F050000}"/>
    <cellStyle name="5x indented GHG Textfiels 2 9 2 2" xfId="16553" xr:uid="{00000000-0005-0000-0000-000020050000}"/>
    <cellStyle name="5x indented GHG Textfiels 2 9 2 2 2" xfId="20227" xr:uid="{00000000-0005-0000-0000-000021050000}"/>
    <cellStyle name="5x indented GHG Textfiels 2 9 2 2 3" xfId="31385" xr:uid="{00000000-0005-0000-0000-000022050000}"/>
    <cellStyle name="5x indented GHG Textfiels 2 9 2 3" xfId="22832" xr:uid="{00000000-0005-0000-0000-000023050000}"/>
    <cellStyle name="5x indented GHG Textfiels 3" xfId="1421" xr:uid="{00000000-0005-0000-0000-000024050000}"/>
    <cellStyle name="5x indented GHG Textfiels 3 2" xfId="1922" xr:uid="{00000000-0005-0000-0000-000025050000}"/>
    <cellStyle name="5x indented GHG Textfiels 3 2 2" xfId="3990" xr:uid="{00000000-0005-0000-0000-000026050000}"/>
    <cellStyle name="5x indented GHG Textfiels 3 2 2 2" xfId="14323" xr:uid="{00000000-0005-0000-0000-000027050000}"/>
    <cellStyle name="5x indented GHG Textfiels 3 2 2 2 2" xfId="20218" xr:uid="{00000000-0005-0000-0000-000028050000}"/>
    <cellStyle name="5x indented GHG Textfiels 3 2 2 2 3" xfId="29155" xr:uid="{00000000-0005-0000-0000-000029050000}"/>
    <cellStyle name="5x indented GHG Textfiels 3 2 2 3" xfId="11078" xr:uid="{00000000-0005-0000-0000-00002A050000}"/>
    <cellStyle name="5x indented GHG Textfiels 3 2 2 3 2" xfId="20191" xr:uid="{00000000-0005-0000-0000-00002B050000}"/>
    <cellStyle name="5x indented GHG Textfiels 3 2 2 3 3" xfId="25910" xr:uid="{00000000-0005-0000-0000-00002C050000}"/>
    <cellStyle name="5x indented GHG Textfiels 3 2 2 4" xfId="21463" xr:uid="{00000000-0005-0000-0000-00002D050000}"/>
    <cellStyle name="5x indented GHG Textfiels 3 2 3" xfId="3809" xr:uid="{00000000-0005-0000-0000-00002E050000}"/>
    <cellStyle name="5x indented GHG Textfiels 3 2 3 2" xfId="14144" xr:uid="{00000000-0005-0000-0000-00002F050000}"/>
    <cellStyle name="5x indented GHG Textfiels 3 2 3 2 2" xfId="20213" xr:uid="{00000000-0005-0000-0000-000030050000}"/>
    <cellStyle name="5x indented GHG Textfiels 3 2 3 2 3" xfId="28976" xr:uid="{00000000-0005-0000-0000-000031050000}"/>
    <cellStyle name="5x indented GHG Textfiels 3 2 3 3" xfId="10994" xr:uid="{00000000-0005-0000-0000-000032050000}"/>
    <cellStyle name="5x indented GHG Textfiels 3 2 3 3 2" xfId="20186" xr:uid="{00000000-0005-0000-0000-000033050000}"/>
    <cellStyle name="5x indented GHG Textfiels 3 2 3 3 3" xfId="25826" xr:uid="{00000000-0005-0000-0000-000034050000}"/>
    <cellStyle name="5x indented GHG Textfiels 3 2 3 4" xfId="21364" xr:uid="{00000000-0005-0000-0000-000035050000}"/>
    <cellStyle name="5x indented GHG Textfiels 3 2 4" xfId="4901" xr:uid="{00000000-0005-0000-0000-000036050000}"/>
    <cellStyle name="5x indented GHG Textfiels 3 2 4 2" xfId="8940" xr:uid="{00000000-0005-0000-0000-000037050000}"/>
    <cellStyle name="5x indented GHG Textfiels 3 2 4 2 2" xfId="17945" xr:uid="{00000000-0005-0000-0000-000038050000}"/>
    <cellStyle name="5x indented GHG Textfiels 3 2 4 2 2 2" xfId="20244" xr:uid="{00000000-0005-0000-0000-000039050000}"/>
    <cellStyle name="5x indented GHG Textfiels 3 2 4 2 2 3" xfId="32777" xr:uid="{00000000-0005-0000-0000-00003A050000}"/>
    <cellStyle name="5x indented GHG Textfiels 3 2 4 2 3" xfId="24406" xr:uid="{00000000-0005-0000-0000-00003B050000}"/>
    <cellStyle name="5x indented GHG Textfiels 3 2 5" xfId="2891" xr:uid="{00000000-0005-0000-0000-00003C050000}"/>
    <cellStyle name="5x indented GHG Textfiels 3 2 5 2" xfId="13229" xr:uid="{00000000-0005-0000-0000-00003D050000}"/>
    <cellStyle name="5x indented GHG Textfiels 3 2 5 2 2" xfId="20204" xr:uid="{00000000-0005-0000-0000-00003E050000}"/>
    <cellStyle name="5x indented GHG Textfiels 3 2 5 2 3" xfId="28061" xr:uid="{00000000-0005-0000-0000-00003F050000}"/>
    <cellStyle name="5x indented GHG Textfiels 3 2 5 3" xfId="10492" xr:uid="{00000000-0005-0000-0000-000040050000}"/>
    <cellStyle name="5x indented GHG Textfiels 3 2 5 3 2" xfId="20177" xr:uid="{00000000-0005-0000-0000-000041050000}"/>
    <cellStyle name="5x indented GHG Textfiels 3 2 5 3 3" xfId="25324" xr:uid="{00000000-0005-0000-0000-000042050000}"/>
    <cellStyle name="5x indented GHG Textfiels 3 2 5 4" xfId="20817" xr:uid="{00000000-0005-0000-0000-000043050000}"/>
    <cellStyle name="5x indented GHG Textfiels 3 2 6" xfId="9906" xr:uid="{00000000-0005-0000-0000-000044050000}"/>
    <cellStyle name="5x indented GHG Textfiels 3 3" xfId="2240" xr:uid="{00000000-0005-0000-0000-000045050000}"/>
    <cellStyle name="5x indented GHG Textfiels 3 3 2" xfId="4344" xr:uid="{00000000-0005-0000-0000-000046050000}"/>
    <cellStyle name="5x indented GHG Textfiels 3 3 2 2" xfId="8383" xr:uid="{00000000-0005-0000-0000-000047050000}"/>
    <cellStyle name="5x indented GHG Textfiels 3 3 2 2 2" xfId="17655" xr:uid="{00000000-0005-0000-0000-000048050000}"/>
    <cellStyle name="5x indented GHG Textfiels 3 3 2 2 2 2" xfId="20237" xr:uid="{00000000-0005-0000-0000-000049050000}"/>
    <cellStyle name="5x indented GHG Textfiels 3 3 2 2 2 3" xfId="32487" xr:uid="{00000000-0005-0000-0000-00004A050000}"/>
    <cellStyle name="5x indented GHG Textfiels 3 3 2 2 3" xfId="24041" xr:uid="{00000000-0005-0000-0000-00004B050000}"/>
    <cellStyle name="5x indented GHG Textfiels 3 3 3" xfId="5208" xr:uid="{00000000-0005-0000-0000-00004C050000}"/>
    <cellStyle name="5x indented GHG Textfiels 3 3 3 2" xfId="9247" xr:uid="{00000000-0005-0000-0000-00004D050000}"/>
    <cellStyle name="5x indented GHG Textfiels 3 3 3 2 2" xfId="18138" xr:uid="{00000000-0005-0000-0000-00004E050000}"/>
    <cellStyle name="5x indented GHG Textfiels 3 3 3 2 2 2" xfId="20250" xr:uid="{00000000-0005-0000-0000-00004F050000}"/>
    <cellStyle name="5x indented GHG Textfiels 3 3 3 2 2 3" xfId="32970" xr:uid="{00000000-0005-0000-0000-000050050000}"/>
    <cellStyle name="5x indented GHG Textfiels 3 3 3 2 3" xfId="24585" xr:uid="{00000000-0005-0000-0000-000051050000}"/>
    <cellStyle name="5x indented GHG Textfiels 3 3 4" xfId="4238" xr:uid="{00000000-0005-0000-0000-000052050000}"/>
    <cellStyle name="5x indented GHG Textfiels 3 3 4 2" xfId="14570" xr:uid="{00000000-0005-0000-0000-000053050000}"/>
    <cellStyle name="5x indented GHG Textfiels 3 3 4 2 2" xfId="20224" xr:uid="{00000000-0005-0000-0000-000054050000}"/>
    <cellStyle name="5x indented GHG Textfiels 3 3 4 2 3" xfId="29402" xr:uid="{00000000-0005-0000-0000-000055050000}"/>
    <cellStyle name="5x indented GHG Textfiels 3 3 4 3" xfId="11214" xr:uid="{00000000-0005-0000-0000-000056050000}"/>
    <cellStyle name="5x indented GHG Textfiels 3 3 4 3 2" xfId="20197" xr:uid="{00000000-0005-0000-0000-000057050000}"/>
    <cellStyle name="5x indented GHG Textfiels 3 3 4 3 3" xfId="26046" xr:uid="{00000000-0005-0000-0000-000058050000}"/>
    <cellStyle name="5x indented GHG Textfiels 3 3 4 4" xfId="21598" xr:uid="{00000000-0005-0000-0000-000059050000}"/>
    <cellStyle name="5x indented GHG Textfiels 3 4" xfId="3690" xr:uid="{00000000-0005-0000-0000-00005A050000}"/>
    <cellStyle name="5x indented GHG Textfiels 3 4 2" xfId="14025" xr:uid="{00000000-0005-0000-0000-00005B050000}"/>
    <cellStyle name="5x indented GHG Textfiels 3 4 2 2" xfId="20211" xr:uid="{00000000-0005-0000-0000-00005C050000}"/>
    <cellStyle name="5x indented GHG Textfiels 3 4 2 3" xfId="28857" xr:uid="{00000000-0005-0000-0000-00005D050000}"/>
    <cellStyle name="5x indented GHG Textfiels 3 4 3" xfId="10934" xr:uid="{00000000-0005-0000-0000-00005E050000}"/>
    <cellStyle name="5x indented GHG Textfiels 3 4 3 2" xfId="20184" xr:uid="{00000000-0005-0000-0000-00005F050000}"/>
    <cellStyle name="5x indented GHG Textfiels 3 4 3 3" xfId="25766" xr:uid="{00000000-0005-0000-0000-000060050000}"/>
    <cellStyle name="5x indented GHG Textfiels 3 4 4" xfId="21294" xr:uid="{00000000-0005-0000-0000-000061050000}"/>
    <cellStyle name="5x indented GHG Textfiels 3 5" xfId="3983" xr:uid="{00000000-0005-0000-0000-000062050000}"/>
    <cellStyle name="5x indented GHG Textfiels 3 5 2" xfId="14316" xr:uid="{00000000-0005-0000-0000-000063050000}"/>
    <cellStyle name="5x indented GHG Textfiels 3 5 2 2" xfId="20217" xr:uid="{00000000-0005-0000-0000-000064050000}"/>
    <cellStyle name="5x indented GHG Textfiels 3 5 2 3" xfId="29148" xr:uid="{00000000-0005-0000-0000-000065050000}"/>
    <cellStyle name="5x indented GHG Textfiels 3 5 3" xfId="11073" xr:uid="{00000000-0005-0000-0000-000066050000}"/>
    <cellStyle name="5x indented GHG Textfiels 3 5 3 2" xfId="20190" xr:uid="{00000000-0005-0000-0000-000067050000}"/>
    <cellStyle name="5x indented GHG Textfiels 3 5 3 3" xfId="25905" xr:uid="{00000000-0005-0000-0000-000068050000}"/>
    <cellStyle name="5x indented GHG Textfiels 3 5 4" xfId="21460" xr:uid="{00000000-0005-0000-0000-000069050000}"/>
    <cellStyle name="5x indented GHG Textfiels 3 6" xfId="4481" xr:uid="{00000000-0005-0000-0000-00006A050000}"/>
    <cellStyle name="5x indented GHG Textfiels 3 6 2" xfId="8520" xr:uid="{00000000-0005-0000-0000-00006B050000}"/>
    <cellStyle name="5x indented GHG Textfiels 3 6 2 2" xfId="17705" xr:uid="{00000000-0005-0000-0000-00006C050000}"/>
    <cellStyle name="5x indented GHG Textfiels 3 6 2 2 2" xfId="20239" xr:uid="{00000000-0005-0000-0000-00006D050000}"/>
    <cellStyle name="5x indented GHG Textfiels 3 6 2 2 3" xfId="32537" xr:uid="{00000000-0005-0000-0000-00006E050000}"/>
    <cellStyle name="5x indented GHG Textfiels 3 6 2 3" xfId="24146" xr:uid="{00000000-0005-0000-0000-00006F050000}"/>
    <cellStyle name="5x indented GHG Textfiels 3 7" xfId="2471" xr:uid="{00000000-0005-0000-0000-000070050000}"/>
    <cellStyle name="5x indented GHG Textfiels 3 7 2" xfId="6577" xr:uid="{00000000-0005-0000-0000-000071050000}"/>
    <cellStyle name="5x indented GHG Textfiels 3 7 2 2" xfId="16602" xr:uid="{00000000-0005-0000-0000-000072050000}"/>
    <cellStyle name="5x indented GHG Textfiels 3 7 2 2 2" xfId="20228" xr:uid="{00000000-0005-0000-0000-000073050000}"/>
    <cellStyle name="5x indented GHG Textfiels 3 7 2 2 3" xfId="31434" xr:uid="{00000000-0005-0000-0000-000074050000}"/>
    <cellStyle name="5x indented GHG Textfiels 3 7 2 3" xfId="22915" xr:uid="{00000000-0005-0000-0000-000075050000}"/>
    <cellStyle name="5x indented GHG Textfiels 3 8" xfId="1694" xr:uid="{00000000-0005-0000-0000-000076050000}"/>
    <cellStyle name="5x indented GHG Textfiels 3 8 2" xfId="5826" xr:uid="{00000000-0005-0000-0000-000077050000}"/>
    <cellStyle name="5x indented GHG Textfiels 3 8 2 2" xfId="16037" xr:uid="{00000000-0005-0000-0000-000078050000}"/>
    <cellStyle name="5x indented GHG Textfiels 3 8 2 2 2" xfId="20225" xr:uid="{00000000-0005-0000-0000-000079050000}"/>
    <cellStyle name="5x indented GHG Textfiels 3 8 2 2 3" xfId="30869" xr:uid="{00000000-0005-0000-0000-00007A050000}"/>
    <cellStyle name="5x indented GHG Textfiels 3 8 2 3" xfId="22423" xr:uid="{00000000-0005-0000-0000-00007B050000}"/>
    <cellStyle name="5x indented GHG Textfiels 3 8 3" xfId="12088" xr:uid="{00000000-0005-0000-0000-00007C050000}"/>
    <cellStyle name="5x indented GHG Textfiels 3 8 3 2" xfId="20198" xr:uid="{00000000-0005-0000-0000-00007D050000}"/>
    <cellStyle name="5x indented GHG Textfiels 3 8 3 3" xfId="26920" xr:uid="{00000000-0005-0000-0000-00007E050000}"/>
    <cellStyle name="5x indented GHG Textfiels 3 8 4" xfId="9718" xr:uid="{00000000-0005-0000-0000-00007F050000}"/>
    <cellStyle name="5x indented GHG Textfiels 3 9" xfId="9511" xr:uid="{00000000-0005-0000-0000-000080050000}"/>
    <cellStyle name="5x indented GHG Textfiels 4" xfId="2238" xr:uid="{00000000-0005-0000-0000-000081050000}"/>
    <cellStyle name="5x indented GHG Textfiels 4 2" xfId="4342" xr:uid="{00000000-0005-0000-0000-000082050000}"/>
    <cellStyle name="5x indented GHG Textfiels 4 2 2" xfId="8381" xr:uid="{00000000-0005-0000-0000-000083050000}"/>
    <cellStyle name="5x indented GHG Textfiels 4 2 2 2" xfId="17654" xr:uid="{00000000-0005-0000-0000-000084050000}"/>
    <cellStyle name="5x indented GHG Textfiels 4 2 2 2 2" xfId="20236" xr:uid="{00000000-0005-0000-0000-000085050000}"/>
    <cellStyle name="5x indented GHG Textfiels 4 2 2 2 3" xfId="32486" xr:uid="{00000000-0005-0000-0000-000086050000}"/>
    <cellStyle name="5x indented GHG Textfiels 4 2 2 3" xfId="24039" xr:uid="{00000000-0005-0000-0000-000087050000}"/>
    <cellStyle name="5x indented GHG Textfiels 4 3" xfId="5206" xr:uid="{00000000-0005-0000-0000-000088050000}"/>
    <cellStyle name="5x indented GHG Textfiels 4 3 2" xfId="9245" xr:uid="{00000000-0005-0000-0000-000089050000}"/>
    <cellStyle name="5x indented GHG Textfiels 4 3 2 2" xfId="18137" xr:uid="{00000000-0005-0000-0000-00008A050000}"/>
    <cellStyle name="5x indented GHG Textfiels 4 3 2 2 2" xfId="20249" xr:uid="{00000000-0005-0000-0000-00008B050000}"/>
    <cellStyle name="5x indented GHG Textfiels 4 3 2 2 3" xfId="32969" xr:uid="{00000000-0005-0000-0000-00008C050000}"/>
    <cellStyle name="5x indented GHG Textfiels 4 3 2 3" xfId="24583" xr:uid="{00000000-0005-0000-0000-00008D050000}"/>
    <cellStyle name="5x indented GHG Textfiels 4 4" xfId="4236" xr:uid="{00000000-0005-0000-0000-00008E050000}"/>
    <cellStyle name="5x indented GHG Textfiels 4 4 2" xfId="14568" xr:uid="{00000000-0005-0000-0000-00008F050000}"/>
    <cellStyle name="5x indented GHG Textfiels 4 4 2 2" xfId="20223" xr:uid="{00000000-0005-0000-0000-000090050000}"/>
    <cellStyle name="5x indented GHG Textfiels 4 4 2 3" xfId="29400" xr:uid="{00000000-0005-0000-0000-000091050000}"/>
    <cellStyle name="5x indented GHG Textfiels 4 4 3" xfId="11213" xr:uid="{00000000-0005-0000-0000-000092050000}"/>
    <cellStyle name="5x indented GHG Textfiels 4 4 3 2" xfId="20196" xr:uid="{00000000-0005-0000-0000-000093050000}"/>
    <cellStyle name="5x indented GHG Textfiels 4 4 3 3" xfId="26045" xr:uid="{00000000-0005-0000-0000-000094050000}"/>
    <cellStyle name="5x indented GHG Textfiels 4 4 4" xfId="21597" xr:uid="{00000000-0005-0000-0000-000095050000}"/>
    <cellStyle name="5x indented GHG Textfiels 5" xfId="3312" xr:uid="{00000000-0005-0000-0000-000096050000}"/>
    <cellStyle name="5x indented GHG Textfiels 5 2" xfId="13649" xr:uid="{00000000-0005-0000-0000-000097050000}"/>
    <cellStyle name="5x indented GHG Textfiels 5 2 2" xfId="20208" xr:uid="{00000000-0005-0000-0000-000098050000}"/>
    <cellStyle name="5x indented GHG Textfiels 5 2 3" xfId="28481" xr:uid="{00000000-0005-0000-0000-000099050000}"/>
    <cellStyle name="5x indented GHG Textfiels 5 3" xfId="10733" xr:uid="{00000000-0005-0000-0000-00009A050000}"/>
    <cellStyle name="5x indented GHG Textfiels 5 3 2" xfId="20181" xr:uid="{00000000-0005-0000-0000-00009B050000}"/>
    <cellStyle name="5x indented GHG Textfiels 5 3 3" xfId="25565" xr:uid="{00000000-0005-0000-0000-00009C050000}"/>
    <cellStyle name="5x indented GHG Textfiels 5 4" xfId="21081" xr:uid="{00000000-0005-0000-0000-00009D050000}"/>
    <cellStyle name="5x indented GHG Textfiels 6" xfId="3611" xr:uid="{00000000-0005-0000-0000-00009E050000}"/>
    <cellStyle name="5x indented GHG Textfiels 6 2" xfId="7672" xr:uid="{00000000-0005-0000-0000-00009F050000}"/>
    <cellStyle name="5x indented GHG Textfiels 6 2 2" xfId="17282" xr:uid="{00000000-0005-0000-0000-0000A0050000}"/>
    <cellStyle name="5x indented GHG Textfiels 6 2 2 2" xfId="20231" xr:uid="{00000000-0005-0000-0000-0000A1050000}"/>
    <cellStyle name="5x indented GHG Textfiels 6 2 2 3" xfId="32114" xr:uid="{00000000-0005-0000-0000-0000A2050000}"/>
    <cellStyle name="5x indented GHG Textfiels 6 2 3" xfId="23582" xr:uid="{00000000-0005-0000-0000-0000A3050000}"/>
    <cellStyle name="5x indented GHG Textfiels 7" xfId="2266" xr:uid="{00000000-0005-0000-0000-0000A4050000}"/>
    <cellStyle name="5x indented GHG Textfiels 7 2" xfId="6378" xr:uid="{00000000-0005-0000-0000-0000A5050000}"/>
    <cellStyle name="5x indented GHG Textfiels 7 2 2" xfId="16505" xr:uid="{00000000-0005-0000-0000-0000A6050000}"/>
    <cellStyle name="5x indented GHG Textfiels 7 2 2 2" xfId="20226" xr:uid="{00000000-0005-0000-0000-0000A7050000}"/>
    <cellStyle name="5x indented GHG Textfiels 7 2 2 3" xfId="31337" xr:uid="{00000000-0005-0000-0000-0000A8050000}"/>
    <cellStyle name="5x indented GHG Textfiels 7 2 3" xfId="22780" xr:uid="{00000000-0005-0000-0000-0000A9050000}"/>
    <cellStyle name="5x indented GHG Textfiels 8" xfId="5390" xr:uid="{00000000-0005-0000-0000-0000AA050000}"/>
    <cellStyle name="5x indented GHG Textfiels 8 2" xfId="18249" xr:uid="{00000000-0005-0000-0000-0000AB050000}"/>
    <cellStyle name="5x indented GHG Textfiels 8 3" xfId="22151" xr:uid="{00000000-0005-0000-0000-0000AC050000}"/>
    <cellStyle name="60% - Accent1 10" xfId="707" xr:uid="{00000000-0005-0000-0000-0000AD050000}"/>
    <cellStyle name="60% - Accent1 2" xfId="708" xr:uid="{00000000-0005-0000-0000-0000AE050000}"/>
    <cellStyle name="60% - Accent1 2 2" xfId="709" xr:uid="{00000000-0005-0000-0000-0000AF050000}"/>
    <cellStyle name="60% - Accent1 2 3" xfId="710" xr:uid="{00000000-0005-0000-0000-0000B0050000}"/>
    <cellStyle name="60% - Accent1 2 4" xfId="711" xr:uid="{00000000-0005-0000-0000-0000B1050000}"/>
    <cellStyle name="60% - Accent1 2 5" xfId="712" xr:uid="{00000000-0005-0000-0000-0000B2050000}"/>
    <cellStyle name="60% - Accent1 2 6" xfId="713" xr:uid="{00000000-0005-0000-0000-0000B3050000}"/>
    <cellStyle name="60% - Accent1 2 7" xfId="714" xr:uid="{00000000-0005-0000-0000-0000B4050000}"/>
    <cellStyle name="60% - Accent1 2 8" xfId="715" xr:uid="{00000000-0005-0000-0000-0000B5050000}"/>
    <cellStyle name="60% - Accent1 3" xfId="716" xr:uid="{00000000-0005-0000-0000-0000B6050000}"/>
    <cellStyle name="60% - Accent1 3 2" xfId="717" xr:uid="{00000000-0005-0000-0000-0000B7050000}"/>
    <cellStyle name="60% - Accent1 4" xfId="718" xr:uid="{00000000-0005-0000-0000-0000B8050000}"/>
    <cellStyle name="60% - Accent1 4 2" xfId="719" xr:uid="{00000000-0005-0000-0000-0000B9050000}"/>
    <cellStyle name="60% - Accent1 5" xfId="720" xr:uid="{00000000-0005-0000-0000-0000BA050000}"/>
    <cellStyle name="60% - Accent1 5 2" xfId="721" xr:uid="{00000000-0005-0000-0000-0000BB050000}"/>
    <cellStyle name="60% - Accent1 6" xfId="722" xr:uid="{00000000-0005-0000-0000-0000BC050000}"/>
    <cellStyle name="60% - Accent1 6 2" xfId="723" xr:uid="{00000000-0005-0000-0000-0000BD050000}"/>
    <cellStyle name="60% - Accent1 7" xfId="724" xr:uid="{00000000-0005-0000-0000-0000BE050000}"/>
    <cellStyle name="60% - Accent1 7 2" xfId="725" xr:uid="{00000000-0005-0000-0000-0000BF050000}"/>
    <cellStyle name="60% - Accent1 8" xfId="726" xr:uid="{00000000-0005-0000-0000-0000C0050000}"/>
    <cellStyle name="60% - Accent1 8 2" xfId="727" xr:uid="{00000000-0005-0000-0000-0000C1050000}"/>
    <cellStyle name="60% - Accent1 9" xfId="728" xr:uid="{00000000-0005-0000-0000-0000C2050000}"/>
    <cellStyle name="60% - Accent2 10" xfId="729" xr:uid="{00000000-0005-0000-0000-0000C3050000}"/>
    <cellStyle name="60% - Accent2 2" xfId="730" xr:uid="{00000000-0005-0000-0000-0000C4050000}"/>
    <cellStyle name="60% - Accent2 2 2" xfId="731" xr:uid="{00000000-0005-0000-0000-0000C5050000}"/>
    <cellStyle name="60% - Accent2 2 3" xfId="732" xr:uid="{00000000-0005-0000-0000-0000C6050000}"/>
    <cellStyle name="60% - Accent2 2 4" xfId="733" xr:uid="{00000000-0005-0000-0000-0000C7050000}"/>
    <cellStyle name="60% - Accent2 2 5" xfId="734" xr:uid="{00000000-0005-0000-0000-0000C8050000}"/>
    <cellStyle name="60% - Accent2 2 6" xfId="735" xr:uid="{00000000-0005-0000-0000-0000C9050000}"/>
    <cellStyle name="60% - Accent2 2 7" xfId="736" xr:uid="{00000000-0005-0000-0000-0000CA050000}"/>
    <cellStyle name="60% - Accent2 2 8" xfId="737" xr:uid="{00000000-0005-0000-0000-0000CB050000}"/>
    <cellStyle name="60% - Accent2 3" xfId="738" xr:uid="{00000000-0005-0000-0000-0000CC050000}"/>
    <cellStyle name="60% - Accent2 3 2" xfId="739" xr:uid="{00000000-0005-0000-0000-0000CD050000}"/>
    <cellStyle name="60% - Accent2 4" xfId="740" xr:uid="{00000000-0005-0000-0000-0000CE050000}"/>
    <cellStyle name="60% - Accent2 4 2" xfId="741" xr:uid="{00000000-0005-0000-0000-0000CF050000}"/>
    <cellStyle name="60% - Accent2 5" xfId="742" xr:uid="{00000000-0005-0000-0000-0000D0050000}"/>
    <cellStyle name="60% - Accent2 5 2" xfId="743" xr:uid="{00000000-0005-0000-0000-0000D1050000}"/>
    <cellStyle name="60% - Accent2 6" xfId="744" xr:uid="{00000000-0005-0000-0000-0000D2050000}"/>
    <cellStyle name="60% - Accent2 6 2" xfId="745" xr:uid="{00000000-0005-0000-0000-0000D3050000}"/>
    <cellStyle name="60% - Accent2 7" xfId="746" xr:uid="{00000000-0005-0000-0000-0000D4050000}"/>
    <cellStyle name="60% - Accent2 7 2" xfId="747" xr:uid="{00000000-0005-0000-0000-0000D5050000}"/>
    <cellStyle name="60% - Accent2 8" xfId="748" xr:uid="{00000000-0005-0000-0000-0000D6050000}"/>
    <cellStyle name="60% - Accent2 8 2" xfId="749" xr:uid="{00000000-0005-0000-0000-0000D7050000}"/>
    <cellStyle name="60% - Accent2 9" xfId="750" xr:uid="{00000000-0005-0000-0000-0000D8050000}"/>
    <cellStyle name="60% - Accent3 10" xfId="751" xr:uid="{00000000-0005-0000-0000-0000D9050000}"/>
    <cellStyle name="60% - Accent3 2" xfId="752" xr:uid="{00000000-0005-0000-0000-0000DA050000}"/>
    <cellStyle name="60% - Accent3 2 2" xfId="753" xr:uid="{00000000-0005-0000-0000-0000DB050000}"/>
    <cellStyle name="60% - Accent3 2 3" xfId="754" xr:uid="{00000000-0005-0000-0000-0000DC050000}"/>
    <cellStyle name="60% - Accent3 2 4" xfId="755" xr:uid="{00000000-0005-0000-0000-0000DD050000}"/>
    <cellStyle name="60% - Accent3 2 5" xfId="756" xr:uid="{00000000-0005-0000-0000-0000DE050000}"/>
    <cellStyle name="60% - Accent3 2 6" xfId="757" xr:uid="{00000000-0005-0000-0000-0000DF050000}"/>
    <cellStyle name="60% - Accent3 2 7" xfId="758" xr:uid="{00000000-0005-0000-0000-0000E0050000}"/>
    <cellStyle name="60% - Accent3 2 8" xfId="759" xr:uid="{00000000-0005-0000-0000-0000E1050000}"/>
    <cellStyle name="60% - Accent3 3" xfId="760" xr:uid="{00000000-0005-0000-0000-0000E2050000}"/>
    <cellStyle name="60% - Accent3 3 2" xfId="761" xr:uid="{00000000-0005-0000-0000-0000E3050000}"/>
    <cellStyle name="60% - Accent3 4" xfId="762" xr:uid="{00000000-0005-0000-0000-0000E4050000}"/>
    <cellStyle name="60% - Accent3 4 2" xfId="763" xr:uid="{00000000-0005-0000-0000-0000E5050000}"/>
    <cellStyle name="60% - Accent3 5" xfId="764" xr:uid="{00000000-0005-0000-0000-0000E6050000}"/>
    <cellStyle name="60% - Accent3 5 2" xfId="765" xr:uid="{00000000-0005-0000-0000-0000E7050000}"/>
    <cellStyle name="60% - Accent3 6" xfId="766" xr:uid="{00000000-0005-0000-0000-0000E8050000}"/>
    <cellStyle name="60% - Accent3 6 2" xfId="767" xr:uid="{00000000-0005-0000-0000-0000E9050000}"/>
    <cellStyle name="60% - Accent3 7" xfId="768" xr:uid="{00000000-0005-0000-0000-0000EA050000}"/>
    <cellStyle name="60% - Accent3 7 2" xfId="769" xr:uid="{00000000-0005-0000-0000-0000EB050000}"/>
    <cellStyle name="60% - Accent3 8" xfId="770" xr:uid="{00000000-0005-0000-0000-0000EC050000}"/>
    <cellStyle name="60% - Accent3 8 2" xfId="771" xr:uid="{00000000-0005-0000-0000-0000ED050000}"/>
    <cellStyle name="60% - Accent3 9" xfId="772" xr:uid="{00000000-0005-0000-0000-0000EE050000}"/>
    <cellStyle name="60% - Accent4 10" xfId="773" xr:uid="{00000000-0005-0000-0000-0000EF050000}"/>
    <cellStyle name="60% - Accent4 2" xfId="774" xr:uid="{00000000-0005-0000-0000-0000F0050000}"/>
    <cellStyle name="60% - Accent4 2 2" xfId="775" xr:uid="{00000000-0005-0000-0000-0000F1050000}"/>
    <cellStyle name="60% - Accent4 2 3" xfId="776" xr:uid="{00000000-0005-0000-0000-0000F2050000}"/>
    <cellStyle name="60% - Accent4 2 4" xfId="777" xr:uid="{00000000-0005-0000-0000-0000F3050000}"/>
    <cellStyle name="60% - Accent4 2 5" xfId="778" xr:uid="{00000000-0005-0000-0000-0000F4050000}"/>
    <cellStyle name="60% - Accent4 2 6" xfId="779" xr:uid="{00000000-0005-0000-0000-0000F5050000}"/>
    <cellStyle name="60% - Accent4 2 7" xfId="780" xr:uid="{00000000-0005-0000-0000-0000F6050000}"/>
    <cellStyle name="60% - Accent4 2 8" xfId="781" xr:uid="{00000000-0005-0000-0000-0000F7050000}"/>
    <cellStyle name="60% - Accent4 3" xfId="782" xr:uid="{00000000-0005-0000-0000-0000F8050000}"/>
    <cellStyle name="60% - Accent4 3 2" xfId="783" xr:uid="{00000000-0005-0000-0000-0000F9050000}"/>
    <cellStyle name="60% - Accent4 4" xfId="784" xr:uid="{00000000-0005-0000-0000-0000FA050000}"/>
    <cellStyle name="60% - Accent4 4 2" xfId="785" xr:uid="{00000000-0005-0000-0000-0000FB050000}"/>
    <cellStyle name="60% - Accent4 5" xfId="786" xr:uid="{00000000-0005-0000-0000-0000FC050000}"/>
    <cellStyle name="60% - Accent4 5 2" xfId="787" xr:uid="{00000000-0005-0000-0000-0000FD050000}"/>
    <cellStyle name="60% - Accent4 6" xfId="788" xr:uid="{00000000-0005-0000-0000-0000FE050000}"/>
    <cellStyle name="60% - Accent4 6 2" xfId="789" xr:uid="{00000000-0005-0000-0000-0000FF050000}"/>
    <cellStyle name="60% - Accent4 7" xfId="790" xr:uid="{00000000-0005-0000-0000-000000060000}"/>
    <cellStyle name="60% - Accent4 7 2" xfId="791" xr:uid="{00000000-0005-0000-0000-000001060000}"/>
    <cellStyle name="60% - Accent4 8" xfId="792" xr:uid="{00000000-0005-0000-0000-000002060000}"/>
    <cellStyle name="60% - Accent4 8 2" xfId="793" xr:uid="{00000000-0005-0000-0000-000003060000}"/>
    <cellStyle name="60% - Accent4 9" xfId="794" xr:uid="{00000000-0005-0000-0000-000004060000}"/>
    <cellStyle name="60% - Accent5 10" xfId="795" xr:uid="{00000000-0005-0000-0000-000005060000}"/>
    <cellStyle name="60% - Accent5 2" xfId="796" xr:uid="{00000000-0005-0000-0000-000006060000}"/>
    <cellStyle name="60% - Accent5 2 2" xfId="797" xr:uid="{00000000-0005-0000-0000-000007060000}"/>
    <cellStyle name="60% - Accent5 2 3" xfId="798" xr:uid="{00000000-0005-0000-0000-000008060000}"/>
    <cellStyle name="60% - Accent5 2 4" xfId="799" xr:uid="{00000000-0005-0000-0000-000009060000}"/>
    <cellStyle name="60% - Accent5 2 5" xfId="800" xr:uid="{00000000-0005-0000-0000-00000A060000}"/>
    <cellStyle name="60% - Accent5 2 6" xfId="801" xr:uid="{00000000-0005-0000-0000-00000B060000}"/>
    <cellStyle name="60% - Accent5 2 7" xfId="802" xr:uid="{00000000-0005-0000-0000-00000C060000}"/>
    <cellStyle name="60% - Accent5 2 8" xfId="803" xr:uid="{00000000-0005-0000-0000-00000D060000}"/>
    <cellStyle name="60% - Accent5 3" xfId="804" xr:uid="{00000000-0005-0000-0000-00000E060000}"/>
    <cellStyle name="60% - Accent5 3 2" xfId="805" xr:uid="{00000000-0005-0000-0000-00000F060000}"/>
    <cellStyle name="60% - Accent5 4" xfId="806" xr:uid="{00000000-0005-0000-0000-000010060000}"/>
    <cellStyle name="60% - Accent5 4 2" xfId="807" xr:uid="{00000000-0005-0000-0000-000011060000}"/>
    <cellStyle name="60% - Accent5 5" xfId="808" xr:uid="{00000000-0005-0000-0000-000012060000}"/>
    <cellStyle name="60% - Accent5 5 2" xfId="809" xr:uid="{00000000-0005-0000-0000-000013060000}"/>
    <cellStyle name="60% - Accent5 6" xfId="810" xr:uid="{00000000-0005-0000-0000-000014060000}"/>
    <cellStyle name="60% - Accent5 6 2" xfId="811" xr:uid="{00000000-0005-0000-0000-000015060000}"/>
    <cellStyle name="60% - Accent5 7" xfId="812" xr:uid="{00000000-0005-0000-0000-000016060000}"/>
    <cellStyle name="60% - Accent5 7 2" xfId="813" xr:uid="{00000000-0005-0000-0000-000017060000}"/>
    <cellStyle name="60% - Accent5 8" xfId="814" xr:uid="{00000000-0005-0000-0000-000018060000}"/>
    <cellStyle name="60% - Accent5 8 2" xfId="815" xr:uid="{00000000-0005-0000-0000-000019060000}"/>
    <cellStyle name="60% - Accent5 9" xfId="816" xr:uid="{00000000-0005-0000-0000-00001A060000}"/>
    <cellStyle name="60% - Accent6 10" xfId="817" xr:uid="{00000000-0005-0000-0000-00001B060000}"/>
    <cellStyle name="60% - Accent6 2" xfId="818" xr:uid="{00000000-0005-0000-0000-00001C060000}"/>
    <cellStyle name="60% - Accent6 2 2" xfId="819" xr:uid="{00000000-0005-0000-0000-00001D060000}"/>
    <cellStyle name="60% - Accent6 2 3" xfId="820" xr:uid="{00000000-0005-0000-0000-00001E060000}"/>
    <cellStyle name="60% - Accent6 2 4" xfId="821" xr:uid="{00000000-0005-0000-0000-00001F060000}"/>
    <cellStyle name="60% - Accent6 2 5" xfId="822" xr:uid="{00000000-0005-0000-0000-000020060000}"/>
    <cellStyle name="60% - Accent6 2 6" xfId="823" xr:uid="{00000000-0005-0000-0000-000021060000}"/>
    <cellStyle name="60% - Accent6 2 7" xfId="824" xr:uid="{00000000-0005-0000-0000-000022060000}"/>
    <cellStyle name="60% - Accent6 2 8" xfId="825" xr:uid="{00000000-0005-0000-0000-000023060000}"/>
    <cellStyle name="60% - Accent6 3" xfId="826" xr:uid="{00000000-0005-0000-0000-000024060000}"/>
    <cellStyle name="60% - Accent6 3 2" xfId="827" xr:uid="{00000000-0005-0000-0000-000025060000}"/>
    <cellStyle name="60% - Accent6 4" xfId="828" xr:uid="{00000000-0005-0000-0000-000026060000}"/>
    <cellStyle name="60% - Accent6 4 2" xfId="829" xr:uid="{00000000-0005-0000-0000-000027060000}"/>
    <cellStyle name="60% - Accent6 5" xfId="830" xr:uid="{00000000-0005-0000-0000-000028060000}"/>
    <cellStyle name="60% - Accent6 5 2" xfId="831" xr:uid="{00000000-0005-0000-0000-000029060000}"/>
    <cellStyle name="60% - Accent6 6" xfId="832" xr:uid="{00000000-0005-0000-0000-00002A060000}"/>
    <cellStyle name="60% - Accent6 6 2" xfId="833" xr:uid="{00000000-0005-0000-0000-00002B060000}"/>
    <cellStyle name="60% - Accent6 7" xfId="834" xr:uid="{00000000-0005-0000-0000-00002C060000}"/>
    <cellStyle name="60% - Accent6 7 2" xfId="835" xr:uid="{00000000-0005-0000-0000-00002D060000}"/>
    <cellStyle name="60% - Accent6 8" xfId="836" xr:uid="{00000000-0005-0000-0000-00002E060000}"/>
    <cellStyle name="60% - Accent6 8 2" xfId="837" xr:uid="{00000000-0005-0000-0000-00002F060000}"/>
    <cellStyle name="60% - Accent6 9" xfId="838" xr:uid="{00000000-0005-0000-0000-000030060000}"/>
    <cellStyle name="Accent1 10" xfId="839" xr:uid="{00000000-0005-0000-0000-000031060000}"/>
    <cellStyle name="Accent1 2" xfId="840" xr:uid="{00000000-0005-0000-0000-000032060000}"/>
    <cellStyle name="Accent1 2 2" xfId="841" xr:uid="{00000000-0005-0000-0000-000033060000}"/>
    <cellStyle name="Accent1 2 3" xfId="842" xr:uid="{00000000-0005-0000-0000-000034060000}"/>
    <cellStyle name="Accent1 2 4" xfId="843" xr:uid="{00000000-0005-0000-0000-000035060000}"/>
    <cellStyle name="Accent1 2 5" xfId="844" xr:uid="{00000000-0005-0000-0000-000036060000}"/>
    <cellStyle name="Accent1 2 6" xfId="845" xr:uid="{00000000-0005-0000-0000-000037060000}"/>
    <cellStyle name="Accent1 2 7" xfId="846" xr:uid="{00000000-0005-0000-0000-000038060000}"/>
    <cellStyle name="Accent1 2 8" xfId="847" xr:uid="{00000000-0005-0000-0000-000039060000}"/>
    <cellStyle name="Accent1 3" xfId="848" xr:uid="{00000000-0005-0000-0000-00003A060000}"/>
    <cellStyle name="Accent1 3 2" xfId="849" xr:uid="{00000000-0005-0000-0000-00003B060000}"/>
    <cellStyle name="Accent1 4" xfId="850" xr:uid="{00000000-0005-0000-0000-00003C060000}"/>
    <cellStyle name="Accent1 4 2" xfId="851" xr:uid="{00000000-0005-0000-0000-00003D060000}"/>
    <cellStyle name="Accent1 5" xfId="852" xr:uid="{00000000-0005-0000-0000-00003E060000}"/>
    <cellStyle name="Accent1 5 2" xfId="853" xr:uid="{00000000-0005-0000-0000-00003F060000}"/>
    <cellStyle name="Accent1 6" xfId="854" xr:uid="{00000000-0005-0000-0000-000040060000}"/>
    <cellStyle name="Accent1 6 2" xfId="855" xr:uid="{00000000-0005-0000-0000-000041060000}"/>
    <cellStyle name="Accent1 7" xfId="856" xr:uid="{00000000-0005-0000-0000-000042060000}"/>
    <cellStyle name="Accent1 7 2" xfId="857" xr:uid="{00000000-0005-0000-0000-000043060000}"/>
    <cellStyle name="Accent1 8" xfId="858" xr:uid="{00000000-0005-0000-0000-000044060000}"/>
    <cellStyle name="Accent1 8 2" xfId="859" xr:uid="{00000000-0005-0000-0000-000045060000}"/>
    <cellStyle name="Accent1 9" xfId="860" xr:uid="{00000000-0005-0000-0000-000046060000}"/>
    <cellStyle name="Accent2 10" xfId="861" xr:uid="{00000000-0005-0000-0000-000047060000}"/>
    <cellStyle name="Accent2 2" xfId="862" xr:uid="{00000000-0005-0000-0000-000048060000}"/>
    <cellStyle name="Accent2 2 2" xfId="863" xr:uid="{00000000-0005-0000-0000-000049060000}"/>
    <cellStyle name="Accent2 2 3" xfId="864" xr:uid="{00000000-0005-0000-0000-00004A060000}"/>
    <cellStyle name="Accent2 2 4" xfId="865" xr:uid="{00000000-0005-0000-0000-00004B060000}"/>
    <cellStyle name="Accent2 2 5" xfId="866" xr:uid="{00000000-0005-0000-0000-00004C060000}"/>
    <cellStyle name="Accent2 2 6" xfId="867" xr:uid="{00000000-0005-0000-0000-00004D060000}"/>
    <cellStyle name="Accent2 2 7" xfId="868" xr:uid="{00000000-0005-0000-0000-00004E060000}"/>
    <cellStyle name="Accent2 2 8" xfId="869" xr:uid="{00000000-0005-0000-0000-00004F060000}"/>
    <cellStyle name="Accent2 3" xfId="870" xr:uid="{00000000-0005-0000-0000-000050060000}"/>
    <cellStyle name="Accent2 3 2" xfId="871" xr:uid="{00000000-0005-0000-0000-000051060000}"/>
    <cellStyle name="Accent2 4" xfId="872" xr:uid="{00000000-0005-0000-0000-000052060000}"/>
    <cellStyle name="Accent2 4 2" xfId="873" xr:uid="{00000000-0005-0000-0000-000053060000}"/>
    <cellStyle name="Accent2 5" xfId="874" xr:uid="{00000000-0005-0000-0000-000054060000}"/>
    <cellStyle name="Accent2 5 2" xfId="875" xr:uid="{00000000-0005-0000-0000-000055060000}"/>
    <cellStyle name="Accent2 6" xfId="876" xr:uid="{00000000-0005-0000-0000-000056060000}"/>
    <cellStyle name="Accent2 6 2" xfId="877" xr:uid="{00000000-0005-0000-0000-000057060000}"/>
    <cellStyle name="Accent2 7" xfId="878" xr:uid="{00000000-0005-0000-0000-000058060000}"/>
    <cellStyle name="Accent2 8" xfId="879" xr:uid="{00000000-0005-0000-0000-000059060000}"/>
    <cellStyle name="Accent2 9" xfId="880" xr:uid="{00000000-0005-0000-0000-00005A060000}"/>
    <cellStyle name="Accent3 10" xfId="881" xr:uid="{00000000-0005-0000-0000-00005B060000}"/>
    <cellStyle name="Accent3 2" xfId="882" xr:uid="{00000000-0005-0000-0000-00005C060000}"/>
    <cellStyle name="Accent3 2 2" xfId="883" xr:uid="{00000000-0005-0000-0000-00005D060000}"/>
    <cellStyle name="Accent3 2 3" xfId="884" xr:uid="{00000000-0005-0000-0000-00005E060000}"/>
    <cellStyle name="Accent3 2 4" xfId="885" xr:uid="{00000000-0005-0000-0000-00005F060000}"/>
    <cellStyle name="Accent3 2 5" xfId="886" xr:uid="{00000000-0005-0000-0000-000060060000}"/>
    <cellStyle name="Accent3 2 6" xfId="887" xr:uid="{00000000-0005-0000-0000-000061060000}"/>
    <cellStyle name="Accent3 2 7" xfId="888" xr:uid="{00000000-0005-0000-0000-000062060000}"/>
    <cellStyle name="Accent3 2 8" xfId="889" xr:uid="{00000000-0005-0000-0000-000063060000}"/>
    <cellStyle name="Accent3 3" xfId="890" xr:uid="{00000000-0005-0000-0000-000064060000}"/>
    <cellStyle name="Accent3 4" xfId="891" xr:uid="{00000000-0005-0000-0000-000065060000}"/>
    <cellStyle name="Accent3 5" xfId="892" xr:uid="{00000000-0005-0000-0000-000066060000}"/>
    <cellStyle name="Accent3 6" xfId="893" xr:uid="{00000000-0005-0000-0000-000067060000}"/>
    <cellStyle name="Accent3 7" xfId="894" xr:uid="{00000000-0005-0000-0000-000068060000}"/>
    <cellStyle name="Accent3 8" xfId="895" xr:uid="{00000000-0005-0000-0000-000069060000}"/>
    <cellStyle name="Accent3 9" xfId="896" xr:uid="{00000000-0005-0000-0000-00006A060000}"/>
    <cellStyle name="Accent4 10" xfId="897" xr:uid="{00000000-0005-0000-0000-00006B060000}"/>
    <cellStyle name="Accent4 2" xfId="898" xr:uid="{00000000-0005-0000-0000-00006C060000}"/>
    <cellStyle name="Accent4 2 2" xfId="899" xr:uid="{00000000-0005-0000-0000-00006D060000}"/>
    <cellStyle name="Accent4 2 3" xfId="900" xr:uid="{00000000-0005-0000-0000-00006E060000}"/>
    <cellStyle name="Accent4 2 4" xfId="901" xr:uid="{00000000-0005-0000-0000-00006F060000}"/>
    <cellStyle name="Accent4 2 5" xfId="902" xr:uid="{00000000-0005-0000-0000-000070060000}"/>
    <cellStyle name="Accent4 2 6" xfId="903" xr:uid="{00000000-0005-0000-0000-000071060000}"/>
    <cellStyle name="Accent4 2 7" xfId="904" xr:uid="{00000000-0005-0000-0000-000072060000}"/>
    <cellStyle name="Accent4 2 8" xfId="905" xr:uid="{00000000-0005-0000-0000-000073060000}"/>
    <cellStyle name="Accent4 3" xfId="906" xr:uid="{00000000-0005-0000-0000-000074060000}"/>
    <cellStyle name="Accent4 4" xfId="907" xr:uid="{00000000-0005-0000-0000-000075060000}"/>
    <cellStyle name="Accent4 5" xfId="908" xr:uid="{00000000-0005-0000-0000-000076060000}"/>
    <cellStyle name="Accent4 6" xfId="909" xr:uid="{00000000-0005-0000-0000-000077060000}"/>
    <cellStyle name="Accent4 7" xfId="910" xr:uid="{00000000-0005-0000-0000-000078060000}"/>
    <cellStyle name="Accent4 8" xfId="911" xr:uid="{00000000-0005-0000-0000-000079060000}"/>
    <cellStyle name="Accent4 9" xfId="912" xr:uid="{00000000-0005-0000-0000-00007A060000}"/>
    <cellStyle name="Accent5 2" xfId="914" xr:uid="{00000000-0005-0000-0000-00007B060000}"/>
    <cellStyle name="Accent5 2 2" xfId="915" xr:uid="{00000000-0005-0000-0000-00007C060000}"/>
    <cellStyle name="Accent5 2 3" xfId="916" xr:uid="{00000000-0005-0000-0000-00007D060000}"/>
    <cellStyle name="Accent5 2 4" xfId="917" xr:uid="{00000000-0005-0000-0000-00007E060000}"/>
    <cellStyle name="Accent5 2 5" xfId="918" xr:uid="{00000000-0005-0000-0000-00007F060000}"/>
    <cellStyle name="Accent5 2 6" xfId="919" xr:uid="{00000000-0005-0000-0000-000080060000}"/>
    <cellStyle name="Accent5 2 7" xfId="920" xr:uid="{00000000-0005-0000-0000-000081060000}"/>
    <cellStyle name="Accent5 2 8" xfId="921" xr:uid="{00000000-0005-0000-0000-000082060000}"/>
    <cellStyle name="Accent5 3" xfId="922" xr:uid="{00000000-0005-0000-0000-000083060000}"/>
    <cellStyle name="Accent5 4" xfId="923" xr:uid="{00000000-0005-0000-0000-000084060000}"/>
    <cellStyle name="Accent5 5" xfId="924" xr:uid="{00000000-0005-0000-0000-000085060000}"/>
    <cellStyle name="Accent5 6" xfId="925" xr:uid="{00000000-0005-0000-0000-000086060000}"/>
    <cellStyle name="Accent5 7" xfId="926" xr:uid="{00000000-0005-0000-0000-000087060000}"/>
    <cellStyle name="Accent5 8" xfId="927" xr:uid="{00000000-0005-0000-0000-000088060000}"/>
    <cellStyle name="Accent5 9" xfId="913" xr:uid="{00000000-0005-0000-0000-000089060000}"/>
    <cellStyle name="Accent6 10" xfId="928" xr:uid="{00000000-0005-0000-0000-00008A060000}"/>
    <cellStyle name="Accent6 2" xfId="929" xr:uid="{00000000-0005-0000-0000-00008B060000}"/>
    <cellStyle name="Accent6 2 2" xfId="930" xr:uid="{00000000-0005-0000-0000-00008C060000}"/>
    <cellStyle name="Accent6 2 3" xfId="931" xr:uid="{00000000-0005-0000-0000-00008D060000}"/>
    <cellStyle name="Accent6 2 4" xfId="932" xr:uid="{00000000-0005-0000-0000-00008E060000}"/>
    <cellStyle name="Accent6 2 5" xfId="933" xr:uid="{00000000-0005-0000-0000-00008F060000}"/>
    <cellStyle name="Accent6 2 6" xfId="934" xr:uid="{00000000-0005-0000-0000-000090060000}"/>
    <cellStyle name="Accent6 2 7" xfId="935" xr:uid="{00000000-0005-0000-0000-000091060000}"/>
    <cellStyle name="Accent6 2 8" xfId="936" xr:uid="{00000000-0005-0000-0000-000092060000}"/>
    <cellStyle name="Accent6 3" xfId="937" xr:uid="{00000000-0005-0000-0000-000093060000}"/>
    <cellStyle name="Accent6 4" xfId="938" xr:uid="{00000000-0005-0000-0000-000094060000}"/>
    <cellStyle name="Accent6 5" xfId="939" xr:uid="{00000000-0005-0000-0000-000095060000}"/>
    <cellStyle name="Accent6 6" xfId="940" xr:uid="{00000000-0005-0000-0000-000096060000}"/>
    <cellStyle name="Accent6 7" xfId="941" xr:uid="{00000000-0005-0000-0000-000097060000}"/>
    <cellStyle name="Accent6 8" xfId="942" xr:uid="{00000000-0005-0000-0000-000098060000}"/>
    <cellStyle name="Accent6 9" xfId="943" xr:uid="{00000000-0005-0000-0000-000099060000}"/>
    <cellStyle name="Bad 10" xfId="944" xr:uid="{00000000-0005-0000-0000-00009A060000}"/>
    <cellStyle name="Bad 2" xfId="945" xr:uid="{00000000-0005-0000-0000-00009B060000}"/>
    <cellStyle name="Bad 2 2" xfId="946" xr:uid="{00000000-0005-0000-0000-00009C060000}"/>
    <cellStyle name="Bad 2 3" xfId="947" xr:uid="{00000000-0005-0000-0000-00009D060000}"/>
    <cellStyle name="Bad 2 4" xfId="948" xr:uid="{00000000-0005-0000-0000-00009E060000}"/>
    <cellStyle name="Bad 2 5" xfId="949" xr:uid="{00000000-0005-0000-0000-00009F060000}"/>
    <cellStyle name="Bad 2 6" xfId="950" xr:uid="{00000000-0005-0000-0000-0000A0060000}"/>
    <cellStyle name="Bad 2 7" xfId="951" xr:uid="{00000000-0005-0000-0000-0000A1060000}"/>
    <cellStyle name="Bad 2 8" xfId="952" xr:uid="{00000000-0005-0000-0000-0000A2060000}"/>
    <cellStyle name="Bad 3" xfId="953" xr:uid="{00000000-0005-0000-0000-0000A3060000}"/>
    <cellStyle name="Bad 4" xfId="954" xr:uid="{00000000-0005-0000-0000-0000A4060000}"/>
    <cellStyle name="Bad 5" xfId="955" xr:uid="{00000000-0005-0000-0000-0000A5060000}"/>
    <cellStyle name="Bad 6" xfId="956" xr:uid="{00000000-0005-0000-0000-0000A6060000}"/>
    <cellStyle name="Bad 7" xfId="957" xr:uid="{00000000-0005-0000-0000-0000A7060000}"/>
    <cellStyle name="Bad 8" xfId="958" xr:uid="{00000000-0005-0000-0000-0000A8060000}"/>
    <cellStyle name="Bad 9" xfId="959" xr:uid="{00000000-0005-0000-0000-0000A9060000}"/>
    <cellStyle name="Bold GHG Numbers (0.00)" xfId="960" xr:uid="{00000000-0005-0000-0000-0000AA060000}"/>
    <cellStyle name="Calculation 2" xfId="962" xr:uid="{00000000-0005-0000-0000-0000AB060000}"/>
    <cellStyle name="Calculation 2 10" xfId="1438" xr:uid="{00000000-0005-0000-0000-0000AC060000}"/>
    <cellStyle name="Calculation 2 10 2" xfId="1939" xr:uid="{00000000-0005-0000-0000-0000AD060000}"/>
    <cellStyle name="Calculation 2 10 2 2" xfId="3479" xr:uid="{00000000-0005-0000-0000-0000AE060000}"/>
    <cellStyle name="Calculation 2 10 2 2 2" xfId="7541" xr:uid="{00000000-0005-0000-0000-0000AF060000}"/>
    <cellStyle name="Calculation 2 10 2 2 2 2" xfId="23505" xr:uid="{00000000-0005-0000-0000-0000B0060000}"/>
    <cellStyle name="Calculation 2 10 2 2 3" xfId="13816" xr:uid="{00000000-0005-0000-0000-0000B1060000}"/>
    <cellStyle name="Calculation 2 10 2 2 3 2" xfId="28648" xr:uid="{00000000-0005-0000-0000-0000B2060000}"/>
    <cellStyle name="Calculation 2 10 2 2 4" xfId="21181" xr:uid="{00000000-0005-0000-0000-0000B3060000}"/>
    <cellStyle name="Calculation 2 10 2 3" xfId="4918" xr:uid="{00000000-0005-0000-0000-0000B4060000}"/>
    <cellStyle name="Calculation 2 10 2 3 2" xfId="8957" xr:uid="{00000000-0005-0000-0000-0000B5060000}"/>
    <cellStyle name="Calculation 2 10 2 3 2 2" xfId="24423" xr:uid="{00000000-0005-0000-0000-0000B6060000}"/>
    <cellStyle name="Calculation 2 10 2 3 3" xfId="15240" xr:uid="{00000000-0005-0000-0000-0000B7060000}"/>
    <cellStyle name="Calculation 2 10 2 3 3 2" xfId="30072" xr:uid="{00000000-0005-0000-0000-0000B8060000}"/>
    <cellStyle name="Calculation 2 10 2 3 4" xfId="21953" xr:uid="{00000000-0005-0000-0000-0000B9060000}"/>
    <cellStyle name="Calculation 2 10 2 4" xfId="2908" xr:uid="{00000000-0005-0000-0000-0000BA060000}"/>
    <cellStyle name="Calculation 2 10 2 4 2" xfId="6992" xr:uid="{00000000-0005-0000-0000-0000BB060000}"/>
    <cellStyle name="Calculation 2 10 2 4 2 2" xfId="23166" xr:uid="{00000000-0005-0000-0000-0000BC060000}"/>
    <cellStyle name="Calculation 2 10 2 4 3" xfId="13246" xr:uid="{00000000-0005-0000-0000-0000BD060000}"/>
    <cellStyle name="Calculation 2 10 2 4 3 2" xfId="28078" xr:uid="{00000000-0005-0000-0000-0000BE060000}"/>
    <cellStyle name="Calculation 2 10 2 4 4" xfId="20834" xr:uid="{00000000-0005-0000-0000-0000BF060000}"/>
    <cellStyle name="Calculation 2 10 2 5" xfId="6069" xr:uid="{00000000-0005-0000-0000-0000C0060000}"/>
    <cellStyle name="Calculation 2 10 2 5 2" xfId="16256" xr:uid="{00000000-0005-0000-0000-0000C1060000}"/>
    <cellStyle name="Calculation 2 10 2 5 2 2" xfId="31088" xr:uid="{00000000-0005-0000-0000-0000C2060000}"/>
    <cellStyle name="Calculation 2 10 2 5 3" xfId="22602" xr:uid="{00000000-0005-0000-0000-0000C3060000}"/>
    <cellStyle name="Calculation 2 10 2 6" xfId="12326" xr:uid="{00000000-0005-0000-0000-0000C4060000}"/>
    <cellStyle name="Calculation 2 10 2 6 2" xfId="27158" xr:uid="{00000000-0005-0000-0000-0000C5060000}"/>
    <cellStyle name="Calculation 2 10 2 7" xfId="9923" xr:uid="{00000000-0005-0000-0000-0000C6060000}"/>
    <cellStyle name="Calculation 2 10 2 7 2" xfId="20125" xr:uid="{00000000-0005-0000-0000-0000C7060000}"/>
    <cellStyle name="Calculation 2 10 3" xfId="3896" xr:uid="{00000000-0005-0000-0000-0000C8060000}"/>
    <cellStyle name="Calculation 2 10 3 2" xfId="7947" xr:uid="{00000000-0005-0000-0000-0000C9060000}"/>
    <cellStyle name="Calculation 2 10 3 2 2" xfId="23767" xr:uid="{00000000-0005-0000-0000-0000CA060000}"/>
    <cellStyle name="Calculation 2 10 3 3" xfId="14229" xr:uid="{00000000-0005-0000-0000-0000CB060000}"/>
    <cellStyle name="Calculation 2 10 3 3 2" xfId="29061" xr:uid="{00000000-0005-0000-0000-0000CC060000}"/>
    <cellStyle name="Calculation 2 10 3 4" xfId="21408" xr:uid="{00000000-0005-0000-0000-0000CD060000}"/>
    <cellStyle name="Calculation 2 10 4" xfId="4498" xr:uid="{00000000-0005-0000-0000-0000CE060000}"/>
    <cellStyle name="Calculation 2 10 4 2" xfId="8537" xr:uid="{00000000-0005-0000-0000-0000CF060000}"/>
    <cellStyle name="Calculation 2 10 4 2 2" xfId="24163" xr:uid="{00000000-0005-0000-0000-0000D0060000}"/>
    <cellStyle name="Calculation 2 10 4 3" xfId="14825" xr:uid="{00000000-0005-0000-0000-0000D1060000}"/>
    <cellStyle name="Calculation 2 10 4 3 2" xfId="29657" xr:uid="{00000000-0005-0000-0000-0000D2060000}"/>
    <cellStyle name="Calculation 2 10 4 4" xfId="21723" xr:uid="{00000000-0005-0000-0000-0000D3060000}"/>
    <cellStyle name="Calculation 2 10 5" xfId="2488" xr:uid="{00000000-0005-0000-0000-0000D4060000}"/>
    <cellStyle name="Calculation 2 10 5 2" xfId="6594" xr:uid="{00000000-0005-0000-0000-0000D5060000}"/>
    <cellStyle name="Calculation 2 10 5 2 2" xfId="22932" xr:uid="{00000000-0005-0000-0000-0000D6060000}"/>
    <cellStyle name="Calculation 2 10 5 3" xfId="12826" xr:uid="{00000000-0005-0000-0000-0000D7060000}"/>
    <cellStyle name="Calculation 2 10 5 3 2" xfId="27658" xr:uid="{00000000-0005-0000-0000-0000D8060000}"/>
    <cellStyle name="Calculation 2 10 5 4" xfId="20578" xr:uid="{00000000-0005-0000-0000-0000D9060000}"/>
    <cellStyle name="Calculation 2 10 6" xfId="5611" xr:uid="{00000000-0005-0000-0000-0000DA060000}"/>
    <cellStyle name="Calculation 2 10 6 2" xfId="15846" xr:uid="{00000000-0005-0000-0000-0000DB060000}"/>
    <cellStyle name="Calculation 2 10 6 2 2" xfId="30678" xr:uid="{00000000-0005-0000-0000-0000DC060000}"/>
    <cellStyle name="Calculation 2 10 6 3" xfId="22307" xr:uid="{00000000-0005-0000-0000-0000DD060000}"/>
    <cellStyle name="Calculation 2 10 7" xfId="11855" xr:uid="{00000000-0005-0000-0000-0000DE060000}"/>
    <cellStyle name="Calculation 2 10 7 2" xfId="26687" xr:uid="{00000000-0005-0000-0000-0000DF060000}"/>
    <cellStyle name="Calculation 2 10 8" xfId="9528" xr:uid="{00000000-0005-0000-0000-0000E0060000}"/>
    <cellStyle name="Calculation 2 10 8 2" xfId="19830" xr:uid="{00000000-0005-0000-0000-0000E1060000}"/>
    <cellStyle name="Calculation 2 11" xfId="1416" xr:uid="{00000000-0005-0000-0000-0000E2060000}"/>
    <cellStyle name="Calculation 2 11 2" xfId="1918" xr:uid="{00000000-0005-0000-0000-0000E3060000}"/>
    <cellStyle name="Calculation 2 11 2 2" xfId="4029" xr:uid="{00000000-0005-0000-0000-0000E4060000}"/>
    <cellStyle name="Calculation 2 11 2 2 2" xfId="8076" xr:uid="{00000000-0005-0000-0000-0000E5060000}"/>
    <cellStyle name="Calculation 2 11 2 2 2 2" xfId="23845" xr:uid="{00000000-0005-0000-0000-0000E6060000}"/>
    <cellStyle name="Calculation 2 11 2 2 3" xfId="14361" xr:uid="{00000000-0005-0000-0000-0000E7060000}"/>
    <cellStyle name="Calculation 2 11 2 2 3 2" xfId="29193" xr:uid="{00000000-0005-0000-0000-0000E8060000}"/>
    <cellStyle name="Calculation 2 11 2 2 4" xfId="21483" xr:uid="{00000000-0005-0000-0000-0000E9060000}"/>
    <cellStyle name="Calculation 2 11 2 3" xfId="4896" xr:uid="{00000000-0005-0000-0000-0000EA060000}"/>
    <cellStyle name="Calculation 2 11 2 3 2" xfId="8935" xr:uid="{00000000-0005-0000-0000-0000EB060000}"/>
    <cellStyle name="Calculation 2 11 2 3 2 2" xfId="24401" xr:uid="{00000000-0005-0000-0000-0000EC060000}"/>
    <cellStyle name="Calculation 2 11 2 3 3" xfId="15219" xr:uid="{00000000-0005-0000-0000-0000ED060000}"/>
    <cellStyle name="Calculation 2 11 2 3 3 2" xfId="30051" xr:uid="{00000000-0005-0000-0000-0000EE060000}"/>
    <cellStyle name="Calculation 2 11 2 3 4" xfId="21933" xr:uid="{00000000-0005-0000-0000-0000EF060000}"/>
    <cellStyle name="Calculation 2 11 2 4" xfId="2886" xr:uid="{00000000-0005-0000-0000-0000F0060000}"/>
    <cellStyle name="Calculation 2 11 2 4 2" xfId="6971" xr:uid="{00000000-0005-0000-0000-0000F1060000}"/>
    <cellStyle name="Calculation 2 11 2 4 2 2" xfId="23146" xr:uid="{00000000-0005-0000-0000-0000F2060000}"/>
    <cellStyle name="Calculation 2 11 2 4 3" xfId="13224" xr:uid="{00000000-0005-0000-0000-0000F3060000}"/>
    <cellStyle name="Calculation 2 11 2 4 3 2" xfId="28056" xr:uid="{00000000-0005-0000-0000-0000F4060000}"/>
    <cellStyle name="Calculation 2 11 2 4 4" xfId="20812" xr:uid="{00000000-0005-0000-0000-0000F5060000}"/>
    <cellStyle name="Calculation 2 11 2 5" xfId="6049" xr:uid="{00000000-0005-0000-0000-0000F6060000}"/>
    <cellStyle name="Calculation 2 11 2 5 2" xfId="16236" xr:uid="{00000000-0005-0000-0000-0000F7060000}"/>
    <cellStyle name="Calculation 2 11 2 5 2 2" xfId="31068" xr:uid="{00000000-0005-0000-0000-0000F8060000}"/>
    <cellStyle name="Calculation 2 11 2 5 3" xfId="22582" xr:uid="{00000000-0005-0000-0000-0000F9060000}"/>
    <cellStyle name="Calculation 2 11 2 6" xfId="12306" xr:uid="{00000000-0005-0000-0000-0000FA060000}"/>
    <cellStyle name="Calculation 2 11 2 6 2" xfId="27138" xr:uid="{00000000-0005-0000-0000-0000FB060000}"/>
    <cellStyle name="Calculation 2 11 2 7" xfId="9902" xr:uid="{00000000-0005-0000-0000-0000FC060000}"/>
    <cellStyle name="Calculation 2 11 2 7 2" xfId="20105" xr:uid="{00000000-0005-0000-0000-0000FD060000}"/>
    <cellStyle name="Calculation 2 11 3" xfId="4128" xr:uid="{00000000-0005-0000-0000-0000FE060000}"/>
    <cellStyle name="Calculation 2 11 3 2" xfId="8172" xr:uid="{00000000-0005-0000-0000-0000FF060000}"/>
    <cellStyle name="Calculation 2 11 3 2 2" xfId="23906" xr:uid="{00000000-0005-0000-0000-000000070000}"/>
    <cellStyle name="Calculation 2 11 3 3" xfId="14460" xr:uid="{00000000-0005-0000-0000-000001070000}"/>
    <cellStyle name="Calculation 2 11 3 3 2" xfId="29292" xr:uid="{00000000-0005-0000-0000-000002070000}"/>
    <cellStyle name="Calculation 2 11 3 4" xfId="21533" xr:uid="{00000000-0005-0000-0000-000003070000}"/>
    <cellStyle name="Calculation 2 11 4" xfId="4476" xr:uid="{00000000-0005-0000-0000-000004070000}"/>
    <cellStyle name="Calculation 2 11 4 2" xfId="8515" xr:uid="{00000000-0005-0000-0000-000005070000}"/>
    <cellStyle name="Calculation 2 11 4 2 2" xfId="24141" xr:uid="{00000000-0005-0000-0000-000006070000}"/>
    <cellStyle name="Calculation 2 11 4 3" xfId="14804" xr:uid="{00000000-0005-0000-0000-000007070000}"/>
    <cellStyle name="Calculation 2 11 4 3 2" xfId="29636" xr:uid="{00000000-0005-0000-0000-000008070000}"/>
    <cellStyle name="Calculation 2 11 4 4" xfId="21703" xr:uid="{00000000-0005-0000-0000-000009070000}"/>
    <cellStyle name="Calculation 2 11 5" xfId="2466" xr:uid="{00000000-0005-0000-0000-00000A070000}"/>
    <cellStyle name="Calculation 2 11 5 2" xfId="6572" xr:uid="{00000000-0005-0000-0000-00000B070000}"/>
    <cellStyle name="Calculation 2 11 5 2 2" xfId="22910" xr:uid="{00000000-0005-0000-0000-00000C070000}"/>
    <cellStyle name="Calculation 2 11 5 3" xfId="12805" xr:uid="{00000000-0005-0000-0000-00000D070000}"/>
    <cellStyle name="Calculation 2 11 5 3 2" xfId="27637" xr:uid="{00000000-0005-0000-0000-00000E070000}"/>
    <cellStyle name="Calculation 2 11 5 4" xfId="20558" xr:uid="{00000000-0005-0000-0000-00000F070000}"/>
    <cellStyle name="Calculation 2 11 6" xfId="5590" xr:uid="{00000000-0005-0000-0000-000010070000}"/>
    <cellStyle name="Calculation 2 11 6 2" xfId="15825" xr:uid="{00000000-0005-0000-0000-000011070000}"/>
    <cellStyle name="Calculation 2 11 6 2 2" xfId="30657" xr:uid="{00000000-0005-0000-0000-000012070000}"/>
    <cellStyle name="Calculation 2 11 6 3" xfId="22286" xr:uid="{00000000-0005-0000-0000-000013070000}"/>
    <cellStyle name="Calculation 2 11 7" xfId="11835" xr:uid="{00000000-0005-0000-0000-000014070000}"/>
    <cellStyle name="Calculation 2 11 7 2" xfId="26667" xr:uid="{00000000-0005-0000-0000-000015070000}"/>
    <cellStyle name="Calculation 2 11 8" xfId="9507" xr:uid="{00000000-0005-0000-0000-000016070000}"/>
    <cellStyle name="Calculation 2 11 8 2" xfId="19810" xr:uid="{00000000-0005-0000-0000-000017070000}"/>
    <cellStyle name="Calculation 2 12" xfId="1424" xr:uid="{00000000-0005-0000-0000-000018070000}"/>
    <cellStyle name="Calculation 2 12 2" xfId="1925" xr:uid="{00000000-0005-0000-0000-000019070000}"/>
    <cellStyle name="Calculation 2 12 2 2" xfId="4127" xr:uid="{00000000-0005-0000-0000-00001A070000}"/>
    <cellStyle name="Calculation 2 12 2 2 2" xfId="8171" xr:uid="{00000000-0005-0000-0000-00001B070000}"/>
    <cellStyle name="Calculation 2 12 2 2 2 2" xfId="23905" xr:uid="{00000000-0005-0000-0000-00001C070000}"/>
    <cellStyle name="Calculation 2 12 2 2 3" xfId="14459" xr:uid="{00000000-0005-0000-0000-00001D070000}"/>
    <cellStyle name="Calculation 2 12 2 2 3 2" xfId="29291" xr:uid="{00000000-0005-0000-0000-00001E070000}"/>
    <cellStyle name="Calculation 2 12 2 2 4" xfId="21532" xr:uid="{00000000-0005-0000-0000-00001F070000}"/>
    <cellStyle name="Calculation 2 12 2 3" xfId="4904" xr:uid="{00000000-0005-0000-0000-000020070000}"/>
    <cellStyle name="Calculation 2 12 2 3 2" xfId="8943" xr:uid="{00000000-0005-0000-0000-000021070000}"/>
    <cellStyle name="Calculation 2 12 2 3 2 2" xfId="24409" xr:uid="{00000000-0005-0000-0000-000022070000}"/>
    <cellStyle name="Calculation 2 12 2 3 3" xfId="15226" xr:uid="{00000000-0005-0000-0000-000023070000}"/>
    <cellStyle name="Calculation 2 12 2 3 3 2" xfId="30058" xr:uid="{00000000-0005-0000-0000-000024070000}"/>
    <cellStyle name="Calculation 2 12 2 3 4" xfId="21939" xr:uid="{00000000-0005-0000-0000-000025070000}"/>
    <cellStyle name="Calculation 2 12 2 4" xfId="2894" xr:uid="{00000000-0005-0000-0000-000026070000}"/>
    <cellStyle name="Calculation 2 12 2 4 2" xfId="6978" xr:uid="{00000000-0005-0000-0000-000027070000}"/>
    <cellStyle name="Calculation 2 12 2 4 2 2" xfId="23152" xr:uid="{00000000-0005-0000-0000-000028070000}"/>
    <cellStyle name="Calculation 2 12 2 4 3" xfId="13232" xr:uid="{00000000-0005-0000-0000-000029070000}"/>
    <cellStyle name="Calculation 2 12 2 4 3 2" xfId="28064" xr:uid="{00000000-0005-0000-0000-00002A070000}"/>
    <cellStyle name="Calculation 2 12 2 4 4" xfId="20820" xr:uid="{00000000-0005-0000-0000-00002B070000}"/>
    <cellStyle name="Calculation 2 12 2 5" xfId="6055" xr:uid="{00000000-0005-0000-0000-00002C070000}"/>
    <cellStyle name="Calculation 2 12 2 5 2" xfId="16242" xr:uid="{00000000-0005-0000-0000-00002D070000}"/>
    <cellStyle name="Calculation 2 12 2 5 2 2" xfId="31074" xr:uid="{00000000-0005-0000-0000-00002E070000}"/>
    <cellStyle name="Calculation 2 12 2 5 3" xfId="22588" xr:uid="{00000000-0005-0000-0000-00002F070000}"/>
    <cellStyle name="Calculation 2 12 2 6" xfId="12312" xr:uid="{00000000-0005-0000-0000-000030070000}"/>
    <cellStyle name="Calculation 2 12 2 6 2" xfId="27144" xr:uid="{00000000-0005-0000-0000-000031070000}"/>
    <cellStyle name="Calculation 2 12 2 7" xfId="9909" xr:uid="{00000000-0005-0000-0000-000032070000}"/>
    <cellStyle name="Calculation 2 12 2 7 2" xfId="20111" xr:uid="{00000000-0005-0000-0000-000033070000}"/>
    <cellStyle name="Calculation 2 12 3" xfId="4013" xr:uid="{00000000-0005-0000-0000-000034070000}"/>
    <cellStyle name="Calculation 2 12 3 2" xfId="8060" xr:uid="{00000000-0005-0000-0000-000035070000}"/>
    <cellStyle name="Calculation 2 12 3 2 2" xfId="23837" xr:uid="{00000000-0005-0000-0000-000036070000}"/>
    <cellStyle name="Calculation 2 12 3 3" xfId="14345" xr:uid="{00000000-0005-0000-0000-000037070000}"/>
    <cellStyle name="Calculation 2 12 3 3 2" xfId="29177" xr:uid="{00000000-0005-0000-0000-000038070000}"/>
    <cellStyle name="Calculation 2 12 3 4" xfId="21475" xr:uid="{00000000-0005-0000-0000-000039070000}"/>
    <cellStyle name="Calculation 2 12 4" xfId="4484" xr:uid="{00000000-0005-0000-0000-00003A070000}"/>
    <cellStyle name="Calculation 2 12 4 2" xfId="8523" xr:uid="{00000000-0005-0000-0000-00003B070000}"/>
    <cellStyle name="Calculation 2 12 4 2 2" xfId="24149" xr:uid="{00000000-0005-0000-0000-00003C070000}"/>
    <cellStyle name="Calculation 2 12 4 3" xfId="14811" xr:uid="{00000000-0005-0000-0000-00003D070000}"/>
    <cellStyle name="Calculation 2 12 4 3 2" xfId="29643" xr:uid="{00000000-0005-0000-0000-00003E070000}"/>
    <cellStyle name="Calculation 2 12 4 4" xfId="21709" xr:uid="{00000000-0005-0000-0000-00003F070000}"/>
    <cellStyle name="Calculation 2 12 5" xfId="2474" xr:uid="{00000000-0005-0000-0000-000040070000}"/>
    <cellStyle name="Calculation 2 12 5 2" xfId="6580" xr:uid="{00000000-0005-0000-0000-000041070000}"/>
    <cellStyle name="Calculation 2 12 5 2 2" xfId="22918" xr:uid="{00000000-0005-0000-0000-000042070000}"/>
    <cellStyle name="Calculation 2 12 5 3" xfId="12812" xr:uid="{00000000-0005-0000-0000-000043070000}"/>
    <cellStyle name="Calculation 2 12 5 3 2" xfId="27644" xr:uid="{00000000-0005-0000-0000-000044070000}"/>
    <cellStyle name="Calculation 2 12 5 4" xfId="20564" xr:uid="{00000000-0005-0000-0000-000045070000}"/>
    <cellStyle name="Calculation 2 12 6" xfId="5597" xr:uid="{00000000-0005-0000-0000-000046070000}"/>
    <cellStyle name="Calculation 2 12 6 2" xfId="15832" xr:uid="{00000000-0005-0000-0000-000047070000}"/>
    <cellStyle name="Calculation 2 12 6 2 2" xfId="30664" xr:uid="{00000000-0005-0000-0000-000048070000}"/>
    <cellStyle name="Calculation 2 12 6 3" xfId="22293" xr:uid="{00000000-0005-0000-0000-000049070000}"/>
    <cellStyle name="Calculation 2 12 7" xfId="11841" xr:uid="{00000000-0005-0000-0000-00004A070000}"/>
    <cellStyle name="Calculation 2 12 7 2" xfId="26673" xr:uid="{00000000-0005-0000-0000-00004B070000}"/>
    <cellStyle name="Calculation 2 12 8" xfId="9514" xr:uid="{00000000-0005-0000-0000-00004C070000}"/>
    <cellStyle name="Calculation 2 12 8 2" xfId="19816" xr:uid="{00000000-0005-0000-0000-00004D070000}"/>
    <cellStyle name="Calculation 2 13" xfId="1715" xr:uid="{00000000-0005-0000-0000-00004E070000}"/>
    <cellStyle name="Calculation 2 13 2" xfId="3928" xr:uid="{00000000-0005-0000-0000-00004F070000}"/>
    <cellStyle name="Calculation 2 13 2 2" xfId="7978" xr:uid="{00000000-0005-0000-0000-000050070000}"/>
    <cellStyle name="Calculation 2 13 2 2 2" xfId="23784" xr:uid="{00000000-0005-0000-0000-000051070000}"/>
    <cellStyle name="Calculation 2 13 2 3" xfId="14261" xr:uid="{00000000-0005-0000-0000-000052070000}"/>
    <cellStyle name="Calculation 2 13 2 3 2" xfId="29093" xr:uid="{00000000-0005-0000-0000-000053070000}"/>
    <cellStyle name="Calculation 2 13 2 4" xfId="21426" xr:uid="{00000000-0005-0000-0000-000054070000}"/>
    <cellStyle name="Calculation 2 13 3" xfId="4708" xr:uid="{00000000-0005-0000-0000-000055070000}"/>
    <cellStyle name="Calculation 2 13 3 2" xfId="8747" xr:uid="{00000000-0005-0000-0000-000056070000}"/>
    <cellStyle name="Calculation 2 13 3 2 2" xfId="24277" xr:uid="{00000000-0005-0000-0000-000057070000}"/>
    <cellStyle name="Calculation 2 13 3 3" xfId="15032" xr:uid="{00000000-0005-0000-0000-000058070000}"/>
    <cellStyle name="Calculation 2 13 3 3 2" xfId="29864" xr:uid="{00000000-0005-0000-0000-000059070000}"/>
    <cellStyle name="Calculation 2 13 3 4" xfId="21815" xr:uid="{00000000-0005-0000-0000-00005A070000}"/>
    <cellStyle name="Calculation 2 13 4" xfId="2698" xr:uid="{00000000-0005-0000-0000-00005B070000}"/>
    <cellStyle name="Calculation 2 13 4 2" xfId="6789" xr:uid="{00000000-0005-0000-0000-00005C070000}"/>
    <cellStyle name="Calculation 2 13 4 2 2" xfId="23028" xr:uid="{00000000-0005-0000-0000-00005D070000}"/>
    <cellStyle name="Calculation 2 13 4 3" xfId="13036" xr:uid="{00000000-0005-0000-0000-00005E070000}"/>
    <cellStyle name="Calculation 2 13 4 3 2" xfId="27868" xr:uid="{00000000-0005-0000-0000-00005F070000}"/>
    <cellStyle name="Calculation 2 13 4 4" xfId="20688" xr:uid="{00000000-0005-0000-0000-000060070000}"/>
    <cellStyle name="Calculation 2 13 5" xfId="5847" xr:uid="{00000000-0005-0000-0000-000061070000}"/>
    <cellStyle name="Calculation 2 13 5 2" xfId="16039" xr:uid="{00000000-0005-0000-0000-000062070000}"/>
    <cellStyle name="Calculation 2 13 5 2 2" xfId="30871" xr:uid="{00000000-0005-0000-0000-000063070000}"/>
    <cellStyle name="Calculation 2 13 5 3" xfId="22444" xr:uid="{00000000-0005-0000-0000-000064070000}"/>
    <cellStyle name="Calculation 2 13 6" xfId="12109" xr:uid="{00000000-0005-0000-0000-000065070000}"/>
    <cellStyle name="Calculation 2 13 6 2" xfId="26941" xr:uid="{00000000-0005-0000-0000-000066070000}"/>
    <cellStyle name="Calculation 2 13 7" xfId="9720" xr:uid="{00000000-0005-0000-0000-000067070000}"/>
    <cellStyle name="Calculation 2 13 7 2" xfId="20018" xr:uid="{00000000-0005-0000-0000-000068070000}"/>
    <cellStyle name="Calculation 2 14" xfId="2236" xr:uid="{00000000-0005-0000-0000-000069070000}"/>
    <cellStyle name="Calculation 2 14 2" xfId="3502" xr:uid="{00000000-0005-0000-0000-00006A070000}"/>
    <cellStyle name="Calculation 2 14 2 2" xfId="7564" xr:uid="{00000000-0005-0000-0000-00006B070000}"/>
    <cellStyle name="Calculation 2 14 2 2 2" xfId="23518" xr:uid="{00000000-0005-0000-0000-00006C070000}"/>
    <cellStyle name="Calculation 2 14 2 3" xfId="13839" xr:uid="{00000000-0005-0000-0000-00006D070000}"/>
    <cellStyle name="Calculation 2 14 2 3 2" xfId="28671" xr:uid="{00000000-0005-0000-0000-00006E070000}"/>
    <cellStyle name="Calculation 2 14 2 4" xfId="21193" xr:uid="{00000000-0005-0000-0000-00006F070000}"/>
    <cellStyle name="Calculation 2 14 3" xfId="5204" xr:uid="{00000000-0005-0000-0000-000070070000}"/>
    <cellStyle name="Calculation 2 14 3 2" xfId="9243" xr:uid="{00000000-0005-0000-0000-000071070000}"/>
    <cellStyle name="Calculation 2 14 3 2 2" xfId="24581" xr:uid="{00000000-0005-0000-0000-000072070000}"/>
    <cellStyle name="Calculation 2 14 3 3" xfId="15522" xr:uid="{00000000-0005-0000-0000-000073070000}"/>
    <cellStyle name="Calculation 2 14 3 3 2" xfId="30354" xr:uid="{00000000-0005-0000-0000-000074070000}"/>
    <cellStyle name="Calculation 2 14 3 4" xfId="22088" xr:uid="{00000000-0005-0000-0000-000075070000}"/>
    <cellStyle name="Calculation 2 14 4" xfId="4234" xr:uid="{00000000-0005-0000-0000-000076070000}"/>
    <cellStyle name="Calculation 2 14 4 2" xfId="8275" xr:uid="{00000000-0005-0000-0000-000077070000}"/>
    <cellStyle name="Calculation 2 14 4 2 2" xfId="23970" xr:uid="{00000000-0005-0000-0000-000078070000}"/>
    <cellStyle name="Calculation 2 14 4 3" xfId="14566" xr:uid="{00000000-0005-0000-0000-000079070000}"/>
    <cellStyle name="Calculation 2 14 4 3 2" xfId="29398" xr:uid="{00000000-0005-0000-0000-00007A070000}"/>
    <cellStyle name="Calculation 2 14 4 4" xfId="21595" xr:uid="{00000000-0005-0000-0000-00007B070000}"/>
    <cellStyle name="Calculation 2 14 5" xfId="6350" xr:uid="{00000000-0005-0000-0000-00007C070000}"/>
    <cellStyle name="Calculation 2 14 5 2" xfId="22752" xr:uid="{00000000-0005-0000-0000-00007D070000}"/>
    <cellStyle name="Calculation 2 14 6" xfId="12604" xr:uid="{00000000-0005-0000-0000-00007E070000}"/>
    <cellStyle name="Calculation 2 14 6 2" xfId="27436" xr:uid="{00000000-0005-0000-0000-00007F070000}"/>
    <cellStyle name="Calculation 2 14 7" xfId="20431" xr:uid="{00000000-0005-0000-0000-000080070000}"/>
    <cellStyle name="Calculation 2 15" xfId="3679" xr:uid="{00000000-0005-0000-0000-000081070000}"/>
    <cellStyle name="Calculation 2 15 2" xfId="7737" xr:uid="{00000000-0005-0000-0000-000082070000}"/>
    <cellStyle name="Calculation 2 15 2 2" xfId="23627" xr:uid="{00000000-0005-0000-0000-000083070000}"/>
    <cellStyle name="Calculation 2 15 3" xfId="14014" xr:uid="{00000000-0005-0000-0000-000084070000}"/>
    <cellStyle name="Calculation 2 15 3 2" xfId="28846" xr:uid="{00000000-0005-0000-0000-000085070000}"/>
    <cellStyle name="Calculation 2 15 4" xfId="21287" xr:uid="{00000000-0005-0000-0000-000086070000}"/>
    <cellStyle name="Calculation 2 16" xfId="3355" xr:uid="{00000000-0005-0000-0000-000087070000}"/>
    <cellStyle name="Calculation 2 16 2" xfId="7418" xr:uid="{00000000-0005-0000-0000-000088070000}"/>
    <cellStyle name="Calculation 2 16 2 2" xfId="23420" xr:uid="{00000000-0005-0000-0000-000089070000}"/>
    <cellStyle name="Calculation 2 16 3" xfId="13692" xr:uid="{00000000-0005-0000-0000-00008A070000}"/>
    <cellStyle name="Calculation 2 16 3 2" xfId="28524" xr:uid="{00000000-0005-0000-0000-00008B070000}"/>
    <cellStyle name="Calculation 2 16 4" xfId="21105" xr:uid="{00000000-0005-0000-0000-00008C070000}"/>
    <cellStyle name="Calculation 2 17" xfId="2268" xr:uid="{00000000-0005-0000-0000-00008D070000}"/>
    <cellStyle name="Calculation 2 17 2" xfId="6380" xr:uid="{00000000-0005-0000-0000-00008E070000}"/>
    <cellStyle name="Calculation 2 17 2 2" xfId="22782" xr:uid="{00000000-0005-0000-0000-00008F070000}"/>
    <cellStyle name="Calculation 2 17 3" xfId="12608" xr:uid="{00000000-0005-0000-0000-000090070000}"/>
    <cellStyle name="Calculation 2 17 3 2" xfId="27440" xr:uid="{00000000-0005-0000-0000-000091070000}"/>
    <cellStyle name="Calculation 2 17 4" xfId="20434" xr:uid="{00000000-0005-0000-0000-000092070000}"/>
    <cellStyle name="Calculation 2 18" xfId="5234" xr:uid="{00000000-0005-0000-0000-000093070000}"/>
    <cellStyle name="Calculation 2 18 2" xfId="15550" xr:uid="{00000000-0005-0000-0000-000094070000}"/>
    <cellStyle name="Calculation 2 18 2 2" xfId="30382" xr:uid="{00000000-0005-0000-0000-000095070000}"/>
    <cellStyle name="Calculation 2 18 3" xfId="22091" xr:uid="{00000000-0005-0000-0000-000096070000}"/>
    <cellStyle name="Calculation 2 19" xfId="5392" xr:uid="{00000000-0005-0000-0000-000097070000}"/>
    <cellStyle name="Calculation 2 19 2" xfId="15628" xr:uid="{00000000-0005-0000-0000-000098070000}"/>
    <cellStyle name="Calculation 2 19 2 2" xfId="30460" xr:uid="{00000000-0005-0000-0000-000099070000}"/>
    <cellStyle name="Calculation 2 19 3" xfId="22153" xr:uid="{00000000-0005-0000-0000-00009A070000}"/>
    <cellStyle name="Calculation 2 2" xfId="963" xr:uid="{00000000-0005-0000-0000-00009B070000}"/>
    <cellStyle name="Calculation 2 2 10" xfId="2269" xr:uid="{00000000-0005-0000-0000-00009C070000}"/>
    <cellStyle name="Calculation 2 2 10 2" xfId="6381" xr:uid="{00000000-0005-0000-0000-00009D070000}"/>
    <cellStyle name="Calculation 2 2 10 2 2" xfId="22783" xr:uid="{00000000-0005-0000-0000-00009E070000}"/>
    <cellStyle name="Calculation 2 2 10 3" xfId="12609" xr:uid="{00000000-0005-0000-0000-00009F070000}"/>
    <cellStyle name="Calculation 2 2 10 3 2" xfId="27441" xr:uid="{00000000-0005-0000-0000-0000A0070000}"/>
    <cellStyle name="Calculation 2 2 10 4" xfId="20435" xr:uid="{00000000-0005-0000-0000-0000A1070000}"/>
    <cellStyle name="Calculation 2 2 11" xfId="5235" xr:uid="{00000000-0005-0000-0000-0000A2070000}"/>
    <cellStyle name="Calculation 2 2 11 2" xfId="15551" xr:uid="{00000000-0005-0000-0000-0000A3070000}"/>
    <cellStyle name="Calculation 2 2 11 2 2" xfId="30383" xr:uid="{00000000-0005-0000-0000-0000A4070000}"/>
    <cellStyle name="Calculation 2 2 11 3" xfId="22092" xr:uid="{00000000-0005-0000-0000-0000A5070000}"/>
    <cellStyle name="Calculation 2 2 12" xfId="5393" xr:uid="{00000000-0005-0000-0000-0000A6070000}"/>
    <cellStyle name="Calculation 2 2 12 2" xfId="15629" xr:uid="{00000000-0005-0000-0000-0000A7070000}"/>
    <cellStyle name="Calculation 2 2 12 2 2" xfId="30461" xr:uid="{00000000-0005-0000-0000-0000A8070000}"/>
    <cellStyle name="Calculation 2 2 12 3" xfId="22154" xr:uid="{00000000-0005-0000-0000-0000A9070000}"/>
    <cellStyle name="Calculation 2 2 13" xfId="9398" xr:uid="{00000000-0005-0000-0000-0000AA070000}"/>
    <cellStyle name="Calculation 2 2 13 2" xfId="24704" xr:uid="{00000000-0005-0000-0000-0000AB070000}"/>
    <cellStyle name="Calculation 2 2 14" xfId="5814" xr:uid="{00000000-0005-0000-0000-0000AC070000}"/>
    <cellStyle name="Calculation 2 2 14 2" xfId="18413" xr:uid="{00000000-0005-0000-0000-0000AD070000}"/>
    <cellStyle name="Calculation 2 2 2" xfId="1305" xr:uid="{00000000-0005-0000-0000-0000AE070000}"/>
    <cellStyle name="Calculation 2 2 2 2" xfId="1809" xr:uid="{00000000-0005-0000-0000-0000AF070000}"/>
    <cellStyle name="Calculation 2 2 2 2 2" xfId="3743" xr:uid="{00000000-0005-0000-0000-0000B0070000}"/>
    <cellStyle name="Calculation 2 2 2 2 2 2" xfId="7799" xr:uid="{00000000-0005-0000-0000-0000B1070000}"/>
    <cellStyle name="Calculation 2 2 2 2 2 2 2" xfId="23671" xr:uid="{00000000-0005-0000-0000-0000B2070000}"/>
    <cellStyle name="Calculation 2 2 2 2 2 3" xfId="14078" xr:uid="{00000000-0005-0000-0000-0000B3070000}"/>
    <cellStyle name="Calculation 2 2 2 2 2 3 2" xfId="28910" xr:uid="{00000000-0005-0000-0000-0000B4070000}"/>
    <cellStyle name="Calculation 2 2 2 2 2 4" xfId="21327" xr:uid="{00000000-0005-0000-0000-0000B5070000}"/>
    <cellStyle name="Calculation 2 2 2 2 3" xfId="4787" xr:uid="{00000000-0005-0000-0000-0000B6070000}"/>
    <cellStyle name="Calculation 2 2 2 2 3 2" xfId="8826" xr:uid="{00000000-0005-0000-0000-0000B7070000}"/>
    <cellStyle name="Calculation 2 2 2 2 3 2 2" xfId="24324" xr:uid="{00000000-0005-0000-0000-0000B8070000}"/>
    <cellStyle name="Calculation 2 2 2 2 3 3" xfId="15111" xr:uid="{00000000-0005-0000-0000-0000B9070000}"/>
    <cellStyle name="Calculation 2 2 2 2 3 3 2" xfId="29943" xr:uid="{00000000-0005-0000-0000-0000BA070000}"/>
    <cellStyle name="Calculation 2 2 2 2 3 4" xfId="21862" xr:uid="{00000000-0005-0000-0000-0000BB070000}"/>
    <cellStyle name="Calculation 2 2 2 2 4" xfId="2777" xr:uid="{00000000-0005-0000-0000-0000BC070000}"/>
    <cellStyle name="Calculation 2 2 2 2 4 2" xfId="6868" xr:uid="{00000000-0005-0000-0000-0000BD070000}"/>
    <cellStyle name="Calculation 2 2 2 2 4 2 2" xfId="23075" xr:uid="{00000000-0005-0000-0000-0000BE070000}"/>
    <cellStyle name="Calculation 2 2 2 2 4 3" xfId="13115" xr:uid="{00000000-0005-0000-0000-0000BF070000}"/>
    <cellStyle name="Calculation 2 2 2 2 4 3 2" xfId="27947" xr:uid="{00000000-0005-0000-0000-0000C0070000}"/>
    <cellStyle name="Calculation 2 2 2 2 4 4" xfId="20735" xr:uid="{00000000-0005-0000-0000-0000C1070000}"/>
    <cellStyle name="Calculation 2 2 2 2 5" xfId="5941" xr:uid="{00000000-0005-0000-0000-0000C2070000}"/>
    <cellStyle name="Calculation 2 2 2 2 5 2" xfId="16133" xr:uid="{00000000-0005-0000-0000-0000C3070000}"/>
    <cellStyle name="Calculation 2 2 2 2 5 2 2" xfId="30965" xr:uid="{00000000-0005-0000-0000-0000C4070000}"/>
    <cellStyle name="Calculation 2 2 2 2 5 3" xfId="22506" xr:uid="{00000000-0005-0000-0000-0000C5070000}"/>
    <cellStyle name="Calculation 2 2 2 2 6" xfId="12203" xr:uid="{00000000-0005-0000-0000-0000C6070000}"/>
    <cellStyle name="Calculation 2 2 2 2 6 2" xfId="27035" xr:uid="{00000000-0005-0000-0000-0000C7070000}"/>
    <cellStyle name="Calculation 2 2 2 2 7" xfId="9799" xr:uid="{00000000-0005-0000-0000-0000C8070000}"/>
    <cellStyle name="Calculation 2 2 2 2 7 2" xfId="20050" xr:uid="{00000000-0005-0000-0000-0000C9070000}"/>
    <cellStyle name="Calculation 2 2 2 3" xfId="3451" xr:uid="{00000000-0005-0000-0000-0000CA070000}"/>
    <cellStyle name="Calculation 2 2 2 3 2" xfId="7514" xr:uid="{00000000-0005-0000-0000-0000CB070000}"/>
    <cellStyle name="Calculation 2 2 2 3 2 2" xfId="23485" xr:uid="{00000000-0005-0000-0000-0000CC070000}"/>
    <cellStyle name="Calculation 2 2 2 3 3" xfId="13788" xr:uid="{00000000-0005-0000-0000-0000CD070000}"/>
    <cellStyle name="Calculation 2 2 2 3 3 2" xfId="28620" xr:uid="{00000000-0005-0000-0000-0000CE070000}"/>
    <cellStyle name="Calculation 2 2 2 3 4" xfId="21160" xr:uid="{00000000-0005-0000-0000-0000CF070000}"/>
    <cellStyle name="Calculation 2 2 2 4" xfId="3361" xr:uid="{00000000-0005-0000-0000-0000D0070000}"/>
    <cellStyle name="Calculation 2 2 2 4 2" xfId="7424" xr:uid="{00000000-0005-0000-0000-0000D1070000}"/>
    <cellStyle name="Calculation 2 2 2 4 2 2" xfId="23425" xr:uid="{00000000-0005-0000-0000-0000D2070000}"/>
    <cellStyle name="Calculation 2 2 2 4 3" xfId="13698" xr:uid="{00000000-0005-0000-0000-0000D3070000}"/>
    <cellStyle name="Calculation 2 2 2 4 3 2" xfId="28530" xr:uid="{00000000-0005-0000-0000-0000D4070000}"/>
    <cellStyle name="Calculation 2 2 2 4 4" xfId="21110" xr:uid="{00000000-0005-0000-0000-0000D5070000}"/>
    <cellStyle name="Calculation 2 2 2 5" xfId="2357" xr:uid="{00000000-0005-0000-0000-0000D6070000}"/>
    <cellStyle name="Calculation 2 2 2 5 2" xfId="6469" xr:uid="{00000000-0005-0000-0000-0000D7070000}"/>
    <cellStyle name="Calculation 2 2 2 5 2 2" xfId="22839" xr:uid="{00000000-0005-0000-0000-0000D8070000}"/>
    <cellStyle name="Calculation 2 2 2 5 3" xfId="12696" xr:uid="{00000000-0005-0000-0000-0000D9070000}"/>
    <cellStyle name="Calculation 2 2 2 5 3 2" xfId="27528" xr:uid="{00000000-0005-0000-0000-0000DA070000}"/>
    <cellStyle name="Calculation 2 2 2 5 4" xfId="20481" xr:uid="{00000000-0005-0000-0000-0000DB070000}"/>
    <cellStyle name="Calculation 2 2 2 6" xfId="5482" xr:uid="{00000000-0005-0000-0000-0000DC070000}"/>
    <cellStyle name="Calculation 2 2 2 6 2" xfId="15717" xr:uid="{00000000-0005-0000-0000-0000DD070000}"/>
    <cellStyle name="Calculation 2 2 2 6 2 2" xfId="30549" xr:uid="{00000000-0005-0000-0000-0000DE070000}"/>
    <cellStyle name="Calculation 2 2 2 6 3" xfId="22210" xr:uid="{00000000-0005-0000-0000-0000DF070000}"/>
    <cellStyle name="Calculation 2 2 2 7" xfId="9320" xr:uid="{00000000-0005-0000-0000-0000E0070000}"/>
    <cellStyle name="Calculation 2 2 2 7 2" xfId="24626" xr:uid="{00000000-0005-0000-0000-0000E1070000}"/>
    <cellStyle name="Calculation 2 2 2 8" xfId="9403" xr:uid="{00000000-0005-0000-0000-0000E2070000}"/>
    <cellStyle name="Calculation 2 2 2 8 2" xfId="19707" xr:uid="{00000000-0005-0000-0000-0000E3070000}"/>
    <cellStyle name="Calculation 2 2 3" xfId="1439" xr:uid="{00000000-0005-0000-0000-0000E4070000}"/>
    <cellStyle name="Calculation 2 2 3 2" xfId="1940" xr:uid="{00000000-0005-0000-0000-0000E5070000}"/>
    <cellStyle name="Calculation 2 2 3 2 2" xfId="3799" xr:uid="{00000000-0005-0000-0000-0000E6070000}"/>
    <cellStyle name="Calculation 2 2 3 2 2 2" xfId="7854" xr:uid="{00000000-0005-0000-0000-0000E7070000}"/>
    <cellStyle name="Calculation 2 2 3 2 2 2 2" xfId="23708" xr:uid="{00000000-0005-0000-0000-0000E8070000}"/>
    <cellStyle name="Calculation 2 2 3 2 2 3" xfId="14134" xr:uid="{00000000-0005-0000-0000-0000E9070000}"/>
    <cellStyle name="Calculation 2 2 3 2 2 3 2" xfId="28966" xr:uid="{00000000-0005-0000-0000-0000EA070000}"/>
    <cellStyle name="Calculation 2 2 3 2 2 4" xfId="21359" xr:uid="{00000000-0005-0000-0000-0000EB070000}"/>
    <cellStyle name="Calculation 2 2 3 2 3" xfId="4919" xr:uid="{00000000-0005-0000-0000-0000EC070000}"/>
    <cellStyle name="Calculation 2 2 3 2 3 2" xfId="8958" xr:uid="{00000000-0005-0000-0000-0000ED070000}"/>
    <cellStyle name="Calculation 2 2 3 2 3 2 2" xfId="24424" xr:uid="{00000000-0005-0000-0000-0000EE070000}"/>
    <cellStyle name="Calculation 2 2 3 2 3 3" xfId="15241" xr:uid="{00000000-0005-0000-0000-0000EF070000}"/>
    <cellStyle name="Calculation 2 2 3 2 3 3 2" xfId="30073" xr:uid="{00000000-0005-0000-0000-0000F0070000}"/>
    <cellStyle name="Calculation 2 2 3 2 3 4" xfId="21954" xr:uid="{00000000-0005-0000-0000-0000F1070000}"/>
    <cellStyle name="Calculation 2 2 3 2 4" xfId="2909" xr:uid="{00000000-0005-0000-0000-0000F2070000}"/>
    <cellStyle name="Calculation 2 2 3 2 4 2" xfId="6993" xr:uid="{00000000-0005-0000-0000-0000F3070000}"/>
    <cellStyle name="Calculation 2 2 3 2 4 2 2" xfId="23167" xr:uid="{00000000-0005-0000-0000-0000F4070000}"/>
    <cellStyle name="Calculation 2 2 3 2 4 3" xfId="13247" xr:uid="{00000000-0005-0000-0000-0000F5070000}"/>
    <cellStyle name="Calculation 2 2 3 2 4 3 2" xfId="28079" xr:uid="{00000000-0005-0000-0000-0000F6070000}"/>
    <cellStyle name="Calculation 2 2 3 2 4 4" xfId="20835" xr:uid="{00000000-0005-0000-0000-0000F7070000}"/>
    <cellStyle name="Calculation 2 2 3 2 5" xfId="6070" xr:uid="{00000000-0005-0000-0000-0000F8070000}"/>
    <cellStyle name="Calculation 2 2 3 2 5 2" xfId="16257" xr:uid="{00000000-0005-0000-0000-0000F9070000}"/>
    <cellStyle name="Calculation 2 2 3 2 5 2 2" xfId="31089" xr:uid="{00000000-0005-0000-0000-0000FA070000}"/>
    <cellStyle name="Calculation 2 2 3 2 5 3" xfId="22603" xr:uid="{00000000-0005-0000-0000-0000FB070000}"/>
    <cellStyle name="Calculation 2 2 3 2 6" xfId="12327" xr:uid="{00000000-0005-0000-0000-0000FC070000}"/>
    <cellStyle name="Calculation 2 2 3 2 6 2" xfId="27159" xr:uid="{00000000-0005-0000-0000-0000FD070000}"/>
    <cellStyle name="Calculation 2 2 3 2 7" xfId="9924" xr:uid="{00000000-0005-0000-0000-0000FE070000}"/>
    <cellStyle name="Calculation 2 2 3 2 7 2" xfId="20126" xr:uid="{00000000-0005-0000-0000-0000FF070000}"/>
    <cellStyle name="Calculation 2 2 3 3" xfId="3681" xr:uid="{00000000-0005-0000-0000-000000080000}"/>
    <cellStyle name="Calculation 2 2 3 3 2" xfId="7739" xr:uid="{00000000-0005-0000-0000-000001080000}"/>
    <cellStyle name="Calculation 2 2 3 3 2 2" xfId="23629" xr:uid="{00000000-0005-0000-0000-000002080000}"/>
    <cellStyle name="Calculation 2 2 3 3 3" xfId="14016" xr:uid="{00000000-0005-0000-0000-000003080000}"/>
    <cellStyle name="Calculation 2 2 3 3 3 2" xfId="28848" xr:uid="{00000000-0005-0000-0000-000004080000}"/>
    <cellStyle name="Calculation 2 2 3 3 4" xfId="21289" xr:uid="{00000000-0005-0000-0000-000005080000}"/>
    <cellStyle name="Calculation 2 2 3 4" xfId="4499" xr:uid="{00000000-0005-0000-0000-000006080000}"/>
    <cellStyle name="Calculation 2 2 3 4 2" xfId="8538" xr:uid="{00000000-0005-0000-0000-000007080000}"/>
    <cellStyle name="Calculation 2 2 3 4 2 2" xfId="24164" xr:uid="{00000000-0005-0000-0000-000008080000}"/>
    <cellStyle name="Calculation 2 2 3 4 3" xfId="14826" xr:uid="{00000000-0005-0000-0000-000009080000}"/>
    <cellStyle name="Calculation 2 2 3 4 3 2" xfId="29658" xr:uid="{00000000-0005-0000-0000-00000A080000}"/>
    <cellStyle name="Calculation 2 2 3 4 4" xfId="21724" xr:uid="{00000000-0005-0000-0000-00000B080000}"/>
    <cellStyle name="Calculation 2 2 3 5" xfId="2489" xr:uid="{00000000-0005-0000-0000-00000C080000}"/>
    <cellStyle name="Calculation 2 2 3 5 2" xfId="6595" xr:uid="{00000000-0005-0000-0000-00000D080000}"/>
    <cellStyle name="Calculation 2 2 3 5 2 2" xfId="22933" xr:uid="{00000000-0005-0000-0000-00000E080000}"/>
    <cellStyle name="Calculation 2 2 3 5 3" xfId="12827" xr:uid="{00000000-0005-0000-0000-00000F080000}"/>
    <cellStyle name="Calculation 2 2 3 5 3 2" xfId="27659" xr:uid="{00000000-0005-0000-0000-000010080000}"/>
    <cellStyle name="Calculation 2 2 3 5 4" xfId="20579" xr:uid="{00000000-0005-0000-0000-000011080000}"/>
    <cellStyle name="Calculation 2 2 3 6" xfId="5612" xr:uid="{00000000-0005-0000-0000-000012080000}"/>
    <cellStyle name="Calculation 2 2 3 6 2" xfId="15847" xr:uid="{00000000-0005-0000-0000-000013080000}"/>
    <cellStyle name="Calculation 2 2 3 6 2 2" xfId="30679" xr:uid="{00000000-0005-0000-0000-000014080000}"/>
    <cellStyle name="Calculation 2 2 3 6 3" xfId="22308" xr:uid="{00000000-0005-0000-0000-000015080000}"/>
    <cellStyle name="Calculation 2 2 3 7" xfId="11856" xr:uid="{00000000-0005-0000-0000-000016080000}"/>
    <cellStyle name="Calculation 2 2 3 7 2" xfId="26688" xr:uid="{00000000-0005-0000-0000-000017080000}"/>
    <cellStyle name="Calculation 2 2 3 8" xfId="9529" xr:uid="{00000000-0005-0000-0000-000018080000}"/>
    <cellStyle name="Calculation 2 2 3 8 2" xfId="19831" xr:uid="{00000000-0005-0000-0000-000019080000}"/>
    <cellStyle name="Calculation 2 2 4" xfId="1415" xr:uid="{00000000-0005-0000-0000-00001A080000}"/>
    <cellStyle name="Calculation 2 2 4 2" xfId="1917" xr:uid="{00000000-0005-0000-0000-00001B080000}"/>
    <cellStyle name="Calculation 2 2 4 2 2" xfId="3902" xr:uid="{00000000-0005-0000-0000-00001C080000}"/>
    <cellStyle name="Calculation 2 2 4 2 2 2" xfId="7953" xr:uid="{00000000-0005-0000-0000-00001D080000}"/>
    <cellStyle name="Calculation 2 2 4 2 2 2 2" xfId="23770" xr:uid="{00000000-0005-0000-0000-00001E080000}"/>
    <cellStyle name="Calculation 2 2 4 2 2 3" xfId="14235" xr:uid="{00000000-0005-0000-0000-00001F080000}"/>
    <cellStyle name="Calculation 2 2 4 2 2 3 2" xfId="29067" xr:uid="{00000000-0005-0000-0000-000020080000}"/>
    <cellStyle name="Calculation 2 2 4 2 2 4" xfId="21411" xr:uid="{00000000-0005-0000-0000-000021080000}"/>
    <cellStyle name="Calculation 2 2 4 2 3" xfId="4895" xr:uid="{00000000-0005-0000-0000-000022080000}"/>
    <cellStyle name="Calculation 2 2 4 2 3 2" xfId="8934" xr:uid="{00000000-0005-0000-0000-000023080000}"/>
    <cellStyle name="Calculation 2 2 4 2 3 2 2" xfId="24400" xr:uid="{00000000-0005-0000-0000-000024080000}"/>
    <cellStyle name="Calculation 2 2 4 2 3 3" xfId="15218" xr:uid="{00000000-0005-0000-0000-000025080000}"/>
    <cellStyle name="Calculation 2 2 4 2 3 3 2" xfId="30050" xr:uid="{00000000-0005-0000-0000-000026080000}"/>
    <cellStyle name="Calculation 2 2 4 2 3 4" xfId="21932" xr:uid="{00000000-0005-0000-0000-000027080000}"/>
    <cellStyle name="Calculation 2 2 4 2 4" xfId="2885" xr:uid="{00000000-0005-0000-0000-000028080000}"/>
    <cellStyle name="Calculation 2 2 4 2 4 2" xfId="6970" xr:uid="{00000000-0005-0000-0000-000029080000}"/>
    <cellStyle name="Calculation 2 2 4 2 4 2 2" xfId="23145" xr:uid="{00000000-0005-0000-0000-00002A080000}"/>
    <cellStyle name="Calculation 2 2 4 2 4 3" xfId="13223" xr:uid="{00000000-0005-0000-0000-00002B080000}"/>
    <cellStyle name="Calculation 2 2 4 2 4 3 2" xfId="28055" xr:uid="{00000000-0005-0000-0000-00002C080000}"/>
    <cellStyle name="Calculation 2 2 4 2 4 4" xfId="20811" xr:uid="{00000000-0005-0000-0000-00002D080000}"/>
    <cellStyle name="Calculation 2 2 4 2 5" xfId="6048" xr:uid="{00000000-0005-0000-0000-00002E080000}"/>
    <cellStyle name="Calculation 2 2 4 2 5 2" xfId="16235" xr:uid="{00000000-0005-0000-0000-00002F080000}"/>
    <cellStyle name="Calculation 2 2 4 2 5 2 2" xfId="31067" xr:uid="{00000000-0005-0000-0000-000030080000}"/>
    <cellStyle name="Calculation 2 2 4 2 5 3" xfId="22581" xr:uid="{00000000-0005-0000-0000-000031080000}"/>
    <cellStyle name="Calculation 2 2 4 2 6" xfId="12305" xr:uid="{00000000-0005-0000-0000-000032080000}"/>
    <cellStyle name="Calculation 2 2 4 2 6 2" xfId="27137" xr:uid="{00000000-0005-0000-0000-000033080000}"/>
    <cellStyle name="Calculation 2 2 4 2 7" xfId="9901" xr:uid="{00000000-0005-0000-0000-000034080000}"/>
    <cellStyle name="Calculation 2 2 4 2 7 2" xfId="20104" xr:uid="{00000000-0005-0000-0000-000035080000}"/>
    <cellStyle name="Calculation 2 2 4 3" xfId="3460" xr:uid="{00000000-0005-0000-0000-000036080000}"/>
    <cellStyle name="Calculation 2 2 4 3 2" xfId="7523" xr:uid="{00000000-0005-0000-0000-000037080000}"/>
    <cellStyle name="Calculation 2 2 4 3 2 2" xfId="23492" xr:uid="{00000000-0005-0000-0000-000038080000}"/>
    <cellStyle name="Calculation 2 2 4 3 3" xfId="13797" xr:uid="{00000000-0005-0000-0000-000039080000}"/>
    <cellStyle name="Calculation 2 2 4 3 3 2" xfId="28629" xr:uid="{00000000-0005-0000-0000-00003A080000}"/>
    <cellStyle name="Calculation 2 2 4 3 4" xfId="21167" xr:uid="{00000000-0005-0000-0000-00003B080000}"/>
    <cellStyle name="Calculation 2 2 4 4" xfId="4475" xr:uid="{00000000-0005-0000-0000-00003C080000}"/>
    <cellStyle name="Calculation 2 2 4 4 2" xfId="8514" xr:uid="{00000000-0005-0000-0000-00003D080000}"/>
    <cellStyle name="Calculation 2 2 4 4 2 2" xfId="24140" xr:uid="{00000000-0005-0000-0000-00003E080000}"/>
    <cellStyle name="Calculation 2 2 4 4 3" xfId="14803" xr:uid="{00000000-0005-0000-0000-00003F080000}"/>
    <cellStyle name="Calculation 2 2 4 4 3 2" xfId="29635" xr:uid="{00000000-0005-0000-0000-000040080000}"/>
    <cellStyle name="Calculation 2 2 4 4 4" xfId="21702" xr:uid="{00000000-0005-0000-0000-000041080000}"/>
    <cellStyle name="Calculation 2 2 4 5" xfId="2465" xr:uid="{00000000-0005-0000-0000-000042080000}"/>
    <cellStyle name="Calculation 2 2 4 5 2" xfId="6571" xr:uid="{00000000-0005-0000-0000-000043080000}"/>
    <cellStyle name="Calculation 2 2 4 5 2 2" xfId="22909" xr:uid="{00000000-0005-0000-0000-000044080000}"/>
    <cellStyle name="Calculation 2 2 4 5 3" xfId="12804" xr:uid="{00000000-0005-0000-0000-000045080000}"/>
    <cellStyle name="Calculation 2 2 4 5 3 2" xfId="27636" xr:uid="{00000000-0005-0000-0000-000046080000}"/>
    <cellStyle name="Calculation 2 2 4 5 4" xfId="20557" xr:uid="{00000000-0005-0000-0000-000047080000}"/>
    <cellStyle name="Calculation 2 2 4 6" xfId="5589" xr:uid="{00000000-0005-0000-0000-000048080000}"/>
    <cellStyle name="Calculation 2 2 4 6 2" xfId="15824" xr:uid="{00000000-0005-0000-0000-000049080000}"/>
    <cellStyle name="Calculation 2 2 4 6 2 2" xfId="30656" xr:uid="{00000000-0005-0000-0000-00004A080000}"/>
    <cellStyle name="Calculation 2 2 4 6 3" xfId="22285" xr:uid="{00000000-0005-0000-0000-00004B080000}"/>
    <cellStyle name="Calculation 2 2 4 7" xfId="11834" xr:uid="{00000000-0005-0000-0000-00004C080000}"/>
    <cellStyle name="Calculation 2 2 4 7 2" xfId="26666" xr:uid="{00000000-0005-0000-0000-00004D080000}"/>
    <cellStyle name="Calculation 2 2 4 8" xfId="9506" xr:uid="{00000000-0005-0000-0000-00004E080000}"/>
    <cellStyle name="Calculation 2 2 4 8 2" xfId="19809" xr:uid="{00000000-0005-0000-0000-00004F080000}"/>
    <cellStyle name="Calculation 2 2 5" xfId="1425" xr:uid="{00000000-0005-0000-0000-000050080000}"/>
    <cellStyle name="Calculation 2 2 5 2" xfId="1926" xr:uid="{00000000-0005-0000-0000-000051080000}"/>
    <cellStyle name="Calculation 2 2 5 2 2" xfId="4020" xr:uid="{00000000-0005-0000-0000-000052080000}"/>
    <cellStyle name="Calculation 2 2 5 2 2 2" xfId="8067" xr:uid="{00000000-0005-0000-0000-000053080000}"/>
    <cellStyle name="Calculation 2 2 5 2 2 2 2" xfId="23841" xr:uid="{00000000-0005-0000-0000-000054080000}"/>
    <cellStyle name="Calculation 2 2 5 2 2 3" xfId="14352" xr:uid="{00000000-0005-0000-0000-000055080000}"/>
    <cellStyle name="Calculation 2 2 5 2 2 3 2" xfId="29184" xr:uid="{00000000-0005-0000-0000-000056080000}"/>
    <cellStyle name="Calculation 2 2 5 2 2 4" xfId="21479" xr:uid="{00000000-0005-0000-0000-000057080000}"/>
    <cellStyle name="Calculation 2 2 5 2 3" xfId="4905" xr:uid="{00000000-0005-0000-0000-000058080000}"/>
    <cellStyle name="Calculation 2 2 5 2 3 2" xfId="8944" xr:uid="{00000000-0005-0000-0000-000059080000}"/>
    <cellStyle name="Calculation 2 2 5 2 3 2 2" xfId="24410" xr:uid="{00000000-0005-0000-0000-00005A080000}"/>
    <cellStyle name="Calculation 2 2 5 2 3 3" xfId="15227" xr:uid="{00000000-0005-0000-0000-00005B080000}"/>
    <cellStyle name="Calculation 2 2 5 2 3 3 2" xfId="30059" xr:uid="{00000000-0005-0000-0000-00005C080000}"/>
    <cellStyle name="Calculation 2 2 5 2 3 4" xfId="21940" xr:uid="{00000000-0005-0000-0000-00005D080000}"/>
    <cellStyle name="Calculation 2 2 5 2 4" xfId="2895" xr:uid="{00000000-0005-0000-0000-00005E080000}"/>
    <cellStyle name="Calculation 2 2 5 2 4 2" xfId="6979" xr:uid="{00000000-0005-0000-0000-00005F080000}"/>
    <cellStyle name="Calculation 2 2 5 2 4 2 2" xfId="23153" xr:uid="{00000000-0005-0000-0000-000060080000}"/>
    <cellStyle name="Calculation 2 2 5 2 4 3" xfId="13233" xr:uid="{00000000-0005-0000-0000-000061080000}"/>
    <cellStyle name="Calculation 2 2 5 2 4 3 2" xfId="28065" xr:uid="{00000000-0005-0000-0000-000062080000}"/>
    <cellStyle name="Calculation 2 2 5 2 4 4" xfId="20821" xr:uid="{00000000-0005-0000-0000-000063080000}"/>
    <cellStyle name="Calculation 2 2 5 2 5" xfId="6056" xr:uid="{00000000-0005-0000-0000-000064080000}"/>
    <cellStyle name="Calculation 2 2 5 2 5 2" xfId="16243" xr:uid="{00000000-0005-0000-0000-000065080000}"/>
    <cellStyle name="Calculation 2 2 5 2 5 2 2" xfId="31075" xr:uid="{00000000-0005-0000-0000-000066080000}"/>
    <cellStyle name="Calculation 2 2 5 2 5 3" xfId="22589" xr:uid="{00000000-0005-0000-0000-000067080000}"/>
    <cellStyle name="Calculation 2 2 5 2 6" xfId="12313" xr:uid="{00000000-0005-0000-0000-000068080000}"/>
    <cellStyle name="Calculation 2 2 5 2 6 2" xfId="27145" xr:uid="{00000000-0005-0000-0000-000069080000}"/>
    <cellStyle name="Calculation 2 2 5 2 7" xfId="9910" xr:uid="{00000000-0005-0000-0000-00006A080000}"/>
    <cellStyle name="Calculation 2 2 5 2 7 2" xfId="20112" xr:uid="{00000000-0005-0000-0000-00006B080000}"/>
    <cellStyle name="Calculation 2 2 5 3" xfId="3948" xr:uid="{00000000-0005-0000-0000-00006C080000}"/>
    <cellStyle name="Calculation 2 2 5 3 2" xfId="7998" xr:uid="{00000000-0005-0000-0000-00006D080000}"/>
    <cellStyle name="Calculation 2 2 5 3 2 2" xfId="23798" xr:uid="{00000000-0005-0000-0000-00006E080000}"/>
    <cellStyle name="Calculation 2 2 5 3 3" xfId="14281" xr:uid="{00000000-0005-0000-0000-00006F080000}"/>
    <cellStyle name="Calculation 2 2 5 3 3 2" xfId="29113" xr:uid="{00000000-0005-0000-0000-000070080000}"/>
    <cellStyle name="Calculation 2 2 5 3 4" xfId="21440" xr:uid="{00000000-0005-0000-0000-000071080000}"/>
    <cellStyle name="Calculation 2 2 5 4" xfId="4485" xr:uid="{00000000-0005-0000-0000-000072080000}"/>
    <cellStyle name="Calculation 2 2 5 4 2" xfId="8524" xr:uid="{00000000-0005-0000-0000-000073080000}"/>
    <cellStyle name="Calculation 2 2 5 4 2 2" xfId="24150" xr:uid="{00000000-0005-0000-0000-000074080000}"/>
    <cellStyle name="Calculation 2 2 5 4 3" xfId="14812" xr:uid="{00000000-0005-0000-0000-000075080000}"/>
    <cellStyle name="Calculation 2 2 5 4 3 2" xfId="29644" xr:uid="{00000000-0005-0000-0000-000076080000}"/>
    <cellStyle name="Calculation 2 2 5 4 4" xfId="21710" xr:uid="{00000000-0005-0000-0000-000077080000}"/>
    <cellStyle name="Calculation 2 2 5 5" xfId="2475" xr:uid="{00000000-0005-0000-0000-000078080000}"/>
    <cellStyle name="Calculation 2 2 5 5 2" xfId="6581" xr:uid="{00000000-0005-0000-0000-000079080000}"/>
    <cellStyle name="Calculation 2 2 5 5 2 2" xfId="22919" xr:uid="{00000000-0005-0000-0000-00007A080000}"/>
    <cellStyle name="Calculation 2 2 5 5 3" xfId="12813" xr:uid="{00000000-0005-0000-0000-00007B080000}"/>
    <cellStyle name="Calculation 2 2 5 5 3 2" xfId="27645" xr:uid="{00000000-0005-0000-0000-00007C080000}"/>
    <cellStyle name="Calculation 2 2 5 5 4" xfId="20565" xr:uid="{00000000-0005-0000-0000-00007D080000}"/>
    <cellStyle name="Calculation 2 2 5 6" xfId="5598" xr:uid="{00000000-0005-0000-0000-00007E080000}"/>
    <cellStyle name="Calculation 2 2 5 6 2" xfId="15833" xr:uid="{00000000-0005-0000-0000-00007F080000}"/>
    <cellStyle name="Calculation 2 2 5 6 2 2" xfId="30665" xr:uid="{00000000-0005-0000-0000-000080080000}"/>
    <cellStyle name="Calculation 2 2 5 6 3" xfId="22294" xr:uid="{00000000-0005-0000-0000-000081080000}"/>
    <cellStyle name="Calculation 2 2 5 7" xfId="11842" xr:uid="{00000000-0005-0000-0000-000082080000}"/>
    <cellStyle name="Calculation 2 2 5 7 2" xfId="26674" xr:uid="{00000000-0005-0000-0000-000083080000}"/>
    <cellStyle name="Calculation 2 2 5 8" xfId="9515" xr:uid="{00000000-0005-0000-0000-000084080000}"/>
    <cellStyle name="Calculation 2 2 5 8 2" xfId="19817" xr:uid="{00000000-0005-0000-0000-000085080000}"/>
    <cellStyle name="Calculation 2 2 6" xfId="1716" xr:uid="{00000000-0005-0000-0000-000086080000}"/>
    <cellStyle name="Calculation 2 2 6 2" xfId="3589" xr:uid="{00000000-0005-0000-0000-000087080000}"/>
    <cellStyle name="Calculation 2 2 6 2 2" xfId="7651" xr:uid="{00000000-0005-0000-0000-000088080000}"/>
    <cellStyle name="Calculation 2 2 6 2 2 2" xfId="23567" xr:uid="{00000000-0005-0000-0000-000089080000}"/>
    <cellStyle name="Calculation 2 2 6 2 3" xfId="13925" xr:uid="{00000000-0005-0000-0000-00008A080000}"/>
    <cellStyle name="Calculation 2 2 6 2 3 2" xfId="28757" xr:uid="{00000000-0005-0000-0000-00008B080000}"/>
    <cellStyle name="Calculation 2 2 6 2 4" xfId="21236" xr:uid="{00000000-0005-0000-0000-00008C080000}"/>
    <cellStyle name="Calculation 2 2 6 3" xfId="4709" xr:uid="{00000000-0005-0000-0000-00008D080000}"/>
    <cellStyle name="Calculation 2 2 6 3 2" xfId="8748" xr:uid="{00000000-0005-0000-0000-00008E080000}"/>
    <cellStyle name="Calculation 2 2 6 3 2 2" xfId="24278" xr:uid="{00000000-0005-0000-0000-00008F080000}"/>
    <cellStyle name="Calculation 2 2 6 3 3" xfId="15033" xr:uid="{00000000-0005-0000-0000-000090080000}"/>
    <cellStyle name="Calculation 2 2 6 3 3 2" xfId="29865" xr:uid="{00000000-0005-0000-0000-000091080000}"/>
    <cellStyle name="Calculation 2 2 6 3 4" xfId="21816" xr:uid="{00000000-0005-0000-0000-000092080000}"/>
    <cellStyle name="Calculation 2 2 6 4" xfId="2699" xr:uid="{00000000-0005-0000-0000-000093080000}"/>
    <cellStyle name="Calculation 2 2 6 4 2" xfId="6790" xr:uid="{00000000-0005-0000-0000-000094080000}"/>
    <cellStyle name="Calculation 2 2 6 4 2 2" xfId="23029" xr:uid="{00000000-0005-0000-0000-000095080000}"/>
    <cellStyle name="Calculation 2 2 6 4 3" xfId="13037" xr:uid="{00000000-0005-0000-0000-000096080000}"/>
    <cellStyle name="Calculation 2 2 6 4 3 2" xfId="27869" xr:uid="{00000000-0005-0000-0000-000097080000}"/>
    <cellStyle name="Calculation 2 2 6 4 4" xfId="20689" xr:uid="{00000000-0005-0000-0000-000098080000}"/>
    <cellStyle name="Calculation 2 2 6 5" xfId="5848" xr:uid="{00000000-0005-0000-0000-000099080000}"/>
    <cellStyle name="Calculation 2 2 6 5 2" xfId="16040" xr:uid="{00000000-0005-0000-0000-00009A080000}"/>
    <cellStyle name="Calculation 2 2 6 5 2 2" xfId="30872" xr:uid="{00000000-0005-0000-0000-00009B080000}"/>
    <cellStyle name="Calculation 2 2 6 5 3" xfId="22445" xr:uid="{00000000-0005-0000-0000-00009C080000}"/>
    <cellStyle name="Calculation 2 2 6 6" xfId="12110" xr:uid="{00000000-0005-0000-0000-00009D080000}"/>
    <cellStyle name="Calculation 2 2 6 6 2" xfId="26942" xr:uid="{00000000-0005-0000-0000-00009E080000}"/>
    <cellStyle name="Calculation 2 2 6 7" xfId="9721" xr:uid="{00000000-0005-0000-0000-00009F080000}"/>
    <cellStyle name="Calculation 2 2 6 7 2" xfId="20019" xr:uid="{00000000-0005-0000-0000-0000A0080000}"/>
    <cellStyle name="Calculation 2 2 7" xfId="2235" xr:uid="{00000000-0005-0000-0000-0000A1080000}"/>
    <cellStyle name="Calculation 2 2 7 2" xfId="3579" xr:uid="{00000000-0005-0000-0000-0000A2080000}"/>
    <cellStyle name="Calculation 2 2 7 2 2" xfId="7641" xr:uid="{00000000-0005-0000-0000-0000A3080000}"/>
    <cellStyle name="Calculation 2 2 7 2 2 2" xfId="23563" xr:uid="{00000000-0005-0000-0000-0000A4080000}"/>
    <cellStyle name="Calculation 2 2 7 2 3" xfId="13915" xr:uid="{00000000-0005-0000-0000-0000A5080000}"/>
    <cellStyle name="Calculation 2 2 7 2 3 2" xfId="28747" xr:uid="{00000000-0005-0000-0000-0000A6080000}"/>
    <cellStyle name="Calculation 2 2 7 2 4" xfId="21232" xr:uid="{00000000-0005-0000-0000-0000A7080000}"/>
    <cellStyle name="Calculation 2 2 7 3" xfId="5203" xr:uid="{00000000-0005-0000-0000-0000A8080000}"/>
    <cellStyle name="Calculation 2 2 7 3 2" xfId="9242" xr:uid="{00000000-0005-0000-0000-0000A9080000}"/>
    <cellStyle name="Calculation 2 2 7 3 2 2" xfId="24580" xr:uid="{00000000-0005-0000-0000-0000AA080000}"/>
    <cellStyle name="Calculation 2 2 7 3 3" xfId="15521" xr:uid="{00000000-0005-0000-0000-0000AB080000}"/>
    <cellStyle name="Calculation 2 2 7 3 3 2" xfId="30353" xr:uid="{00000000-0005-0000-0000-0000AC080000}"/>
    <cellStyle name="Calculation 2 2 7 3 4" xfId="22087" xr:uid="{00000000-0005-0000-0000-0000AD080000}"/>
    <cellStyle name="Calculation 2 2 7 4" xfId="4233" xr:uid="{00000000-0005-0000-0000-0000AE080000}"/>
    <cellStyle name="Calculation 2 2 7 4 2" xfId="8274" xr:uid="{00000000-0005-0000-0000-0000AF080000}"/>
    <cellStyle name="Calculation 2 2 7 4 2 2" xfId="23969" xr:uid="{00000000-0005-0000-0000-0000B0080000}"/>
    <cellStyle name="Calculation 2 2 7 4 3" xfId="14565" xr:uid="{00000000-0005-0000-0000-0000B1080000}"/>
    <cellStyle name="Calculation 2 2 7 4 3 2" xfId="29397" xr:uid="{00000000-0005-0000-0000-0000B2080000}"/>
    <cellStyle name="Calculation 2 2 7 4 4" xfId="21594" xr:uid="{00000000-0005-0000-0000-0000B3080000}"/>
    <cellStyle name="Calculation 2 2 7 5" xfId="6349" xr:uid="{00000000-0005-0000-0000-0000B4080000}"/>
    <cellStyle name="Calculation 2 2 7 5 2" xfId="22751" xr:uid="{00000000-0005-0000-0000-0000B5080000}"/>
    <cellStyle name="Calculation 2 2 7 6" xfId="12603" xr:uid="{00000000-0005-0000-0000-0000B6080000}"/>
    <cellStyle name="Calculation 2 2 7 6 2" xfId="27435" xr:uid="{00000000-0005-0000-0000-0000B7080000}"/>
    <cellStyle name="Calculation 2 2 7 7" xfId="20430" xr:uid="{00000000-0005-0000-0000-0000B8080000}"/>
    <cellStyle name="Calculation 2 2 8" xfId="3830" xr:uid="{00000000-0005-0000-0000-0000B9080000}"/>
    <cellStyle name="Calculation 2 2 8 2" xfId="7883" xr:uid="{00000000-0005-0000-0000-0000BA080000}"/>
    <cellStyle name="Calculation 2 2 8 2 2" xfId="23725" xr:uid="{00000000-0005-0000-0000-0000BB080000}"/>
    <cellStyle name="Calculation 2 2 8 3" xfId="14165" xr:uid="{00000000-0005-0000-0000-0000BC080000}"/>
    <cellStyle name="Calculation 2 2 8 3 2" xfId="28997" xr:uid="{00000000-0005-0000-0000-0000BD080000}"/>
    <cellStyle name="Calculation 2 2 8 4" xfId="21373" xr:uid="{00000000-0005-0000-0000-0000BE080000}"/>
    <cellStyle name="Calculation 2 2 9" xfId="3339" xr:uid="{00000000-0005-0000-0000-0000BF080000}"/>
    <cellStyle name="Calculation 2 2 9 2" xfId="7402" xr:uid="{00000000-0005-0000-0000-0000C0080000}"/>
    <cellStyle name="Calculation 2 2 9 2 2" xfId="23407" xr:uid="{00000000-0005-0000-0000-0000C1080000}"/>
    <cellStyle name="Calculation 2 2 9 3" xfId="13676" xr:uid="{00000000-0005-0000-0000-0000C2080000}"/>
    <cellStyle name="Calculation 2 2 9 3 2" xfId="28508" xr:uid="{00000000-0005-0000-0000-0000C3080000}"/>
    <cellStyle name="Calculation 2 2 9 4" xfId="21094" xr:uid="{00000000-0005-0000-0000-0000C4080000}"/>
    <cellStyle name="Calculation 2 20" xfId="9399" xr:uid="{00000000-0005-0000-0000-0000C5080000}"/>
    <cellStyle name="Calculation 2 20 2" xfId="24705" xr:uid="{00000000-0005-0000-0000-0000C6080000}"/>
    <cellStyle name="Calculation 2 21" xfId="7697" xr:uid="{00000000-0005-0000-0000-0000C7080000}"/>
    <cellStyle name="Calculation 2 21 2" xfId="19109" xr:uid="{00000000-0005-0000-0000-0000C8080000}"/>
    <cellStyle name="Calculation 2 3" xfId="964" xr:uid="{00000000-0005-0000-0000-0000C9080000}"/>
    <cellStyle name="Calculation 2 3 10" xfId="2270" xr:uid="{00000000-0005-0000-0000-0000CA080000}"/>
    <cellStyle name="Calculation 2 3 10 2" xfId="6382" xr:uid="{00000000-0005-0000-0000-0000CB080000}"/>
    <cellStyle name="Calculation 2 3 10 2 2" xfId="22784" xr:uid="{00000000-0005-0000-0000-0000CC080000}"/>
    <cellStyle name="Calculation 2 3 10 3" xfId="12610" xr:uid="{00000000-0005-0000-0000-0000CD080000}"/>
    <cellStyle name="Calculation 2 3 10 3 2" xfId="27442" xr:uid="{00000000-0005-0000-0000-0000CE080000}"/>
    <cellStyle name="Calculation 2 3 10 4" xfId="20436" xr:uid="{00000000-0005-0000-0000-0000CF080000}"/>
    <cellStyle name="Calculation 2 3 11" xfId="5236" xr:uid="{00000000-0005-0000-0000-0000D0080000}"/>
    <cellStyle name="Calculation 2 3 11 2" xfId="15552" xr:uid="{00000000-0005-0000-0000-0000D1080000}"/>
    <cellStyle name="Calculation 2 3 11 2 2" xfId="30384" xr:uid="{00000000-0005-0000-0000-0000D2080000}"/>
    <cellStyle name="Calculation 2 3 11 3" xfId="22093" xr:uid="{00000000-0005-0000-0000-0000D3080000}"/>
    <cellStyle name="Calculation 2 3 12" xfId="5394" xr:uid="{00000000-0005-0000-0000-0000D4080000}"/>
    <cellStyle name="Calculation 2 3 12 2" xfId="15630" xr:uid="{00000000-0005-0000-0000-0000D5080000}"/>
    <cellStyle name="Calculation 2 3 12 2 2" xfId="30462" xr:uid="{00000000-0005-0000-0000-0000D6080000}"/>
    <cellStyle name="Calculation 2 3 12 3" xfId="22155" xr:uid="{00000000-0005-0000-0000-0000D7080000}"/>
    <cellStyle name="Calculation 2 3 13" xfId="9397" xr:uid="{00000000-0005-0000-0000-0000D8080000}"/>
    <cellStyle name="Calculation 2 3 13 2" xfId="24703" xr:uid="{00000000-0005-0000-0000-0000D9080000}"/>
    <cellStyle name="Calculation 2 3 14" xfId="5469" xr:uid="{00000000-0005-0000-0000-0000DA080000}"/>
    <cellStyle name="Calculation 2 3 14 2" xfId="18282" xr:uid="{00000000-0005-0000-0000-0000DB080000}"/>
    <cellStyle name="Calculation 2 3 2" xfId="1306" xr:uid="{00000000-0005-0000-0000-0000DC080000}"/>
    <cellStyle name="Calculation 2 3 2 2" xfId="1810" xr:uid="{00000000-0005-0000-0000-0000DD080000}"/>
    <cellStyle name="Calculation 2 3 2 2 2" xfId="3772" xr:uid="{00000000-0005-0000-0000-0000DE080000}"/>
    <cellStyle name="Calculation 2 3 2 2 2 2" xfId="7828" xr:uid="{00000000-0005-0000-0000-0000DF080000}"/>
    <cellStyle name="Calculation 2 3 2 2 2 2 2" xfId="23685" xr:uid="{00000000-0005-0000-0000-0000E0080000}"/>
    <cellStyle name="Calculation 2 3 2 2 2 3" xfId="14107" xr:uid="{00000000-0005-0000-0000-0000E1080000}"/>
    <cellStyle name="Calculation 2 3 2 2 2 3 2" xfId="28939" xr:uid="{00000000-0005-0000-0000-0000E2080000}"/>
    <cellStyle name="Calculation 2 3 2 2 2 4" xfId="21341" xr:uid="{00000000-0005-0000-0000-0000E3080000}"/>
    <cellStyle name="Calculation 2 3 2 2 3" xfId="4788" xr:uid="{00000000-0005-0000-0000-0000E4080000}"/>
    <cellStyle name="Calculation 2 3 2 2 3 2" xfId="8827" xr:uid="{00000000-0005-0000-0000-0000E5080000}"/>
    <cellStyle name="Calculation 2 3 2 2 3 2 2" xfId="24325" xr:uid="{00000000-0005-0000-0000-0000E6080000}"/>
    <cellStyle name="Calculation 2 3 2 2 3 3" xfId="15112" xr:uid="{00000000-0005-0000-0000-0000E7080000}"/>
    <cellStyle name="Calculation 2 3 2 2 3 3 2" xfId="29944" xr:uid="{00000000-0005-0000-0000-0000E8080000}"/>
    <cellStyle name="Calculation 2 3 2 2 3 4" xfId="21863" xr:uid="{00000000-0005-0000-0000-0000E9080000}"/>
    <cellStyle name="Calculation 2 3 2 2 4" xfId="2778" xr:uid="{00000000-0005-0000-0000-0000EA080000}"/>
    <cellStyle name="Calculation 2 3 2 2 4 2" xfId="6869" xr:uid="{00000000-0005-0000-0000-0000EB080000}"/>
    <cellStyle name="Calculation 2 3 2 2 4 2 2" xfId="23076" xr:uid="{00000000-0005-0000-0000-0000EC080000}"/>
    <cellStyle name="Calculation 2 3 2 2 4 3" xfId="13116" xr:uid="{00000000-0005-0000-0000-0000ED080000}"/>
    <cellStyle name="Calculation 2 3 2 2 4 3 2" xfId="27948" xr:uid="{00000000-0005-0000-0000-0000EE080000}"/>
    <cellStyle name="Calculation 2 3 2 2 4 4" xfId="20736" xr:uid="{00000000-0005-0000-0000-0000EF080000}"/>
    <cellStyle name="Calculation 2 3 2 2 5" xfId="5942" xr:uid="{00000000-0005-0000-0000-0000F0080000}"/>
    <cellStyle name="Calculation 2 3 2 2 5 2" xfId="16134" xr:uid="{00000000-0005-0000-0000-0000F1080000}"/>
    <cellStyle name="Calculation 2 3 2 2 5 2 2" xfId="30966" xr:uid="{00000000-0005-0000-0000-0000F2080000}"/>
    <cellStyle name="Calculation 2 3 2 2 5 3" xfId="22507" xr:uid="{00000000-0005-0000-0000-0000F3080000}"/>
    <cellStyle name="Calculation 2 3 2 2 6" xfId="12204" xr:uid="{00000000-0005-0000-0000-0000F4080000}"/>
    <cellStyle name="Calculation 2 3 2 2 6 2" xfId="27036" xr:uid="{00000000-0005-0000-0000-0000F5080000}"/>
    <cellStyle name="Calculation 2 3 2 2 7" xfId="9800" xr:uid="{00000000-0005-0000-0000-0000F6080000}"/>
    <cellStyle name="Calculation 2 3 2 2 7 2" xfId="20051" xr:uid="{00000000-0005-0000-0000-0000F7080000}"/>
    <cellStyle name="Calculation 2 3 2 3" xfId="4047" xr:uid="{00000000-0005-0000-0000-0000F8080000}"/>
    <cellStyle name="Calculation 2 3 2 3 2" xfId="8094" xr:uid="{00000000-0005-0000-0000-0000F9080000}"/>
    <cellStyle name="Calculation 2 3 2 3 2 2" xfId="23858" xr:uid="{00000000-0005-0000-0000-0000FA080000}"/>
    <cellStyle name="Calculation 2 3 2 3 3" xfId="14379" xr:uid="{00000000-0005-0000-0000-0000FB080000}"/>
    <cellStyle name="Calculation 2 3 2 3 3 2" xfId="29211" xr:uid="{00000000-0005-0000-0000-0000FC080000}"/>
    <cellStyle name="Calculation 2 3 2 3 4" xfId="21492" xr:uid="{00000000-0005-0000-0000-0000FD080000}"/>
    <cellStyle name="Calculation 2 3 2 4" xfId="3360" xr:uid="{00000000-0005-0000-0000-0000FE080000}"/>
    <cellStyle name="Calculation 2 3 2 4 2" xfId="7423" xr:uid="{00000000-0005-0000-0000-0000FF080000}"/>
    <cellStyle name="Calculation 2 3 2 4 2 2" xfId="23424" xr:uid="{00000000-0005-0000-0000-000000090000}"/>
    <cellStyle name="Calculation 2 3 2 4 3" xfId="13697" xr:uid="{00000000-0005-0000-0000-000001090000}"/>
    <cellStyle name="Calculation 2 3 2 4 3 2" xfId="28529" xr:uid="{00000000-0005-0000-0000-000002090000}"/>
    <cellStyle name="Calculation 2 3 2 4 4" xfId="21109" xr:uid="{00000000-0005-0000-0000-000003090000}"/>
    <cellStyle name="Calculation 2 3 2 5" xfId="2358" xr:uid="{00000000-0005-0000-0000-000004090000}"/>
    <cellStyle name="Calculation 2 3 2 5 2" xfId="6470" xr:uid="{00000000-0005-0000-0000-000005090000}"/>
    <cellStyle name="Calculation 2 3 2 5 2 2" xfId="22840" xr:uid="{00000000-0005-0000-0000-000006090000}"/>
    <cellStyle name="Calculation 2 3 2 5 3" xfId="12697" xr:uid="{00000000-0005-0000-0000-000007090000}"/>
    <cellStyle name="Calculation 2 3 2 5 3 2" xfId="27529" xr:uid="{00000000-0005-0000-0000-000008090000}"/>
    <cellStyle name="Calculation 2 3 2 5 4" xfId="20482" xr:uid="{00000000-0005-0000-0000-000009090000}"/>
    <cellStyle name="Calculation 2 3 2 6" xfId="5483" xr:uid="{00000000-0005-0000-0000-00000A090000}"/>
    <cellStyle name="Calculation 2 3 2 6 2" xfId="15718" xr:uid="{00000000-0005-0000-0000-00000B090000}"/>
    <cellStyle name="Calculation 2 3 2 6 2 2" xfId="30550" xr:uid="{00000000-0005-0000-0000-00000C090000}"/>
    <cellStyle name="Calculation 2 3 2 6 3" xfId="22211" xr:uid="{00000000-0005-0000-0000-00000D090000}"/>
    <cellStyle name="Calculation 2 3 2 7" xfId="9319" xr:uid="{00000000-0005-0000-0000-00000E090000}"/>
    <cellStyle name="Calculation 2 3 2 7 2" xfId="24625" xr:uid="{00000000-0005-0000-0000-00000F090000}"/>
    <cellStyle name="Calculation 2 3 2 8" xfId="9404" xr:uid="{00000000-0005-0000-0000-000010090000}"/>
    <cellStyle name="Calculation 2 3 2 8 2" xfId="19708" xr:uid="{00000000-0005-0000-0000-000011090000}"/>
    <cellStyle name="Calculation 2 3 3" xfId="1440" xr:uid="{00000000-0005-0000-0000-000012090000}"/>
    <cellStyle name="Calculation 2 3 3 2" xfId="1941" xr:uid="{00000000-0005-0000-0000-000013090000}"/>
    <cellStyle name="Calculation 2 3 3 2 2" xfId="3522" xr:uid="{00000000-0005-0000-0000-000014090000}"/>
    <cellStyle name="Calculation 2 3 3 2 2 2" xfId="7584" xr:uid="{00000000-0005-0000-0000-000015090000}"/>
    <cellStyle name="Calculation 2 3 3 2 2 2 2" xfId="23532" xr:uid="{00000000-0005-0000-0000-000016090000}"/>
    <cellStyle name="Calculation 2 3 3 2 2 3" xfId="13859" xr:uid="{00000000-0005-0000-0000-000017090000}"/>
    <cellStyle name="Calculation 2 3 3 2 2 3 2" xfId="28691" xr:uid="{00000000-0005-0000-0000-000018090000}"/>
    <cellStyle name="Calculation 2 3 3 2 2 4" xfId="21207" xr:uid="{00000000-0005-0000-0000-000019090000}"/>
    <cellStyle name="Calculation 2 3 3 2 3" xfId="4920" xr:uid="{00000000-0005-0000-0000-00001A090000}"/>
    <cellStyle name="Calculation 2 3 3 2 3 2" xfId="8959" xr:uid="{00000000-0005-0000-0000-00001B090000}"/>
    <cellStyle name="Calculation 2 3 3 2 3 2 2" xfId="24425" xr:uid="{00000000-0005-0000-0000-00001C090000}"/>
    <cellStyle name="Calculation 2 3 3 2 3 3" xfId="15242" xr:uid="{00000000-0005-0000-0000-00001D090000}"/>
    <cellStyle name="Calculation 2 3 3 2 3 3 2" xfId="30074" xr:uid="{00000000-0005-0000-0000-00001E090000}"/>
    <cellStyle name="Calculation 2 3 3 2 3 4" xfId="21955" xr:uid="{00000000-0005-0000-0000-00001F090000}"/>
    <cellStyle name="Calculation 2 3 3 2 4" xfId="2910" xr:uid="{00000000-0005-0000-0000-000020090000}"/>
    <cellStyle name="Calculation 2 3 3 2 4 2" xfId="6994" xr:uid="{00000000-0005-0000-0000-000021090000}"/>
    <cellStyle name="Calculation 2 3 3 2 4 2 2" xfId="23168" xr:uid="{00000000-0005-0000-0000-000022090000}"/>
    <cellStyle name="Calculation 2 3 3 2 4 3" xfId="13248" xr:uid="{00000000-0005-0000-0000-000023090000}"/>
    <cellStyle name="Calculation 2 3 3 2 4 3 2" xfId="28080" xr:uid="{00000000-0005-0000-0000-000024090000}"/>
    <cellStyle name="Calculation 2 3 3 2 4 4" xfId="20836" xr:uid="{00000000-0005-0000-0000-000025090000}"/>
    <cellStyle name="Calculation 2 3 3 2 5" xfId="6071" xr:uid="{00000000-0005-0000-0000-000026090000}"/>
    <cellStyle name="Calculation 2 3 3 2 5 2" xfId="16258" xr:uid="{00000000-0005-0000-0000-000027090000}"/>
    <cellStyle name="Calculation 2 3 3 2 5 2 2" xfId="31090" xr:uid="{00000000-0005-0000-0000-000028090000}"/>
    <cellStyle name="Calculation 2 3 3 2 5 3" xfId="22604" xr:uid="{00000000-0005-0000-0000-000029090000}"/>
    <cellStyle name="Calculation 2 3 3 2 6" xfId="12328" xr:uid="{00000000-0005-0000-0000-00002A090000}"/>
    <cellStyle name="Calculation 2 3 3 2 6 2" xfId="27160" xr:uid="{00000000-0005-0000-0000-00002B090000}"/>
    <cellStyle name="Calculation 2 3 3 2 7" xfId="9925" xr:uid="{00000000-0005-0000-0000-00002C090000}"/>
    <cellStyle name="Calculation 2 3 3 2 7 2" xfId="20127" xr:uid="{00000000-0005-0000-0000-00002D090000}"/>
    <cellStyle name="Calculation 2 3 3 3" xfId="3899" xr:uid="{00000000-0005-0000-0000-00002E090000}"/>
    <cellStyle name="Calculation 2 3 3 3 2" xfId="7950" xr:uid="{00000000-0005-0000-0000-00002F090000}"/>
    <cellStyle name="Calculation 2 3 3 3 2 2" xfId="23769" xr:uid="{00000000-0005-0000-0000-000030090000}"/>
    <cellStyle name="Calculation 2 3 3 3 3" xfId="14232" xr:uid="{00000000-0005-0000-0000-000031090000}"/>
    <cellStyle name="Calculation 2 3 3 3 3 2" xfId="29064" xr:uid="{00000000-0005-0000-0000-000032090000}"/>
    <cellStyle name="Calculation 2 3 3 3 4" xfId="21410" xr:uid="{00000000-0005-0000-0000-000033090000}"/>
    <cellStyle name="Calculation 2 3 3 4" xfId="4500" xr:uid="{00000000-0005-0000-0000-000034090000}"/>
    <cellStyle name="Calculation 2 3 3 4 2" xfId="8539" xr:uid="{00000000-0005-0000-0000-000035090000}"/>
    <cellStyle name="Calculation 2 3 3 4 2 2" xfId="24165" xr:uid="{00000000-0005-0000-0000-000036090000}"/>
    <cellStyle name="Calculation 2 3 3 4 3" xfId="14827" xr:uid="{00000000-0005-0000-0000-000037090000}"/>
    <cellStyle name="Calculation 2 3 3 4 3 2" xfId="29659" xr:uid="{00000000-0005-0000-0000-000038090000}"/>
    <cellStyle name="Calculation 2 3 3 4 4" xfId="21725" xr:uid="{00000000-0005-0000-0000-000039090000}"/>
    <cellStyle name="Calculation 2 3 3 5" xfId="2490" xr:uid="{00000000-0005-0000-0000-00003A090000}"/>
    <cellStyle name="Calculation 2 3 3 5 2" xfId="6596" xr:uid="{00000000-0005-0000-0000-00003B090000}"/>
    <cellStyle name="Calculation 2 3 3 5 2 2" xfId="22934" xr:uid="{00000000-0005-0000-0000-00003C090000}"/>
    <cellStyle name="Calculation 2 3 3 5 3" xfId="12828" xr:uid="{00000000-0005-0000-0000-00003D090000}"/>
    <cellStyle name="Calculation 2 3 3 5 3 2" xfId="27660" xr:uid="{00000000-0005-0000-0000-00003E090000}"/>
    <cellStyle name="Calculation 2 3 3 5 4" xfId="20580" xr:uid="{00000000-0005-0000-0000-00003F090000}"/>
    <cellStyle name="Calculation 2 3 3 6" xfId="5613" xr:uid="{00000000-0005-0000-0000-000040090000}"/>
    <cellStyle name="Calculation 2 3 3 6 2" xfId="15848" xr:uid="{00000000-0005-0000-0000-000041090000}"/>
    <cellStyle name="Calculation 2 3 3 6 2 2" xfId="30680" xr:uid="{00000000-0005-0000-0000-000042090000}"/>
    <cellStyle name="Calculation 2 3 3 6 3" xfId="22309" xr:uid="{00000000-0005-0000-0000-000043090000}"/>
    <cellStyle name="Calculation 2 3 3 7" xfId="11857" xr:uid="{00000000-0005-0000-0000-000044090000}"/>
    <cellStyle name="Calculation 2 3 3 7 2" xfId="26689" xr:uid="{00000000-0005-0000-0000-000045090000}"/>
    <cellStyle name="Calculation 2 3 3 8" xfId="9530" xr:uid="{00000000-0005-0000-0000-000046090000}"/>
    <cellStyle name="Calculation 2 3 3 8 2" xfId="19832" xr:uid="{00000000-0005-0000-0000-000047090000}"/>
    <cellStyle name="Calculation 2 3 4" xfId="1414" xr:uid="{00000000-0005-0000-0000-000048090000}"/>
    <cellStyle name="Calculation 2 3 4 2" xfId="1916" xr:uid="{00000000-0005-0000-0000-000049090000}"/>
    <cellStyle name="Calculation 2 3 4 2 2" xfId="3724" xr:uid="{00000000-0005-0000-0000-00004A090000}"/>
    <cellStyle name="Calculation 2 3 4 2 2 2" xfId="7780" xr:uid="{00000000-0005-0000-0000-00004B090000}"/>
    <cellStyle name="Calculation 2 3 4 2 2 2 2" xfId="23659" xr:uid="{00000000-0005-0000-0000-00004C090000}"/>
    <cellStyle name="Calculation 2 3 4 2 2 3" xfId="14059" xr:uid="{00000000-0005-0000-0000-00004D090000}"/>
    <cellStyle name="Calculation 2 3 4 2 2 3 2" xfId="28891" xr:uid="{00000000-0005-0000-0000-00004E090000}"/>
    <cellStyle name="Calculation 2 3 4 2 2 4" xfId="21319" xr:uid="{00000000-0005-0000-0000-00004F090000}"/>
    <cellStyle name="Calculation 2 3 4 2 3" xfId="4894" xr:uid="{00000000-0005-0000-0000-000050090000}"/>
    <cellStyle name="Calculation 2 3 4 2 3 2" xfId="8933" xr:uid="{00000000-0005-0000-0000-000051090000}"/>
    <cellStyle name="Calculation 2 3 4 2 3 2 2" xfId="24399" xr:uid="{00000000-0005-0000-0000-000052090000}"/>
    <cellStyle name="Calculation 2 3 4 2 3 3" xfId="15217" xr:uid="{00000000-0005-0000-0000-000053090000}"/>
    <cellStyle name="Calculation 2 3 4 2 3 3 2" xfId="30049" xr:uid="{00000000-0005-0000-0000-000054090000}"/>
    <cellStyle name="Calculation 2 3 4 2 3 4" xfId="21931" xr:uid="{00000000-0005-0000-0000-000055090000}"/>
    <cellStyle name="Calculation 2 3 4 2 4" xfId="2884" xr:uid="{00000000-0005-0000-0000-000056090000}"/>
    <cellStyle name="Calculation 2 3 4 2 4 2" xfId="6969" xr:uid="{00000000-0005-0000-0000-000057090000}"/>
    <cellStyle name="Calculation 2 3 4 2 4 2 2" xfId="23144" xr:uid="{00000000-0005-0000-0000-000058090000}"/>
    <cellStyle name="Calculation 2 3 4 2 4 3" xfId="13222" xr:uid="{00000000-0005-0000-0000-000059090000}"/>
    <cellStyle name="Calculation 2 3 4 2 4 3 2" xfId="28054" xr:uid="{00000000-0005-0000-0000-00005A090000}"/>
    <cellStyle name="Calculation 2 3 4 2 4 4" xfId="20810" xr:uid="{00000000-0005-0000-0000-00005B090000}"/>
    <cellStyle name="Calculation 2 3 4 2 5" xfId="6047" xr:uid="{00000000-0005-0000-0000-00005C090000}"/>
    <cellStyle name="Calculation 2 3 4 2 5 2" xfId="16234" xr:uid="{00000000-0005-0000-0000-00005D090000}"/>
    <cellStyle name="Calculation 2 3 4 2 5 2 2" xfId="31066" xr:uid="{00000000-0005-0000-0000-00005E090000}"/>
    <cellStyle name="Calculation 2 3 4 2 5 3" xfId="22580" xr:uid="{00000000-0005-0000-0000-00005F090000}"/>
    <cellStyle name="Calculation 2 3 4 2 6" xfId="12304" xr:uid="{00000000-0005-0000-0000-000060090000}"/>
    <cellStyle name="Calculation 2 3 4 2 6 2" xfId="27136" xr:uid="{00000000-0005-0000-0000-000061090000}"/>
    <cellStyle name="Calculation 2 3 4 2 7" xfId="9900" xr:uid="{00000000-0005-0000-0000-000062090000}"/>
    <cellStyle name="Calculation 2 3 4 2 7 2" xfId="20103" xr:uid="{00000000-0005-0000-0000-000063090000}"/>
    <cellStyle name="Calculation 2 3 4 3" xfId="3646" xr:uid="{00000000-0005-0000-0000-000064090000}"/>
    <cellStyle name="Calculation 2 3 4 3 2" xfId="7705" xr:uid="{00000000-0005-0000-0000-000065090000}"/>
    <cellStyle name="Calculation 2 3 4 3 2 2" xfId="23605" xr:uid="{00000000-0005-0000-0000-000066090000}"/>
    <cellStyle name="Calculation 2 3 4 3 3" xfId="13981" xr:uid="{00000000-0005-0000-0000-000067090000}"/>
    <cellStyle name="Calculation 2 3 4 3 3 2" xfId="28813" xr:uid="{00000000-0005-0000-0000-000068090000}"/>
    <cellStyle name="Calculation 2 3 4 3 4" xfId="21270" xr:uid="{00000000-0005-0000-0000-000069090000}"/>
    <cellStyle name="Calculation 2 3 4 4" xfId="4474" xr:uid="{00000000-0005-0000-0000-00006A090000}"/>
    <cellStyle name="Calculation 2 3 4 4 2" xfId="8513" xr:uid="{00000000-0005-0000-0000-00006B090000}"/>
    <cellStyle name="Calculation 2 3 4 4 2 2" xfId="24139" xr:uid="{00000000-0005-0000-0000-00006C090000}"/>
    <cellStyle name="Calculation 2 3 4 4 3" xfId="14802" xr:uid="{00000000-0005-0000-0000-00006D090000}"/>
    <cellStyle name="Calculation 2 3 4 4 3 2" xfId="29634" xr:uid="{00000000-0005-0000-0000-00006E090000}"/>
    <cellStyle name="Calculation 2 3 4 4 4" xfId="21701" xr:uid="{00000000-0005-0000-0000-00006F090000}"/>
    <cellStyle name="Calculation 2 3 4 5" xfId="2464" xr:uid="{00000000-0005-0000-0000-000070090000}"/>
    <cellStyle name="Calculation 2 3 4 5 2" xfId="6570" xr:uid="{00000000-0005-0000-0000-000071090000}"/>
    <cellStyle name="Calculation 2 3 4 5 2 2" xfId="22908" xr:uid="{00000000-0005-0000-0000-000072090000}"/>
    <cellStyle name="Calculation 2 3 4 5 3" xfId="12803" xr:uid="{00000000-0005-0000-0000-000073090000}"/>
    <cellStyle name="Calculation 2 3 4 5 3 2" xfId="27635" xr:uid="{00000000-0005-0000-0000-000074090000}"/>
    <cellStyle name="Calculation 2 3 4 5 4" xfId="20556" xr:uid="{00000000-0005-0000-0000-000075090000}"/>
    <cellStyle name="Calculation 2 3 4 6" xfId="5588" xr:uid="{00000000-0005-0000-0000-000076090000}"/>
    <cellStyle name="Calculation 2 3 4 6 2" xfId="15823" xr:uid="{00000000-0005-0000-0000-000077090000}"/>
    <cellStyle name="Calculation 2 3 4 6 2 2" xfId="30655" xr:uid="{00000000-0005-0000-0000-000078090000}"/>
    <cellStyle name="Calculation 2 3 4 6 3" xfId="22284" xr:uid="{00000000-0005-0000-0000-000079090000}"/>
    <cellStyle name="Calculation 2 3 4 7" xfId="11833" xr:uid="{00000000-0005-0000-0000-00007A090000}"/>
    <cellStyle name="Calculation 2 3 4 7 2" xfId="26665" xr:uid="{00000000-0005-0000-0000-00007B090000}"/>
    <cellStyle name="Calculation 2 3 4 8" xfId="9505" xr:uid="{00000000-0005-0000-0000-00007C090000}"/>
    <cellStyle name="Calculation 2 3 4 8 2" xfId="19808" xr:uid="{00000000-0005-0000-0000-00007D090000}"/>
    <cellStyle name="Calculation 2 3 5" xfId="1426" xr:uid="{00000000-0005-0000-0000-00007E090000}"/>
    <cellStyle name="Calculation 2 3 5 2" xfId="1927" xr:uid="{00000000-0005-0000-0000-00007F090000}"/>
    <cellStyle name="Calculation 2 3 5 2 2" xfId="3573" xr:uid="{00000000-0005-0000-0000-000080090000}"/>
    <cellStyle name="Calculation 2 3 5 2 2 2" xfId="7635" xr:uid="{00000000-0005-0000-0000-000081090000}"/>
    <cellStyle name="Calculation 2 3 5 2 2 2 2" xfId="23559" xr:uid="{00000000-0005-0000-0000-000082090000}"/>
    <cellStyle name="Calculation 2 3 5 2 2 3" xfId="13909" xr:uid="{00000000-0005-0000-0000-000083090000}"/>
    <cellStyle name="Calculation 2 3 5 2 2 3 2" xfId="28741" xr:uid="{00000000-0005-0000-0000-000084090000}"/>
    <cellStyle name="Calculation 2 3 5 2 2 4" xfId="21229" xr:uid="{00000000-0005-0000-0000-000085090000}"/>
    <cellStyle name="Calculation 2 3 5 2 3" xfId="4906" xr:uid="{00000000-0005-0000-0000-000086090000}"/>
    <cellStyle name="Calculation 2 3 5 2 3 2" xfId="8945" xr:uid="{00000000-0005-0000-0000-000087090000}"/>
    <cellStyle name="Calculation 2 3 5 2 3 2 2" xfId="24411" xr:uid="{00000000-0005-0000-0000-000088090000}"/>
    <cellStyle name="Calculation 2 3 5 2 3 3" xfId="15228" xr:uid="{00000000-0005-0000-0000-000089090000}"/>
    <cellStyle name="Calculation 2 3 5 2 3 3 2" xfId="30060" xr:uid="{00000000-0005-0000-0000-00008A090000}"/>
    <cellStyle name="Calculation 2 3 5 2 3 4" xfId="21941" xr:uid="{00000000-0005-0000-0000-00008B090000}"/>
    <cellStyle name="Calculation 2 3 5 2 4" xfId="2896" xr:uid="{00000000-0005-0000-0000-00008C090000}"/>
    <cellStyle name="Calculation 2 3 5 2 4 2" xfId="6980" xr:uid="{00000000-0005-0000-0000-00008D090000}"/>
    <cellStyle name="Calculation 2 3 5 2 4 2 2" xfId="23154" xr:uid="{00000000-0005-0000-0000-00008E090000}"/>
    <cellStyle name="Calculation 2 3 5 2 4 3" xfId="13234" xr:uid="{00000000-0005-0000-0000-00008F090000}"/>
    <cellStyle name="Calculation 2 3 5 2 4 3 2" xfId="28066" xr:uid="{00000000-0005-0000-0000-000090090000}"/>
    <cellStyle name="Calculation 2 3 5 2 4 4" xfId="20822" xr:uid="{00000000-0005-0000-0000-000091090000}"/>
    <cellStyle name="Calculation 2 3 5 2 5" xfId="6057" xr:uid="{00000000-0005-0000-0000-000092090000}"/>
    <cellStyle name="Calculation 2 3 5 2 5 2" xfId="16244" xr:uid="{00000000-0005-0000-0000-000093090000}"/>
    <cellStyle name="Calculation 2 3 5 2 5 2 2" xfId="31076" xr:uid="{00000000-0005-0000-0000-000094090000}"/>
    <cellStyle name="Calculation 2 3 5 2 5 3" xfId="22590" xr:uid="{00000000-0005-0000-0000-000095090000}"/>
    <cellStyle name="Calculation 2 3 5 2 6" xfId="12314" xr:uid="{00000000-0005-0000-0000-000096090000}"/>
    <cellStyle name="Calculation 2 3 5 2 6 2" xfId="27146" xr:uid="{00000000-0005-0000-0000-000097090000}"/>
    <cellStyle name="Calculation 2 3 5 2 7" xfId="9911" xr:uid="{00000000-0005-0000-0000-000098090000}"/>
    <cellStyle name="Calculation 2 3 5 2 7 2" xfId="20113" xr:uid="{00000000-0005-0000-0000-000099090000}"/>
    <cellStyle name="Calculation 2 3 5 3" xfId="3717" xr:uid="{00000000-0005-0000-0000-00009A090000}"/>
    <cellStyle name="Calculation 2 3 5 3 2" xfId="7773" xr:uid="{00000000-0005-0000-0000-00009B090000}"/>
    <cellStyle name="Calculation 2 3 5 3 2 2" xfId="23654" xr:uid="{00000000-0005-0000-0000-00009C090000}"/>
    <cellStyle name="Calculation 2 3 5 3 3" xfId="14052" xr:uid="{00000000-0005-0000-0000-00009D090000}"/>
    <cellStyle name="Calculation 2 3 5 3 3 2" xfId="28884" xr:uid="{00000000-0005-0000-0000-00009E090000}"/>
    <cellStyle name="Calculation 2 3 5 3 4" xfId="21314" xr:uid="{00000000-0005-0000-0000-00009F090000}"/>
    <cellStyle name="Calculation 2 3 5 4" xfId="4486" xr:uid="{00000000-0005-0000-0000-0000A0090000}"/>
    <cellStyle name="Calculation 2 3 5 4 2" xfId="8525" xr:uid="{00000000-0005-0000-0000-0000A1090000}"/>
    <cellStyle name="Calculation 2 3 5 4 2 2" xfId="24151" xr:uid="{00000000-0005-0000-0000-0000A2090000}"/>
    <cellStyle name="Calculation 2 3 5 4 3" xfId="14813" xr:uid="{00000000-0005-0000-0000-0000A3090000}"/>
    <cellStyle name="Calculation 2 3 5 4 3 2" xfId="29645" xr:uid="{00000000-0005-0000-0000-0000A4090000}"/>
    <cellStyle name="Calculation 2 3 5 4 4" xfId="21711" xr:uid="{00000000-0005-0000-0000-0000A5090000}"/>
    <cellStyle name="Calculation 2 3 5 5" xfId="2476" xr:uid="{00000000-0005-0000-0000-0000A6090000}"/>
    <cellStyle name="Calculation 2 3 5 5 2" xfId="6582" xr:uid="{00000000-0005-0000-0000-0000A7090000}"/>
    <cellStyle name="Calculation 2 3 5 5 2 2" xfId="22920" xr:uid="{00000000-0005-0000-0000-0000A8090000}"/>
    <cellStyle name="Calculation 2 3 5 5 3" xfId="12814" xr:uid="{00000000-0005-0000-0000-0000A9090000}"/>
    <cellStyle name="Calculation 2 3 5 5 3 2" xfId="27646" xr:uid="{00000000-0005-0000-0000-0000AA090000}"/>
    <cellStyle name="Calculation 2 3 5 5 4" xfId="20566" xr:uid="{00000000-0005-0000-0000-0000AB090000}"/>
    <cellStyle name="Calculation 2 3 5 6" xfId="5599" xr:uid="{00000000-0005-0000-0000-0000AC090000}"/>
    <cellStyle name="Calculation 2 3 5 6 2" xfId="15834" xr:uid="{00000000-0005-0000-0000-0000AD090000}"/>
    <cellStyle name="Calculation 2 3 5 6 2 2" xfId="30666" xr:uid="{00000000-0005-0000-0000-0000AE090000}"/>
    <cellStyle name="Calculation 2 3 5 6 3" xfId="22295" xr:uid="{00000000-0005-0000-0000-0000AF090000}"/>
    <cellStyle name="Calculation 2 3 5 7" xfId="11843" xr:uid="{00000000-0005-0000-0000-0000B0090000}"/>
    <cellStyle name="Calculation 2 3 5 7 2" xfId="26675" xr:uid="{00000000-0005-0000-0000-0000B1090000}"/>
    <cellStyle name="Calculation 2 3 5 8" xfId="9516" xr:uid="{00000000-0005-0000-0000-0000B2090000}"/>
    <cellStyle name="Calculation 2 3 5 8 2" xfId="19818" xr:uid="{00000000-0005-0000-0000-0000B3090000}"/>
    <cellStyle name="Calculation 2 3 6" xfId="1717" xr:uid="{00000000-0005-0000-0000-0000B4090000}"/>
    <cellStyle name="Calculation 2 3 6 2" xfId="3507" xr:uid="{00000000-0005-0000-0000-0000B5090000}"/>
    <cellStyle name="Calculation 2 3 6 2 2" xfId="7569" xr:uid="{00000000-0005-0000-0000-0000B6090000}"/>
    <cellStyle name="Calculation 2 3 6 2 2 2" xfId="23521" xr:uid="{00000000-0005-0000-0000-0000B7090000}"/>
    <cellStyle name="Calculation 2 3 6 2 3" xfId="13844" xr:uid="{00000000-0005-0000-0000-0000B8090000}"/>
    <cellStyle name="Calculation 2 3 6 2 3 2" xfId="28676" xr:uid="{00000000-0005-0000-0000-0000B9090000}"/>
    <cellStyle name="Calculation 2 3 6 2 4" xfId="21196" xr:uid="{00000000-0005-0000-0000-0000BA090000}"/>
    <cellStyle name="Calculation 2 3 6 3" xfId="4710" xr:uid="{00000000-0005-0000-0000-0000BB090000}"/>
    <cellStyle name="Calculation 2 3 6 3 2" xfId="8749" xr:uid="{00000000-0005-0000-0000-0000BC090000}"/>
    <cellStyle name="Calculation 2 3 6 3 2 2" xfId="24279" xr:uid="{00000000-0005-0000-0000-0000BD090000}"/>
    <cellStyle name="Calculation 2 3 6 3 3" xfId="15034" xr:uid="{00000000-0005-0000-0000-0000BE090000}"/>
    <cellStyle name="Calculation 2 3 6 3 3 2" xfId="29866" xr:uid="{00000000-0005-0000-0000-0000BF090000}"/>
    <cellStyle name="Calculation 2 3 6 3 4" xfId="21817" xr:uid="{00000000-0005-0000-0000-0000C0090000}"/>
    <cellStyle name="Calculation 2 3 6 4" xfId="2700" xr:uid="{00000000-0005-0000-0000-0000C1090000}"/>
    <cellStyle name="Calculation 2 3 6 4 2" xfId="6791" xr:uid="{00000000-0005-0000-0000-0000C2090000}"/>
    <cellStyle name="Calculation 2 3 6 4 2 2" xfId="23030" xr:uid="{00000000-0005-0000-0000-0000C3090000}"/>
    <cellStyle name="Calculation 2 3 6 4 3" xfId="13038" xr:uid="{00000000-0005-0000-0000-0000C4090000}"/>
    <cellStyle name="Calculation 2 3 6 4 3 2" xfId="27870" xr:uid="{00000000-0005-0000-0000-0000C5090000}"/>
    <cellStyle name="Calculation 2 3 6 4 4" xfId="20690" xr:uid="{00000000-0005-0000-0000-0000C6090000}"/>
    <cellStyle name="Calculation 2 3 6 5" xfId="5849" xr:uid="{00000000-0005-0000-0000-0000C7090000}"/>
    <cellStyle name="Calculation 2 3 6 5 2" xfId="16041" xr:uid="{00000000-0005-0000-0000-0000C8090000}"/>
    <cellStyle name="Calculation 2 3 6 5 2 2" xfId="30873" xr:uid="{00000000-0005-0000-0000-0000C9090000}"/>
    <cellStyle name="Calculation 2 3 6 5 3" xfId="22446" xr:uid="{00000000-0005-0000-0000-0000CA090000}"/>
    <cellStyle name="Calculation 2 3 6 6" xfId="12111" xr:uid="{00000000-0005-0000-0000-0000CB090000}"/>
    <cellStyle name="Calculation 2 3 6 6 2" xfId="26943" xr:uid="{00000000-0005-0000-0000-0000CC090000}"/>
    <cellStyle name="Calculation 2 3 6 7" xfId="9722" xr:uid="{00000000-0005-0000-0000-0000CD090000}"/>
    <cellStyle name="Calculation 2 3 6 7 2" xfId="20020" xr:uid="{00000000-0005-0000-0000-0000CE090000}"/>
    <cellStyle name="Calculation 2 3 7" xfId="2234" xr:uid="{00000000-0005-0000-0000-0000CF090000}"/>
    <cellStyle name="Calculation 2 3 7 2" xfId="3630" xr:uid="{00000000-0005-0000-0000-0000D0090000}"/>
    <cellStyle name="Calculation 2 3 7 2 2" xfId="7689" xr:uid="{00000000-0005-0000-0000-0000D1090000}"/>
    <cellStyle name="Calculation 2 3 7 2 2 2" xfId="23596" xr:uid="{00000000-0005-0000-0000-0000D2090000}"/>
    <cellStyle name="Calculation 2 3 7 2 3" xfId="13965" xr:uid="{00000000-0005-0000-0000-0000D3090000}"/>
    <cellStyle name="Calculation 2 3 7 2 3 2" xfId="28797" xr:uid="{00000000-0005-0000-0000-0000D4090000}"/>
    <cellStyle name="Calculation 2 3 7 2 4" xfId="21261" xr:uid="{00000000-0005-0000-0000-0000D5090000}"/>
    <cellStyle name="Calculation 2 3 7 3" xfId="5202" xr:uid="{00000000-0005-0000-0000-0000D6090000}"/>
    <cellStyle name="Calculation 2 3 7 3 2" xfId="9241" xr:uid="{00000000-0005-0000-0000-0000D7090000}"/>
    <cellStyle name="Calculation 2 3 7 3 2 2" xfId="24579" xr:uid="{00000000-0005-0000-0000-0000D8090000}"/>
    <cellStyle name="Calculation 2 3 7 3 3" xfId="15520" xr:uid="{00000000-0005-0000-0000-0000D9090000}"/>
    <cellStyle name="Calculation 2 3 7 3 3 2" xfId="30352" xr:uid="{00000000-0005-0000-0000-0000DA090000}"/>
    <cellStyle name="Calculation 2 3 7 3 4" xfId="22086" xr:uid="{00000000-0005-0000-0000-0000DB090000}"/>
    <cellStyle name="Calculation 2 3 7 4" xfId="4232" xr:uid="{00000000-0005-0000-0000-0000DC090000}"/>
    <cellStyle name="Calculation 2 3 7 4 2" xfId="8273" xr:uid="{00000000-0005-0000-0000-0000DD090000}"/>
    <cellStyle name="Calculation 2 3 7 4 2 2" xfId="23968" xr:uid="{00000000-0005-0000-0000-0000DE090000}"/>
    <cellStyle name="Calculation 2 3 7 4 3" xfId="14564" xr:uid="{00000000-0005-0000-0000-0000DF090000}"/>
    <cellStyle name="Calculation 2 3 7 4 3 2" xfId="29396" xr:uid="{00000000-0005-0000-0000-0000E0090000}"/>
    <cellStyle name="Calculation 2 3 7 4 4" xfId="21593" xr:uid="{00000000-0005-0000-0000-0000E1090000}"/>
    <cellStyle name="Calculation 2 3 7 5" xfId="6348" xr:uid="{00000000-0005-0000-0000-0000E2090000}"/>
    <cellStyle name="Calculation 2 3 7 5 2" xfId="22750" xr:uid="{00000000-0005-0000-0000-0000E3090000}"/>
    <cellStyle name="Calculation 2 3 7 6" xfId="12602" xr:uid="{00000000-0005-0000-0000-0000E4090000}"/>
    <cellStyle name="Calculation 2 3 7 6 2" xfId="27434" xr:uid="{00000000-0005-0000-0000-0000E5090000}"/>
    <cellStyle name="Calculation 2 3 7 7" xfId="20429" xr:uid="{00000000-0005-0000-0000-0000E6090000}"/>
    <cellStyle name="Calculation 2 3 8" xfId="3466" xr:uid="{00000000-0005-0000-0000-0000E7090000}"/>
    <cellStyle name="Calculation 2 3 8 2" xfId="7529" xr:uid="{00000000-0005-0000-0000-0000E8090000}"/>
    <cellStyle name="Calculation 2 3 8 2 2" xfId="23496" xr:uid="{00000000-0005-0000-0000-0000E9090000}"/>
    <cellStyle name="Calculation 2 3 8 3" xfId="13803" xr:uid="{00000000-0005-0000-0000-0000EA090000}"/>
    <cellStyle name="Calculation 2 3 8 3 2" xfId="28635" xr:uid="{00000000-0005-0000-0000-0000EB090000}"/>
    <cellStyle name="Calculation 2 3 8 4" xfId="21171" xr:uid="{00000000-0005-0000-0000-0000EC090000}"/>
    <cellStyle name="Calculation 2 3 9" xfId="3300" xr:uid="{00000000-0005-0000-0000-0000ED090000}"/>
    <cellStyle name="Calculation 2 3 9 2" xfId="7364" xr:uid="{00000000-0005-0000-0000-0000EE090000}"/>
    <cellStyle name="Calculation 2 3 9 2 2" xfId="23387" xr:uid="{00000000-0005-0000-0000-0000EF090000}"/>
    <cellStyle name="Calculation 2 3 9 3" xfId="13637" xr:uid="{00000000-0005-0000-0000-0000F0090000}"/>
    <cellStyle name="Calculation 2 3 9 3 2" xfId="28469" xr:uid="{00000000-0005-0000-0000-0000F1090000}"/>
    <cellStyle name="Calculation 2 3 9 4" xfId="21074" xr:uid="{00000000-0005-0000-0000-0000F2090000}"/>
    <cellStyle name="Calculation 2 4" xfId="965" xr:uid="{00000000-0005-0000-0000-0000F3090000}"/>
    <cellStyle name="Calculation 2 4 10" xfId="2271" xr:uid="{00000000-0005-0000-0000-0000F4090000}"/>
    <cellStyle name="Calculation 2 4 10 2" xfId="6383" xr:uid="{00000000-0005-0000-0000-0000F5090000}"/>
    <cellStyle name="Calculation 2 4 10 2 2" xfId="22785" xr:uid="{00000000-0005-0000-0000-0000F6090000}"/>
    <cellStyle name="Calculation 2 4 10 3" xfId="12611" xr:uid="{00000000-0005-0000-0000-0000F7090000}"/>
    <cellStyle name="Calculation 2 4 10 3 2" xfId="27443" xr:uid="{00000000-0005-0000-0000-0000F8090000}"/>
    <cellStyle name="Calculation 2 4 10 4" xfId="20437" xr:uid="{00000000-0005-0000-0000-0000F9090000}"/>
    <cellStyle name="Calculation 2 4 11" xfId="5237" xr:uid="{00000000-0005-0000-0000-0000FA090000}"/>
    <cellStyle name="Calculation 2 4 11 2" xfId="15553" xr:uid="{00000000-0005-0000-0000-0000FB090000}"/>
    <cellStyle name="Calculation 2 4 11 2 2" xfId="30385" xr:uid="{00000000-0005-0000-0000-0000FC090000}"/>
    <cellStyle name="Calculation 2 4 11 3" xfId="22094" xr:uid="{00000000-0005-0000-0000-0000FD090000}"/>
    <cellStyle name="Calculation 2 4 12" xfId="5395" xr:uid="{00000000-0005-0000-0000-0000FE090000}"/>
    <cellStyle name="Calculation 2 4 12 2" xfId="15631" xr:uid="{00000000-0005-0000-0000-0000FF090000}"/>
    <cellStyle name="Calculation 2 4 12 2 2" xfId="30463" xr:uid="{00000000-0005-0000-0000-0000000A0000}"/>
    <cellStyle name="Calculation 2 4 12 3" xfId="22156" xr:uid="{00000000-0005-0000-0000-0000010A0000}"/>
    <cellStyle name="Calculation 2 4 13" xfId="9396" xr:uid="{00000000-0005-0000-0000-0000020A0000}"/>
    <cellStyle name="Calculation 2 4 13 2" xfId="24702" xr:uid="{00000000-0005-0000-0000-0000030A0000}"/>
    <cellStyle name="Calculation 2 4 14" xfId="6787" xr:uid="{00000000-0005-0000-0000-0000040A0000}"/>
    <cellStyle name="Calculation 2 4 14 2" xfId="18771" xr:uid="{00000000-0005-0000-0000-0000050A0000}"/>
    <cellStyle name="Calculation 2 4 2" xfId="1307" xr:uid="{00000000-0005-0000-0000-0000060A0000}"/>
    <cellStyle name="Calculation 2 4 2 2" xfId="1811" xr:uid="{00000000-0005-0000-0000-0000070A0000}"/>
    <cellStyle name="Calculation 2 4 2 2 2" xfId="3377" xr:uid="{00000000-0005-0000-0000-0000080A0000}"/>
    <cellStyle name="Calculation 2 4 2 2 2 2" xfId="7440" xr:uid="{00000000-0005-0000-0000-0000090A0000}"/>
    <cellStyle name="Calculation 2 4 2 2 2 2 2" xfId="23435" xr:uid="{00000000-0005-0000-0000-00000A0A0000}"/>
    <cellStyle name="Calculation 2 4 2 2 2 3" xfId="13714" xr:uid="{00000000-0005-0000-0000-00000B0A0000}"/>
    <cellStyle name="Calculation 2 4 2 2 2 3 2" xfId="28546" xr:uid="{00000000-0005-0000-0000-00000C0A0000}"/>
    <cellStyle name="Calculation 2 4 2 2 2 4" xfId="21117" xr:uid="{00000000-0005-0000-0000-00000D0A0000}"/>
    <cellStyle name="Calculation 2 4 2 2 3" xfId="4789" xr:uid="{00000000-0005-0000-0000-00000E0A0000}"/>
    <cellStyle name="Calculation 2 4 2 2 3 2" xfId="8828" xr:uid="{00000000-0005-0000-0000-00000F0A0000}"/>
    <cellStyle name="Calculation 2 4 2 2 3 2 2" xfId="24326" xr:uid="{00000000-0005-0000-0000-0000100A0000}"/>
    <cellStyle name="Calculation 2 4 2 2 3 3" xfId="15113" xr:uid="{00000000-0005-0000-0000-0000110A0000}"/>
    <cellStyle name="Calculation 2 4 2 2 3 3 2" xfId="29945" xr:uid="{00000000-0005-0000-0000-0000120A0000}"/>
    <cellStyle name="Calculation 2 4 2 2 3 4" xfId="21864" xr:uid="{00000000-0005-0000-0000-0000130A0000}"/>
    <cellStyle name="Calculation 2 4 2 2 4" xfId="2779" xr:uid="{00000000-0005-0000-0000-0000140A0000}"/>
    <cellStyle name="Calculation 2 4 2 2 4 2" xfId="6870" xr:uid="{00000000-0005-0000-0000-0000150A0000}"/>
    <cellStyle name="Calculation 2 4 2 2 4 2 2" xfId="23077" xr:uid="{00000000-0005-0000-0000-0000160A0000}"/>
    <cellStyle name="Calculation 2 4 2 2 4 3" xfId="13117" xr:uid="{00000000-0005-0000-0000-0000170A0000}"/>
    <cellStyle name="Calculation 2 4 2 2 4 3 2" xfId="27949" xr:uid="{00000000-0005-0000-0000-0000180A0000}"/>
    <cellStyle name="Calculation 2 4 2 2 4 4" xfId="20737" xr:uid="{00000000-0005-0000-0000-0000190A0000}"/>
    <cellStyle name="Calculation 2 4 2 2 5" xfId="5943" xr:uid="{00000000-0005-0000-0000-00001A0A0000}"/>
    <cellStyle name="Calculation 2 4 2 2 5 2" xfId="16135" xr:uid="{00000000-0005-0000-0000-00001B0A0000}"/>
    <cellStyle name="Calculation 2 4 2 2 5 2 2" xfId="30967" xr:uid="{00000000-0005-0000-0000-00001C0A0000}"/>
    <cellStyle name="Calculation 2 4 2 2 5 3" xfId="22508" xr:uid="{00000000-0005-0000-0000-00001D0A0000}"/>
    <cellStyle name="Calculation 2 4 2 2 6" xfId="12205" xr:uid="{00000000-0005-0000-0000-00001E0A0000}"/>
    <cellStyle name="Calculation 2 4 2 2 6 2" xfId="27037" xr:uid="{00000000-0005-0000-0000-00001F0A0000}"/>
    <cellStyle name="Calculation 2 4 2 2 7" xfId="9801" xr:uid="{00000000-0005-0000-0000-0000200A0000}"/>
    <cellStyle name="Calculation 2 4 2 2 7 2" xfId="20052" xr:uid="{00000000-0005-0000-0000-0000210A0000}"/>
    <cellStyle name="Calculation 2 4 2 3" xfId="3130" xr:uid="{00000000-0005-0000-0000-0000220A0000}"/>
    <cellStyle name="Calculation 2 4 2 3 2" xfId="7194" xr:uid="{00000000-0005-0000-0000-0000230A0000}"/>
    <cellStyle name="Calculation 2 4 2 3 2 2" xfId="23266" xr:uid="{00000000-0005-0000-0000-0000240A0000}"/>
    <cellStyle name="Calculation 2 4 2 3 3" xfId="13468" xr:uid="{00000000-0005-0000-0000-0000250A0000}"/>
    <cellStyle name="Calculation 2 4 2 3 3 2" xfId="28300" xr:uid="{00000000-0005-0000-0000-0000260A0000}"/>
    <cellStyle name="Calculation 2 4 2 3 4" xfId="20957" xr:uid="{00000000-0005-0000-0000-0000270A0000}"/>
    <cellStyle name="Calculation 2 4 2 4" xfId="4369" xr:uid="{00000000-0005-0000-0000-0000280A0000}"/>
    <cellStyle name="Calculation 2 4 2 4 2" xfId="8408" xr:uid="{00000000-0005-0000-0000-0000290A0000}"/>
    <cellStyle name="Calculation 2 4 2 4 2 2" xfId="24066" xr:uid="{00000000-0005-0000-0000-00002A0A0000}"/>
    <cellStyle name="Calculation 2 4 2 4 3" xfId="14698" xr:uid="{00000000-0005-0000-0000-00002B0A0000}"/>
    <cellStyle name="Calculation 2 4 2 4 3 2" xfId="29530" xr:uid="{00000000-0005-0000-0000-00002C0A0000}"/>
    <cellStyle name="Calculation 2 4 2 4 4" xfId="21634" xr:uid="{00000000-0005-0000-0000-00002D0A0000}"/>
    <cellStyle name="Calculation 2 4 2 5" xfId="2359" xr:uid="{00000000-0005-0000-0000-00002E0A0000}"/>
    <cellStyle name="Calculation 2 4 2 5 2" xfId="6471" xr:uid="{00000000-0005-0000-0000-00002F0A0000}"/>
    <cellStyle name="Calculation 2 4 2 5 2 2" xfId="22841" xr:uid="{00000000-0005-0000-0000-0000300A0000}"/>
    <cellStyle name="Calculation 2 4 2 5 3" xfId="12698" xr:uid="{00000000-0005-0000-0000-0000310A0000}"/>
    <cellStyle name="Calculation 2 4 2 5 3 2" xfId="27530" xr:uid="{00000000-0005-0000-0000-0000320A0000}"/>
    <cellStyle name="Calculation 2 4 2 5 4" xfId="20483" xr:uid="{00000000-0005-0000-0000-0000330A0000}"/>
    <cellStyle name="Calculation 2 4 2 6" xfId="5484" xr:uid="{00000000-0005-0000-0000-0000340A0000}"/>
    <cellStyle name="Calculation 2 4 2 6 2" xfId="15719" xr:uid="{00000000-0005-0000-0000-0000350A0000}"/>
    <cellStyle name="Calculation 2 4 2 6 2 2" xfId="30551" xr:uid="{00000000-0005-0000-0000-0000360A0000}"/>
    <cellStyle name="Calculation 2 4 2 6 3" xfId="22212" xr:uid="{00000000-0005-0000-0000-0000370A0000}"/>
    <cellStyle name="Calculation 2 4 2 7" xfId="11734" xr:uid="{00000000-0005-0000-0000-0000380A0000}"/>
    <cellStyle name="Calculation 2 4 2 7 2" xfId="26566" xr:uid="{00000000-0005-0000-0000-0000390A0000}"/>
    <cellStyle name="Calculation 2 4 2 8" xfId="9405" xr:uid="{00000000-0005-0000-0000-00003A0A0000}"/>
    <cellStyle name="Calculation 2 4 2 8 2" xfId="19709" xr:uid="{00000000-0005-0000-0000-00003B0A0000}"/>
    <cellStyle name="Calculation 2 4 3" xfId="1441" xr:uid="{00000000-0005-0000-0000-00003C0A0000}"/>
    <cellStyle name="Calculation 2 4 3 2" xfId="1942" xr:uid="{00000000-0005-0000-0000-00003D0A0000}"/>
    <cellStyle name="Calculation 2 4 3 2 2" xfId="3804" xr:uid="{00000000-0005-0000-0000-00003E0A0000}"/>
    <cellStyle name="Calculation 2 4 3 2 2 2" xfId="7859" xr:uid="{00000000-0005-0000-0000-00003F0A0000}"/>
    <cellStyle name="Calculation 2 4 3 2 2 2 2" xfId="23711" xr:uid="{00000000-0005-0000-0000-0000400A0000}"/>
    <cellStyle name="Calculation 2 4 3 2 2 3" xfId="14139" xr:uid="{00000000-0005-0000-0000-0000410A0000}"/>
    <cellStyle name="Calculation 2 4 3 2 2 3 2" xfId="28971" xr:uid="{00000000-0005-0000-0000-0000420A0000}"/>
    <cellStyle name="Calculation 2 4 3 2 2 4" xfId="21362" xr:uid="{00000000-0005-0000-0000-0000430A0000}"/>
    <cellStyle name="Calculation 2 4 3 2 3" xfId="4921" xr:uid="{00000000-0005-0000-0000-0000440A0000}"/>
    <cellStyle name="Calculation 2 4 3 2 3 2" xfId="8960" xr:uid="{00000000-0005-0000-0000-0000450A0000}"/>
    <cellStyle name="Calculation 2 4 3 2 3 2 2" xfId="24426" xr:uid="{00000000-0005-0000-0000-0000460A0000}"/>
    <cellStyle name="Calculation 2 4 3 2 3 3" xfId="15243" xr:uid="{00000000-0005-0000-0000-0000470A0000}"/>
    <cellStyle name="Calculation 2 4 3 2 3 3 2" xfId="30075" xr:uid="{00000000-0005-0000-0000-0000480A0000}"/>
    <cellStyle name="Calculation 2 4 3 2 3 4" xfId="21956" xr:uid="{00000000-0005-0000-0000-0000490A0000}"/>
    <cellStyle name="Calculation 2 4 3 2 4" xfId="2911" xr:uid="{00000000-0005-0000-0000-00004A0A0000}"/>
    <cellStyle name="Calculation 2 4 3 2 4 2" xfId="6995" xr:uid="{00000000-0005-0000-0000-00004B0A0000}"/>
    <cellStyle name="Calculation 2 4 3 2 4 2 2" xfId="23169" xr:uid="{00000000-0005-0000-0000-00004C0A0000}"/>
    <cellStyle name="Calculation 2 4 3 2 4 3" xfId="13249" xr:uid="{00000000-0005-0000-0000-00004D0A0000}"/>
    <cellStyle name="Calculation 2 4 3 2 4 3 2" xfId="28081" xr:uid="{00000000-0005-0000-0000-00004E0A0000}"/>
    <cellStyle name="Calculation 2 4 3 2 4 4" xfId="20837" xr:uid="{00000000-0005-0000-0000-00004F0A0000}"/>
    <cellStyle name="Calculation 2 4 3 2 5" xfId="6072" xr:uid="{00000000-0005-0000-0000-0000500A0000}"/>
    <cellStyle name="Calculation 2 4 3 2 5 2" xfId="16259" xr:uid="{00000000-0005-0000-0000-0000510A0000}"/>
    <cellStyle name="Calculation 2 4 3 2 5 2 2" xfId="31091" xr:uid="{00000000-0005-0000-0000-0000520A0000}"/>
    <cellStyle name="Calculation 2 4 3 2 5 3" xfId="22605" xr:uid="{00000000-0005-0000-0000-0000530A0000}"/>
    <cellStyle name="Calculation 2 4 3 2 6" xfId="12329" xr:uid="{00000000-0005-0000-0000-0000540A0000}"/>
    <cellStyle name="Calculation 2 4 3 2 6 2" xfId="27161" xr:uid="{00000000-0005-0000-0000-0000550A0000}"/>
    <cellStyle name="Calculation 2 4 3 2 7" xfId="9926" xr:uid="{00000000-0005-0000-0000-0000560A0000}"/>
    <cellStyle name="Calculation 2 4 3 2 7 2" xfId="20128" xr:uid="{00000000-0005-0000-0000-0000570A0000}"/>
    <cellStyle name="Calculation 2 4 3 3" xfId="3820" xr:uid="{00000000-0005-0000-0000-0000580A0000}"/>
    <cellStyle name="Calculation 2 4 3 3 2" xfId="7873" xr:uid="{00000000-0005-0000-0000-0000590A0000}"/>
    <cellStyle name="Calculation 2 4 3 3 2 2" xfId="23720" xr:uid="{00000000-0005-0000-0000-00005A0A0000}"/>
    <cellStyle name="Calculation 2 4 3 3 3" xfId="14155" xr:uid="{00000000-0005-0000-0000-00005B0A0000}"/>
    <cellStyle name="Calculation 2 4 3 3 3 2" xfId="28987" xr:uid="{00000000-0005-0000-0000-00005C0A0000}"/>
    <cellStyle name="Calculation 2 4 3 3 4" xfId="21368" xr:uid="{00000000-0005-0000-0000-00005D0A0000}"/>
    <cellStyle name="Calculation 2 4 3 4" xfId="4501" xr:uid="{00000000-0005-0000-0000-00005E0A0000}"/>
    <cellStyle name="Calculation 2 4 3 4 2" xfId="8540" xr:uid="{00000000-0005-0000-0000-00005F0A0000}"/>
    <cellStyle name="Calculation 2 4 3 4 2 2" xfId="24166" xr:uid="{00000000-0005-0000-0000-0000600A0000}"/>
    <cellStyle name="Calculation 2 4 3 4 3" xfId="14828" xr:uid="{00000000-0005-0000-0000-0000610A0000}"/>
    <cellStyle name="Calculation 2 4 3 4 3 2" xfId="29660" xr:uid="{00000000-0005-0000-0000-0000620A0000}"/>
    <cellStyle name="Calculation 2 4 3 4 4" xfId="21726" xr:uid="{00000000-0005-0000-0000-0000630A0000}"/>
    <cellStyle name="Calculation 2 4 3 5" xfId="2491" xr:uid="{00000000-0005-0000-0000-0000640A0000}"/>
    <cellStyle name="Calculation 2 4 3 5 2" xfId="6597" xr:uid="{00000000-0005-0000-0000-0000650A0000}"/>
    <cellStyle name="Calculation 2 4 3 5 2 2" xfId="22935" xr:uid="{00000000-0005-0000-0000-0000660A0000}"/>
    <cellStyle name="Calculation 2 4 3 5 3" xfId="12829" xr:uid="{00000000-0005-0000-0000-0000670A0000}"/>
    <cellStyle name="Calculation 2 4 3 5 3 2" xfId="27661" xr:uid="{00000000-0005-0000-0000-0000680A0000}"/>
    <cellStyle name="Calculation 2 4 3 5 4" xfId="20581" xr:uid="{00000000-0005-0000-0000-0000690A0000}"/>
    <cellStyle name="Calculation 2 4 3 6" xfId="5614" xr:uid="{00000000-0005-0000-0000-00006A0A0000}"/>
    <cellStyle name="Calculation 2 4 3 6 2" xfId="15849" xr:uid="{00000000-0005-0000-0000-00006B0A0000}"/>
    <cellStyle name="Calculation 2 4 3 6 2 2" xfId="30681" xr:uid="{00000000-0005-0000-0000-00006C0A0000}"/>
    <cellStyle name="Calculation 2 4 3 6 3" xfId="22310" xr:uid="{00000000-0005-0000-0000-00006D0A0000}"/>
    <cellStyle name="Calculation 2 4 3 7" xfId="11858" xr:uid="{00000000-0005-0000-0000-00006E0A0000}"/>
    <cellStyle name="Calculation 2 4 3 7 2" xfId="26690" xr:uid="{00000000-0005-0000-0000-00006F0A0000}"/>
    <cellStyle name="Calculation 2 4 3 8" xfId="9531" xr:uid="{00000000-0005-0000-0000-0000700A0000}"/>
    <cellStyle name="Calculation 2 4 3 8 2" xfId="19833" xr:uid="{00000000-0005-0000-0000-0000710A0000}"/>
    <cellStyle name="Calculation 2 4 4" xfId="1413" xr:uid="{00000000-0005-0000-0000-0000720A0000}"/>
    <cellStyle name="Calculation 2 4 4 2" xfId="1915" xr:uid="{00000000-0005-0000-0000-0000730A0000}"/>
    <cellStyle name="Calculation 2 4 4 2 2" xfId="3827" xr:uid="{00000000-0005-0000-0000-0000740A0000}"/>
    <cellStyle name="Calculation 2 4 4 2 2 2" xfId="7880" xr:uid="{00000000-0005-0000-0000-0000750A0000}"/>
    <cellStyle name="Calculation 2 4 4 2 2 2 2" xfId="23723" xr:uid="{00000000-0005-0000-0000-0000760A0000}"/>
    <cellStyle name="Calculation 2 4 4 2 2 3" xfId="14162" xr:uid="{00000000-0005-0000-0000-0000770A0000}"/>
    <cellStyle name="Calculation 2 4 4 2 2 3 2" xfId="28994" xr:uid="{00000000-0005-0000-0000-0000780A0000}"/>
    <cellStyle name="Calculation 2 4 4 2 2 4" xfId="21371" xr:uid="{00000000-0005-0000-0000-0000790A0000}"/>
    <cellStyle name="Calculation 2 4 4 2 3" xfId="4893" xr:uid="{00000000-0005-0000-0000-00007A0A0000}"/>
    <cellStyle name="Calculation 2 4 4 2 3 2" xfId="8932" xr:uid="{00000000-0005-0000-0000-00007B0A0000}"/>
    <cellStyle name="Calculation 2 4 4 2 3 2 2" xfId="24398" xr:uid="{00000000-0005-0000-0000-00007C0A0000}"/>
    <cellStyle name="Calculation 2 4 4 2 3 3" xfId="15216" xr:uid="{00000000-0005-0000-0000-00007D0A0000}"/>
    <cellStyle name="Calculation 2 4 4 2 3 3 2" xfId="30048" xr:uid="{00000000-0005-0000-0000-00007E0A0000}"/>
    <cellStyle name="Calculation 2 4 4 2 3 4" xfId="21930" xr:uid="{00000000-0005-0000-0000-00007F0A0000}"/>
    <cellStyle name="Calculation 2 4 4 2 4" xfId="2883" xr:uid="{00000000-0005-0000-0000-0000800A0000}"/>
    <cellStyle name="Calculation 2 4 4 2 4 2" xfId="6968" xr:uid="{00000000-0005-0000-0000-0000810A0000}"/>
    <cellStyle name="Calculation 2 4 4 2 4 2 2" xfId="23143" xr:uid="{00000000-0005-0000-0000-0000820A0000}"/>
    <cellStyle name="Calculation 2 4 4 2 4 3" xfId="13221" xr:uid="{00000000-0005-0000-0000-0000830A0000}"/>
    <cellStyle name="Calculation 2 4 4 2 4 3 2" xfId="28053" xr:uid="{00000000-0005-0000-0000-0000840A0000}"/>
    <cellStyle name="Calculation 2 4 4 2 4 4" xfId="20809" xr:uid="{00000000-0005-0000-0000-0000850A0000}"/>
    <cellStyle name="Calculation 2 4 4 2 5" xfId="6046" xr:uid="{00000000-0005-0000-0000-0000860A0000}"/>
    <cellStyle name="Calculation 2 4 4 2 5 2" xfId="16233" xr:uid="{00000000-0005-0000-0000-0000870A0000}"/>
    <cellStyle name="Calculation 2 4 4 2 5 2 2" xfId="31065" xr:uid="{00000000-0005-0000-0000-0000880A0000}"/>
    <cellStyle name="Calculation 2 4 4 2 5 3" xfId="22579" xr:uid="{00000000-0005-0000-0000-0000890A0000}"/>
    <cellStyle name="Calculation 2 4 4 2 6" xfId="12303" xr:uid="{00000000-0005-0000-0000-00008A0A0000}"/>
    <cellStyle name="Calculation 2 4 4 2 6 2" xfId="27135" xr:uid="{00000000-0005-0000-0000-00008B0A0000}"/>
    <cellStyle name="Calculation 2 4 4 2 7" xfId="9899" xr:uid="{00000000-0005-0000-0000-00008C0A0000}"/>
    <cellStyle name="Calculation 2 4 4 2 7 2" xfId="20102" xr:uid="{00000000-0005-0000-0000-00008D0A0000}"/>
    <cellStyle name="Calculation 2 4 4 3" xfId="3716" xr:uid="{00000000-0005-0000-0000-00008E0A0000}"/>
    <cellStyle name="Calculation 2 4 4 3 2" xfId="7772" xr:uid="{00000000-0005-0000-0000-00008F0A0000}"/>
    <cellStyle name="Calculation 2 4 4 3 2 2" xfId="23653" xr:uid="{00000000-0005-0000-0000-0000900A0000}"/>
    <cellStyle name="Calculation 2 4 4 3 3" xfId="14051" xr:uid="{00000000-0005-0000-0000-0000910A0000}"/>
    <cellStyle name="Calculation 2 4 4 3 3 2" xfId="28883" xr:uid="{00000000-0005-0000-0000-0000920A0000}"/>
    <cellStyle name="Calculation 2 4 4 3 4" xfId="21313" xr:uid="{00000000-0005-0000-0000-0000930A0000}"/>
    <cellStyle name="Calculation 2 4 4 4" xfId="4473" xr:uid="{00000000-0005-0000-0000-0000940A0000}"/>
    <cellStyle name="Calculation 2 4 4 4 2" xfId="8512" xr:uid="{00000000-0005-0000-0000-0000950A0000}"/>
    <cellStyle name="Calculation 2 4 4 4 2 2" xfId="24138" xr:uid="{00000000-0005-0000-0000-0000960A0000}"/>
    <cellStyle name="Calculation 2 4 4 4 3" xfId="14801" xr:uid="{00000000-0005-0000-0000-0000970A0000}"/>
    <cellStyle name="Calculation 2 4 4 4 3 2" xfId="29633" xr:uid="{00000000-0005-0000-0000-0000980A0000}"/>
    <cellStyle name="Calculation 2 4 4 4 4" xfId="21700" xr:uid="{00000000-0005-0000-0000-0000990A0000}"/>
    <cellStyle name="Calculation 2 4 4 5" xfId="2463" xr:uid="{00000000-0005-0000-0000-00009A0A0000}"/>
    <cellStyle name="Calculation 2 4 4 5 2" xfId="6569" xr:uid="{00000000-0005-0000-0000-00009B0A0000}"/>
    <cellStyle name="Calculation 2 4 4 5 2 2" xfId="22907" xr:uid="{00000000-0005-0000-0000-00009C0A0000}"/>
    <cellStyle name="Calculation 2 4 4 5 3" xfId="12802" xr:uid="{00000000-0005-0000-0000-00009D0A0000}"/>
    <cellStyle name="Calculation 2 4 4 5 3 2" xfId="27634" xr:uid="{00000000-0005-0000-0000-00009E0A0000}"/>
    <cellStyle name="Calculation 2 4 4 5 4" xfId="20555" xr:uid="{00000000-0005-0000-0000-00009F0A0000}"/>
    <cellStyle name="Calculation 2 4 4 6" xfId="5587" xr:uid="{00000000-0005-0000-0000-0000A00A0000}"/>
    <cellStyle name="Calculation 2 4 4 6 2" xfId="15822" xr:uid="{00000000-0005-0000-0000-0000A10A0000}"/>
    <cellStyle name="Calculation 2 4 4 6 2 2" xfId="30654" xr:uid="{00000000-0005-0000-0000-0000A20A0000}"/>
    <cellStyle name="Calculation 2 4 4 6 3" xfId="22283" xr:uid="{00000000-0005-0000-0000-0000A30A0000}"/>
    <cellStyle name="Calculation 2 4 4 7" xfId="11832" xr:uid="{00000000-0005-0000-0000-0000A40A0000}"/>
    <cellStyle name="Calculation 2 4 4 7 2" xfId="26664" xr:uid="{00000000-0005-0000-0000-0000A50A0000}"/>
    <cellStyle name="Calculation 2 4 4 8" xfId="9504" xr:uid="{00000000-0005-0000-0000-0000A60A0000}"/>
    <cellStyle name="Calculation 2 4 4 8 2" xfId="19807" xr:uid="{00000000-0005-0000-0000-0000A70A0000}"/>
    <cellStyle name="Calculation 2 4 5" xfId="1427" xr:uid="{00000000-0005-0000-0000-0000A80A0000}"/>
    <cellStyle name="Calculation 2 4 5 2" xfId="1928" xr:uid="{00000000-0005-0000-0000-0000A90A0000}"/>
    <cellStyle name="Calculation 2 4 5 2 2" xfId="3885" xr:uid="{00000000-0005-0000-0000-0000AA0A0000}"/>
    <cellStyle name="Calculation 2 4 5 2 2 2" xfId="7936" xr:uid="{00000000-0005-0000-0000-0000AB0A0000}"/>
    <cellStyle name="Calculation 2 4 5 2 2 2 2" xfId="23760" xr:uid="{00000000-0005-0000-0000-0000AC0A0000}"/>
    <cellStyle name="Calculation 2 4 5 2 2 3" xfId="14219" xr:uid="{00000000-0005-0000-0000-0000AD0A0000}"/>
    <cellStyle name="Calculation 2 4 5 2 2 3 2" xfId="29051" xr:uid="{00000000-0005-0000-0000-0000AE0A0000}"/>
    <cellStyle name="Calculation 2 4 5 2 2 4" xfId="21402" xr:uid="{00000000-0005-0000-0000-0000AF0A0000}"/>
    <cellStyle name="Calculation 2 4 5 2 3" xfId="4907" xr:uid="{00000000-0005-0000-0000-0000B00A0000}"/>
    <cellStyle name="Calculation 2 4 5 2 3 2" xfId="8946" xr:uid="{00000000-0005-0000-0000-0000B10A0000}"/>
    <cellStyle name="Calculation 2 4 5 2 3 2 2" xfId="24412" xr:uid="{00000000-0005-0000-0000-0000B20A0000}"/>
    <cellStyle name="Calculation 2 4 5 2 3 3" xfId="15229" xr:uid="{00000000-0005-0000-0000-0000B30A0000}"/>
    <cellStyle name="Calculation 2 4 5 2 3 3 2" xfId="30061" xr:uid="{00000000-0005-0000-0000-0000B40A0000}"/>
    <cellStyle name="Calculation 2 4 5 2 3 4" xfId="21942" xr:uid="{00000000-0005-0000-0000-0000B50A0000}"/>
    <cellStyle name="Calculation 2 4 5 2 4" xfId="2897" xr:uid="{00000000-0005-0000-0000-0000B60A0000}"/>
    <cellStyle name="Calculation 2 4 5 2 4 2" xfId="6981" xr:uid="{00000000-0005-0000-0000-0000B70A0000}"/>
    <cellStyle name="Calculation 2 4 5 2 4 2 2" xfId="23155" xr:uid="{00000000-0005-0000-0000-0000B80A0000}"/>
    <cellStyle name="Calculation 2 4 5 2 4 3" xfId="13235" xr:uid="{00000000-0005-0000-0000-0000B90A0000}"/>
    <cellStyle name="Calculation 2 4 5 2 4 3 2" xfId="28067" xr:uid="{00000000-0005-0000-0000-0000BA0A0000}"/>
    <cellStyle name="Calculation 2 4 5 2 4 4" xfId="20823" xr:uid="{00000000-0005-0000-0000-0000BB0A0000}"/>
    <cellStyle name="Calculation 2 4 5 2 5" xfId="6058" xr:uid="{00000000-0005-0000-0000-0000BC0A0000}"/>
    <cellStyle name="Calculation 2 4 5 2 5 2" xfId="16245" xr:uid="{00000000-0005-0000-0000-0000BD0A0000}"/>
    <cellStyle name="Calculation 2 4 5 2 5 2 2" xfId="31077" xr:uid="{00000000-0005-0000-0000-0000BE0A0000}"/>
    <cellStyle name="Calculation 2 4 5 2 5 3" xfId="22591" xr:uid="{00000000-0005-0000-0000-0000BF0A0000}"/>
    <cellStyle name="Calculation 2 4 5 2 6" xfId="12315" xr:uid="{00000000-0005-0000-0000-0000C00A0000}"/>
    <cellStyle name="Calculation 2 4 5 2 6 2" xfId="27147" xr:uid="{00000000-0005-0000-0000-0000C10A0000}"/>
    <cellStyle name="Calculation 2 4 5 2 7" xfId="9912" xr:uid="{00000000-0005-0000-0000-0000C20A0000}"/>
    <cellStyle name="Calculation 2 4 5 2 7 2" xfId="20114" xr:uid="{00000000-0005-0000-0000-0000C30A0000}"/>
    <cellStyle name="Calculation 2 4 5 3" xfId="3647" xr:uid="{00000000-0005-0000-0000-0000C40A0000}"/>
    <cellStyle name="Calculation 2 4 5 3 2" xfId="7706" xr:uid="{00000000-0005-0000-0000-0000C50A0000}"/>
    <cellStyle name="Calculation 2 4 5 3 2 2" xfId="23606" xr:uid="{00000000-0005-0000-0000-0000C60A0000}"/>
    <cellStyle name="Calculation 2 4 5 3 3" xfId="13982" xr:uid="{00000000-0005-0000-0000-0000C70A0000}"/>
    <cellStyle name="Calculation 2 4 5 3 3 2" xfId="28814" xr:uid="{00000000-0005-0000-0000-0000C80A0000}"/>
    <cellStyle name="Calculation 2 4 5 3 4" xfId="21271" xr:uid="{00000000-0005-0000-0000-0000C90A0000}"/>
    <cellStyle name="Calculation 2 4 5 4" xfId="4487" xr:uid="{00000000-0005-0000-0000-0000CA0A0000}"/>
    <cellStyle name="Calculation 2 4 5 4 2" xfId="8526" xr:uid="{00000000-0005-0000-0000-0000CB0A0000}"/>
    <cellStyle name="Calculation 2 4 5 4 2 2" xfId="24152" xr:uid="{00000000-0005-0000-0000-0000CC0A0000}"/>
    <cellStyle name="Calculation 2 4 5 4 3" xfId="14814" xr:uid="{00000000-0005-0000-0000-0000CD0A0000}"/>
    <cellStyle name="Calculation 2 4 5 4 3 2" xfId="29646" xr:uid="{00000000-0005-0000-0000-0000CE0A0000}"/>
    <cellStyle name="Calculation 2 4 5 4 4" xfId="21712" xr:uid="{00000000-0005-0000-0000-0000CF0A0000}"/>
    <cellStyle name="Calculation 2 4 5 5" xfId="2477" xr:uid="{00000000-0005-0000-0000-0000D00A0000}"/>
    <cellStyle name="Calculation 2 4 5 5 2" xfId="6583" xr:uid="{00000000-0005-0000-0000-0000D10A0000}"/>
    <cellStyle name="Calculation 2 4 5 5 2 2" xfId="22921" xr:uid="{00000000-0005-0000-0000-0000D20A0000}"/>
    <cellStyle name="Calculation 2 4 5 5 3" xfId="12815" xr:uid="{00000000-0005-0000-0000-0000D30A0000}"/>
    <cellStyle name="Calculation 2 4 5 5 3 2" xfId="27647" xr:uid="{00000000-0005-0000-0000-0000D40A0000}"/>
    <cellStyle name="Calculation 2 4 5 5 4" xfId="20567" xr:uid="{00000000-0005-0000-0000-0000D50A0000}"/>
    <cellStyle name="Calculation 2 4 5 6" xfId="5600" xr:uid="{00000000-0005-0000-0000-0000D60A0000}"/>
    <cellStyle name="Calculation 2 4 5 6 2" xfId="15835" xr:uid="{00000000-0005-0000-0000-0000D70A0000}"/>
    <cellStyle name="Calculation 2 4 5 6 2 2" xfId="30667" xr:uid="{00000000-0005-0000-0000-0000D80A0000}"/>
    <cellStyle name="Calculation 2 4 5 6 3" xfId="22296" xr:uid="{00000000-0005-0000-0000-0000D90A0000}"/>
    <cellStyle name="Calculation 2 4 5 7" xfId="11844" xr:uid="{00000000-0005-0000-0000-0000DA0A0000}"/>
    <cellStyle name="Calculation 2 4 5 7 2" xfId="26676" xr:uid="{00000000-0005-0000-0000-0000DB0A0000}"/>
    <cellStyle name="Calculation 2 4 5 8" xfId="9517" xr:uid="{00000000-0005-0000-0000-0000DC0A0000}"/>
    <cellStyle name="Calculation 2 4 5 8 2" xfId="19819" xr:uid="{00000000-0005-0000-0000-0000DD0A0000}"/>
    <cellStyle name="Calculation 2 4 6" xfId="1718" xr:uid="{00000000-0005-0000-0000-0000DE0A0000}"/>
    <cellStyle name="Calculation 2 4 6 2" xfId="3842" xr:uid="{00000000-0005-0000-0000-0000DF0A0000}"/>
    <cellStyle name="Calculation 2 4 6 2 2" xfId="7895" xr:uid="{00000000-0005-0000-0000-0000E00A0000}"/>
    <cellStyle name="Calculation 2 4 6 2 2 2" xfId="23732" xr:uid="{00000000-0005-0000-0000-0000E10A0000}"/>
    <cellStyle name="Calculation 2 4 6 2 3" xfId="14177" xr:uid="{00000000-0005-0000-0000-0000E20A0000}"/>
    <cellStyle name="Calculation 2 4 6 2 3 2" xfId="29009" xr:uid="{00000000-0005-0000-0000-0000E30A0000}"/>
    <cellStyle name="Calculation 2 4 6 2 4" xfId="21379" xr:uid="{00000000-0005-0000-0000-0000E40A0000}"/>
    <cellStyle name="Calculation 2 4 6 3" xfId="4711" xr:uid="{00000000-0005-0000-0000-0000E50A0000}"/>
    <cellStyle name="Calculation 2 4 6 3 2" xfId="8750" xr:uid="{00000000-0005-0000-0000-0000E60A0000}"/>
    <cellStyle name="Calculation 2 4 6 3 2 2" xfId="24280" xr:uid="{00000000-0005-0000-0000-0000E70A0000}"/>
    <cellStyle name="Calculation 2 4 6 3 3" xfId="15035" xr:uid="{00000000-0005-0000-0000-0000E80A0000}"/>
    <cellStyle name="Calculation 2 4 6 3 3 2" xfId="29867" xr:uid="{00000000-0005-0000-0000-0000E90A0000}"/>
    <cellStyle name="Calculation 2 4 6 3 4" xfId="21818" xr:uid="{00000000-0005-0000-0000-0000EA0A0000}"/>
    <cellStyle name="Calculation 2 4 6 4" xfId="2701" xr:uid="{00000000-0005-0000-0000-0000EB0A0000}"/>
    <cellStyle name="Calculation 2 4 6 4 2" xfId="6792" xr:uid="{00000000-0005-0000-0000-0000EC0A0000}"/>
    <cellStyle name="Calculation 2 4 6 4 2 2" xfId="23031" xr:uid="{00000000-0005-0000-0000-0000ED0A0000}"/>
    <cellStyle name="Calculation 2 4 6 4 3" xfId="13039" xr:uid="{00000000-0005-0000-0000-0000EE0A0000}"/>
    <cellStyle name="Calculation 2 4 6 4 3 2" xfId="27871" xr:uid="{00000000-0005-0000-0000-0000EF0A0000}"/>
    <cellStyle name="Calculation 2 4 6 4 4" xfId="20691" xr:uid="{00000000-0005-0000-0000-0000F00A0000}"/>
    <cellStyle name="Calculation 2 4 6 5" xfId="5850" xr:uid="{00000000-0005-0000-0000-0000F10A0000}"/>
    <cellStyle name="Calculation 2 4 6 5 2" xfId="16042" xr:uid="{00000000-0005-0000-0000-0000F20A0000}"/>
    <cellStyle name="Calculation 2 4 6 5 2 2" xfId="30874" xr:uid="{00000000-0005-0000-0000-0000F30A0000}"/>
    <cellStyle name="Calculation 2 4 6 5 3" xfId="22447" xr:uid="{00000000-0005-0000-0000-0000F40A0000}"/>
    <cellStyle name="Calculation 2 4 6 6" xfId="12112" xr:uid="{00000000-0005-0000-0000-0000F50A0000}"/>
    <cellStyle name="Calculation 2 4 6 6 2" xfId="26944" xr:uid="{00000000-0005-0000-0000-0000F60A0000}"/>
    <cellStyle name="Calculation 2 4 6 7" xfId="9723" xr:uid="{00000000-0005-0000-0000-0000F70A0000}"/>
    <cellStyle name="Calculation 2 4 6 7 2" xfId="20021" xr:uid="{00000000-0005-0000-0000-0000F80A0000}"/>
    <cellStyle name="Calculation 2 4 7" xfId="2233" xr:uid="{00000000-0005-0000-0000-0000F90A0000}"/>
    <cellStyle name="Calculation 2 4 7 2" xfId="3131" xr:uid="{00000000-0005-0000-0000-0000FA0A0000}"/>
    <cellStyle name="Calculation 2 4 7 2 2" xfId="7195" xr:uid="{00000000-0005-0000-0000-0000FB0A0000}"/>
    <cellStyle name="Calculation 2 4 7 2 2 2" xfId="23267" xr:uid="{00000000-0005-0000-0000-0000FC0A0000}"/>
    <cellStyle name="Calculation 2 4 7 2 3" xfId="13469" xr:uid="{00000000-0005-0000-0000-0000FD0A0000}"/>
    <cellStyle name="Calculation 2 4 7 2 3 2" xfId="28301" xr:uid="{00000000-0005-0000-0000-0000FE0A0000}"/>
    <cellStyle name="Calculation 2 4 7 2 4" xfId="20958" xr:uid="{00000000-0005-0000-0000-0000FF0A0000}"/>
    <cellStyle name="Calculation 2 4 7 3" xfId="5201" xr:uid="{00000000-0005-0000-0000-0000000B0000}"/>
    <cellStyle name="Calculation 2 4 7 3 2" xfId="9240" xr:uid="{00000000-0005-0000-0000-0000010B0000}"/>
    <cellStyle name="Calculation 2 4 7 3 2 2" xfId="24578" xr:uid="{00000000-0005-0000-0000-0000020B0000}"/>
    <cellStyle name="Calculation 2 4 7 3 3" xfId="15519" xr:uid="{00000000-0005-0000-0000-0000030B0000}"/>
    <cellStyle name="Calculation 2 4 7 3 3 2" xfId="30351" xr:uid="{00000000-0005-0000-0000-0000040B0000}"/>
    <cellStyle name="Calculation 2 4 7 3 4" xfId="22085" xr:uid="{00000000-0005-0000-0000-0000050B0000}"/>
    <cellStyle name="Calculation 2 4 7 4" xfId="4231" xr:uid="{00000000-0005-0000-0000-0000060B0000}"/>
    <cellStyle name="Calculation 2 4 7 4 2" xfId="8272" xr:uid="{00000000-0005-0000-0000-0000070B0000}"/>
    <cellStyle name="Calculation 2 4 7 4 2 2" xfId="23967" xr:uid="{00000000-0005-0000-0000-0000080B0000}"/>
    <cellStyle name="Calculation 2 4 7 4 3" xfId="14563" xr:uid="{00000000-0005-0000-0000-0000090B0000}"/>
    <cellStyle name="Calculation 2 4 7 4 3 2" xfId="29395" xr:uid="{00000000-0005-0000-0000-00000A0B0000}"/>
    <cellStyle name="Calculation 2 4 7 4 4" xfId="21592" xr:uid="{00000000-0005-0000-0000-00000B0B0000}"/>
    <cellStyle name="Calculation 2 4 7 5" xfId="6347" xr:uid="{00000000-0005-0000-0000-00000C0B0000}"/>
    <cellStyle name="Calculation 2 4 7 5 2" xfId="22749" xr:uid="{00000000-0005-0000-0000-00000D0B0000}"/>
    <cellStyle name="Calculation 2 4 7 6" xfId="12601" xr:uid="{00000000-0005-0000-0000-00000E0B0000}"/>
    <cellStyle name="Calculation 2 4 7 6 2" xfId="27433" xr:uid="{00000000-0005-0000-0000-00000F0B0000}"/>
    <cellStyle name="Calculation 2 4 7 7" xfId="20428" xr:uid="{00000000-0005-0000-0000-0000100B0000}"/>
    <cellStyle name="Calculation 2 4 8" xfId="4049" xr:uid="{00000000-0005-0000-0000-0000110B0000}"/>
    <cellStyle name="Calculation 2 4 8 2" xfId="8096" xr:uid="{00000000-0005-0000-0000-0000120B0000}"/>
    <cellStyle name="Calculation 2 4 8 2 2" xfId="23859" xr:uid="{00000000-0005-0000-0000-0000130B0000}"/>
    <cellStyle name="Calculation 2 4 8 3" xfId="14381" xr:uid="{00000000-0005-0000-0000-0000140B0000}"/>
    <cellStyle name="Calculation 2 4 8 3 2" xfId="29213" xr:uid="{00000000-0005-0000-0000-0000150B0000}"/>
    <cellStyle name="Calculation 2 4 8 4" xfId="21493" xr:uid="{00000000-0005-0000-0000-0000160B0000}"/>
    <cellStyle name="Calculation 2 4 9" xfId="3133" xr:uid="{00000000-0005-0000-0000-0000170B0000}"/>
    <cellStyle name="Calculation 2 4 9 2" xfId="7197" xr:uid="{00000000-0005-0000-0000-0000180B0000}"/>
    <cellStyle name="Calculation 2 4 9 2 2" xfId="23269" xr:uid="{00000000-0005-0000-0000-0000190B0000}"/>
    <cellStyle name="Calculation 2 4 9 3" xfId="13471" xr:uid="{00000000-0005-0000-0000-00001A0B0000}"/>
    <cellStyle name="Calculation 2 4 9 3 2" xfId="28303" xr:uid="{00000000-0005-0000-0000-00001B0B0000}"/>
    <cellStyle name="Calculation 2 4 9 4" xfId="20960" xr:uid="{00000000-0005-0000-0000-00001C0B0000}"/>
    <cellStyle name="Calculation 2 5" xfId="966" xr:uid="{00000000-0005-0000-0000-00001D0B0000}"/>
    <cellStyle name="Calculation 2 5 10" xfId="2272" xr:uid="{00000000-0005-0000-0000-00001E0B0000}"/>
    <cellStyle name="Calculation 2 5 10 2" xfId="6384" xr:uid="{00000000-0005-0000-0000-00001F0B0000}"/>
    <cellStyle name="Calculation 2 5 10 2 2" xfId="22786" xr:uid="{00000000-0005-0000-0000-0000200B0000}"/>
    <cellStyle name="Calculation 2 5 10 3" xfId="12612" xr:uid="{00000000-0005-0000-0000-0000210B0000}"/>
    <cellStyle name="Calculation 2 5 10 3 2" xfId="27444" xr:uid="{00000000-0005-0000-0000-0000220B0000}"/>
    <cellStyle name="Calculation 2 5 10 4" xfId="20438" xr:uid="{00000000-0005-0000-0000-0000230B0000}"/>
    <cellStyle name="Calculation 2 5 11" xfId="5238" xr:uid="{00000000-0005-0000-0000-0000240B0000}"/>
    <cellStyle name="Calculation 2 5 11 2" xfId="15554" xr:uid="{00000000-0005-0000-0000-0000250B0000}"/>
    <cellStyle name="Calculation 2 5 11 2 2" xfId="30386" xr:uid="{00000000-0005-0000-0000-0000260B0000}"/>
    <cellStyle name="Calculation 2 5 11 3" xfId="22095" xr:uid="{00000000-0005-0000-0000-0000270B0000}"/>
    <cellStyle name="Calculation 2 5 12" xfId="5396" xr:uid="{00000000-0005-0000-0000-0000280B0000}"/>
    <cellStyle name="Calculation 2 5 12 2" xfId="15632" xr:uid="{00000000-0005-0000-0000-0000290B0000}"/>
    <cellStyle name="Calculation 2 5 12 2 2" xfId="30464" xr:uid="{00000000-0005-0000-0000-00002A0B0000}"/>
    <cellStyle name="Calculation 2 5 12 3" xfId="22157" xr:uid="{00000000-0005-0000-0000-00002B0B0000}"/>
    <cellStyle name="Calculation 2 5 13" xfId="9395" xr:uid="{00000000-0005-0000-0000-00002C0B0000}"/>
    <cellStyle name="Calculation 2 5 13 2" xfId="24701" xr:uid="{00000000-0005-0000-0000-00002D0B0000}"/>
    <cellStyle name="Calculation 2 5 14" xfId="7181" xr:uid="{00000000-0005-0000-0000-00002E0B0000}"/>
    <cellStyle name="Calculation 2 5 14 2" xfId="18935" xr:uid="{00000000-0005-0000-0000-00002F0B0000}"/>
    <cellStyle name="Calculation 2 5 2" xfId="1308" xr:uid="{00000000-0005-0000-0000-0000300B0000}"/>
    <cellStyle name="Calculation 2 5 2 2" xfId="1812" xr:uid="{00000000-0005-0000-0000-0000310B0000}"/>
    <cellStyle name="Calculation 2 5 2 2 2" xfId="4002" xr:uid="{00000000-0005-0000-0000-0000320B0000}"/>
    <cellStyle name="Calculation 2 5 2 2 2 2" xfId="8049" xr:uid="{00000000-0005-0000-0000-0000330B0000}"/>
    <cellStyle name="Calculation 2 5 2 2 2 2 2" xfId="23830" xr:uid="{00000000-0005-0000-0000-0000340B0000}"/>
    <cellStyle name="Calculation 2 5 2 2 2 3" xfId="14334" xr:uid="{00000000-0005-0000-0000-0000350B0000}"/>
    <cellStyle name="Calculation 2 5 2 2 2 3 2" xfId="29166" xr:uid="{00000000-0005-0000-0000-0000360B0000}"/>
    <cellStyle name="Calculation 2 5 2 2 2 4" xfId="21468" xr:uid="{00000000-0005-0000-0000-0000370B0000}"/>
    <cellStyle name="Calculation 2 5 2 2 3" xfId="4790" xr:uid="{00000000-0005-0000-0000-0000380B0000}"/>
    <cellStyle name="Calculation 2 5 2 2 3 2" xfId="8829" xr:uid="{00000000-0005-0000-0000-0000390B0000}"/>
    <cellStyle name="Calculation 2 5 2 2 3 2 2" xfId="24327" xr:uid="{00000000-0005-0000-0000-00003A0B0000}"/>
    <cellStyle name="Calculation 2 5 2 2 3 3" xfId="15114" xr:uid="{00000000-0005-0000-0000-00003B0B0000}"/>
    <cellStyle name="Calculation 2 5 2 2 3 3 2" xfId="29946" xr:uid="{00000000-0005-0000-0000-00003C0B0000}"/>
    <cellStyle name="Calculation 2 5 2 2 3 4" xfId="21865" xr:uid="{00000000-0005-0000-0000-00003D0B0000}"/>
    <cellStyle name="Calculation 2 5 2 2 4" xfId="2780" xr:uid="{00000000-0005-0000-0000-00003E0B0000}"/>
    <cellStyle name="Calculation 2 5 2 2 4 2" xfId="6871" xr:uid="{00000000-0005-0000-0000-00003F0B0000}"/>
    <cellStyle name="Calculation 2 5 2 2 4 2 2" xfId="23078" xr:uid="{00000000-0005-0000-0000-0000400B0000}"/>
    <cellStyle name="Calculation 2 5 2 2 4 3" xfId="13118" xr:uid="{00000000-0005-0000-0000-0000410B0000}"/>
    <cellStyle name="Calculation 2 5 2 2 4 3 2" xfId="27950" xr:uid="{00000000-0005-0000-0000-0000420B0000}"/>
    <cellStyle name="Calculation 2 5 2 2 4 4" xfId="20738" xr:uid="{00000000-0005-0000-0000-0000430B0000}"/>
    <cellStyle name="Calculation 2 5 2 2 5" xfId="5944" xr:uid="{00000000-0005-0000-0000-0000440B0000}"/>
    <cellStyle name="Calculation 2 5 2 2 5 2" xfId="16136" xr:uid="{00000000-0005-0000-0000-0000450B0000}"/>
    <cellStyle name="Calculation 2 5 2 2 5 2 2" xfId="30968" xr:uid="{00000000-0005-0000-0000-0000460B0000}"/>
    <cellStyle name="Calculation 2 5 2 2 5 3" xfId="22509" xr:uid="{00000000-0005-0000-0000-0000470B0000}"/>
    <cellStyle name="Calculation 2 5 2 2 6" xfId="12206" xr:uid="{00000000-0005-0000-0000-0000480B0000}"/>
    <cellStyle name="Calculation 2 5 2 2 6 2" xfId="27038" xr:uid="{00000000-0005-0000-0000-0000490B0000}"/>
    <cellStyle name="Calculation 2 5 2 2 7" xfId="9802" xr:uid="{00000000-0005-0000-0000-00004A0B0000}"/>
    <cellStyle name="Calculation 2 5 2 2 7 2" xfId="20053" xr:uid="{00000000-0005-0000-0000-00004B0B0000}"/>
    <cellStyle name="Calculation 2 5 2 3" xfId="3792" xr:uid="{00000000-0005-0000-0000-00004C0B0000}"/>
    <cellStyle name="Calculation 2 5 2 3 2" xfId="7847" xr:uid="{00000000-0005-0000-0000-00004D0B0000}"/>
    <cellStyle name="Calculation 2 5 2 3 2 2" xfId="23702" xr:uid="{00000000-0005-0000-0000-00004E0B0000}"/>
    <cellStyle name="Calculation 2 5 2 3 3" xfId="14127" xr:uid="{00000000-0005-0000-0000-00004F0B0000}"/>
    <cellStyle name="Calculation 2 5 2 3 3 2" xfId="28959" xr:uid="{00000000-0005-0000-0000-0000500B0000}"/>
    <cellStyle name="Calculation 2 5 2 3 4" xfId="21354" xr:uid="{00000000-0005-0000-0000-0000510B0000}"/>
    <cellStyle name="Calculation 2 5 2 4" xfId="4370" xr:uid="{00000000-0005-0000-0000-0000520B0000}"/>
    <cellStyle name="Calculation 2 5 2 4 2" xfId="8409" xr:uid="{00000000-0005-0000-0000-0000530B0000}"/>
    <cellStyle name="Calculation 2 5 2 4 2 2" xfId="24067" xr:uid="{00000000-0005-0000-0000-0000540B0000}"/>
    <cellStyle name="Calculation 2 5 2 4 3" xfId="14699" xr:uid="{00000000-0005-0000-0000-0000550B0000}"/>
    <cellStyle name="Calculation 2 5 2 4 3 2" xfId="29531" xr:uid="{00000000-0005-0000-0000-0000560B0000}"/>
    <cellStyle name="Calculation 2 5 2 4 4" xfId="21635" xr:uid="{00000000-0005-0000-0000-0000570B0000}"/>
    <cellStyle name="Calculation 2 5 2 5" xfId="2360" xr:uid="{00000000-0005-0000-0000-0000580B0000}"/>
    <cellStyle name="Calculation 2 5 2 5 2" xfId="6472" xr:uid="{00000000-0005-0000-0000-0000590B0000}"/>
    <cellStyle name="Calculation 2 5 2 5 2 2" xfId="22842" xr:uid="{00000000-0005-0000-0000-00005A0B0000}"/>
    <cellStyle name="Calculation 2 5 2 5 3" xfId="12699" xr:uid="{00000000-0005-0000-0000-00005B0B0000}"/>
    <cellStyle name="Calculation 2 5 2 5 3 2" xfId="27531" xr:uid="{00000000-0005-0000-0000-00005C0B0000}"/>
    <cellStyle name="Calculation 2 5 2 5 4" xfId="20484" xr:uid="{00000000-0005-0000-0000-00005D0B0000}"/>
    <cellStyle name="Calculation 2 5 2 6" xfId="5485" xr:uid="{00000000-0005-0000-0000-00005E0B0000}"/>
    <cellStyle name="Calculation 2 5 2 6 2" xfId="15720" xr:uid="{00000000-0005-0000-0000-00005F0B0000}"/>
    <cellStyle name="Calculation 2 5 2 6 2 2" xfId="30552" xr:uid="{00000000-0005-0000-0000-0000600B0000}"/>
    <cellStyle name="Calculation 2 5 2 6 3" xfId="22213" xr:uid="{00000000-0005-0000-0000-0000610B0000}"/>
    <cellStyle name="Calculation 2 5 2 7" xfId="11735" xr:uid="{00000000-0005-0000-0000-0000620B0000}"/>
    <cellStyle name="Calculation 2 5 2 7 2" xfId="26567" xr:uid="{00000000-0005-0000-0000-0000630B0000}"/>
    <cellStyle name="Calculation 2 5 2 8" xfId="9406" xr:uid="{00000000-0005-0000-0000-0000640B0000}"/>
    <cellStyle name="Calculation 2 5 2 8 2" xfId="19710" xr:uid="{00000000-0005-0000-0000-0000650B0000}"/>
    <cellStyle name="Calculation 2 5 3" xfId="1442" xr:uid="{00000000-0005-0000-0000-0000660B0000}"/>
    <cellStyle name="Calculation 2 5 3 2" xfId="1943" xr:uid="{00000000-0005-0000-0000-0000670B0000}"/>
    <cellStyle name="Calculation 2 5 3 2 2" xfId="3744" xr:uid="{00000000-0005-0000-0000-0000680B0000}"/>
    <cellStyle name="Calculation 2 5 3 2 2 2" xfId="7800" xr:uid="{00000000-0005-0000-0000-0000690B0000}"/>
    <cellStyle name="Calculation 2 5 3 2 2 2 2" xfId="23672" xr:uid="{00000000-0005-0000-0000-00006A0B0000}"/>
    <cellStyle name="Calculation 2 5 3 2 2 3" xfId="14079" xr:uid="{00000000-0005-0000-0000-00006B0B0000}"/>
    <cellStyle name="Calculation 2 5 3 2 2 3 2" xfId="28911" xr:uid="{00000000-0005-0000-0000-00006C0B0000}"/>
    <cellStyle name="Calculation 2 5 3 2 2 4" xfId="21328" xr:uid="{00000000-0005-0000-0000-00006D0B0000}"/>
    <cellStyle name="Calculation 2 5 3 2 3" xfId="4922" xr:uid="{00000000-0005-0000-0000-00006E0B0000}"/>
    <cellStyle name="Calculation 2 5 3 2 3 2" xfId="8961" xr:uid="{00000000-0005-0000-0000-00006F0B0000}"/>
    <cellStyle name="Calculation 2 5 3 2 3 2 2" xfId="24427" xr:uid="{00000000-0005-0000-0000-0000700B0000}"/>
    <cellStyle name="Calculation 2 5 3 2 3 3" xfId="15244" xr:uid="{00000000-0005-0000-0000-0000710B0000}"/>
    <cellStyle name="Calculation 2 5 3 2 3 3 2" xfId="30076" xr:uid="{00000000-0005-0000-0000-0000720B0000}"/>
    <cellStyle name="Calculation 2 5 3 2 3 4" xfId="21957" xr:uid="{00000000-0005-0000-0000-0000730B0000}"/>
    <cellStyle name="Calculation 2 5 3 2 4" xfId="2912" xr:uid="{00000000-0005-0000-0000-0000740B0000}"/>
    <cellStyle name="Calculation 2 5 3 2 4 2" xfId="6996" xr:uid="{00000000-0005-0000-0000-0000750B0000}"/>
    <cellStyle name="Calculation 2 5 3 2 4 2 2" xfId="23170" xr:uid="{00000000-0005-0000-0000-0000760B0000}"/>
    <cellStyle name="Calculation 2 5 3 2 4 3" xfId="13250" xr:uid="{00000000-0005-0000-0000-0000770B0000}"/>
    <cellStyle name="Calculation 2 5 3 2 4 3 2" xfId="28082" xr:uid="{00000000-0005-0000-0000-0000780B0000}"/>
    <cellStyle name="Calculation 2 5 3 2 4 4" xfId="20838" xr:uid="{00000000-0005-0000-0000-0000790B0000}"/>
    <cellStyle name="Calculation 2 5 3 2 5" xfId="6073" xr:uid="{00000000-0005-0000-0000-00007A0B0000}"/>
    <cellStyle name="Calculation 2 5 3 2 5 2" xfId="16260" xr:uid="{00000000-0005-0000-0000-00007B0B0000}"/>
    <cellStyle name="Calculation 2 5 3 2 5 2 2" xfId="31092" xr:uid="{00000000-0005-0000-0000-00007C0B0000}"/>
    <cellStyle name="Calculation 2 5 3 2 5 3" xfId="22606" xr:uid="{00000000-0005-0000-0000-00007D0B0000}"/>
    <cellStyle name="Calculation 2 5 3 2 6" xfId="12330" xr:uid="{00000000-0005-0000-0000-00007E0B0000}"/>
    <cellStyle name="Calculation 2 5 3 2 6 2" xfId="27162" xr:uid="{00000000-0005-0000-0000-00007F0B0000}"/>
    <cellStyle name="Calculation 2 5 3 2 7" xfId="9927" xr:uid="{00000000-0005-0000-0000-0000800B0000}"/>
    <cellStyle name="Calculation 2 5 3 2 7 2" xfId="20129" xr:uid="{00000000-0005-0000-0000-0000810B0000}"/>
    <cellStyle name="Calculation 2 5 3 3" xfId="3915" xr:uid="{00000000-0005-0000-0000-0000820B0000}"/>
    <cellStyle name="Calculation 2 5 3 3 2" xfId="7966" xr:uid="{00000000-0005-0000-0000-0000830B0000}"/>
    <cellStyle name="Calculation 2 5 3 3 2 2" xfId="23775" xr:uid="{00000000-0005-0000-0000-0000840B0000}"/>
    <cellStyle name="Calculation 2 5 3 3 3" xfId="14248" xr:uid="{00000000-0005-0000-0000-0000850B0000}"/>
    <cellStyle name="Calculation 2 5 3 3 3 2" xfId="29080" xr:uid="{00000000-0005-0000-0000-0000860B0000}"/>
    <cellStyle name="Calculation 2 5 3 3 4" xfId="21416" xr:uid="{00000000-0005-0000-0000-0000870B0000}"/>
    <cellStyle name="Calculation 2 5 3 4" xfId="4502" xr:uid="{00000000-0005-0000-0000-0000880B0000}"/>
    <cellStyle name="Calculation 2 5 3 4 2" xfId="8541" xr:uid="{00000000-0005-0000-0000-0000890B0000}"/>
    <cellStyle name="Calculation 2 5 3 4 2 2" xfId="24167" xr:uid="{00000000-0005-0000-0000-00008A0B0000}"/>
    <cellStyle name="Calculation 2 5 3 4 3" xfId="14829" xr:uid="{00000000-0005-0000-0000-00008B0B0000}"/>
    <cellStyle name="Calculation 2 5 3 4 3 2" xfId="29661" xr:uid="{00000000-0005-0000-0000-00008C0B0000}"/>
    <cellStyle name="Calculation 2 5 3 4 4" xfId="21727" xr:uid="{00000000-0005-0000-0000-00008D0B0000}"/>
    <cellStyle name="Calculation 2 5 3 5" xfId="2492" xr:uid="{00000000-0005-0000-0000-00008E0B0000}"/>
    <cellStyle name="Calculation 2 5 3 5 2" xfId="6598" xr:uid="{00000000-0005-0000-0000-00008F0B0000}"/>
    <cellStyle name="Calculation 2 5 3 5 2 2" xfId="22936" xr:uid="{00000000-0005-0000-0000-0000900B0000}"/>
    <cellStyle name="Calculation 2 5 3 5 3" xfId="12830" xr:uid="{00000000-0005-0000-0000-0000910B0000}"/>
    <cellStyle name="Calculation 2 5 3 5 3 2" xfId="27662" xr:uid="{00000000-0005-0000-0000-0000920B0000}"/>
    <cellStyle name="Calculation 2 5 3 5 4" xfId="20582" xr:uid="{00000000-0005-0000-0000-0000930B0000}"/>
    <cellStyle name="Calculation 2 5 3 6" xfId="5615" xr:uid="{00000000-0005-0000-0000-0000940B0000}"/>
    <cellStyle name="Calculation 2 5 3 6 2" xfId="15850" xr:uid="{00000000-0005-0000-0000-0000950B0000}"/>
    <cellStyle name="Calculation 2 5 3 6 2 2" xfId="30682" xr:uid="{00000000-0005-0000-0000-0000960B0000}"/>
    <cellStyle name="Calculation 2 5 3 6 3" xfId="22311" xr:uid="{00000000-0005-0000-0000-0000970B0000}"/>
    <cellStyle name="Calculation 2 5 3 7" xfId="11859" xr:uid="{00000000-0005-0000-0000-0000980B0000}"/>
    <cellStyle name="Calculation 2 5 3 7 2" xfId="26691" xr:uid="{00000000-0005-0000-0000-0000990B0000}"/>
    <cellStyle name="Calculation 2 5 3 8" xfId="9532" xr:uid="{00000000-0005-0000-0000-00009A0B0000}"/>
    <cellStyle name="Calculation 2 5 3 8 2" xfId="19834" xr:uid="{00000000-0005-0000-0000-00009B0B0000}"/>
    <cellStyle name="Calculation 2 5 4" xfId="1412" xr:uid="{00000000-0005-0000-0000-00009C0B0000}"/>
    <cellStyle name="Calculation 2 5 4 2" xfId="1914" xr:uid="{00000000-0005-0000-0000-00009D0B0000}"/>
    <cellStyle name="Calculation 2 5 4 2 2" xfId="4007" xr:uid="{00000000-0005-0000-0000-00009E0B0000}"/>
    <cellStyle name="Calculation 2 5 4 2 2 2" xfId="8054" xr:uid="{00000000-0005-0000-0000-00009F0B0000}"/>
    <cellStyle name="Calculation 2 5 4 2 2 2 2" xfId="23833" xr:uid="{00000000-0005-0000-0000-0000A00B0000}"/>
    <cellStyle name="Calculation 2 5 4 2 2 3" xfId="14339" xr:uid="{00000000-0005-0000-0000-0000A10B0000}"/>
    <cellStyle name="Calculation 2 5 4 2 2 3 2" xfId="29171" xr:uid="{00000000-0005-0000-0000-0000A20B0000}"/>
    <cellStyle name="Calculation 2 5 4 2 2 4" xfId="21471" xr:uid="{00000000-0005-0000-0000-0000A30B0000}"/>
    <cellStyle name="Calculation 2 5 4 2 3" xfId="4892" xr:uid="{00000000-0005-0000-0000-0000A40B0000}"/>
    <cellStyle name="Calculation 2 5 4 2 3 2" xfId="8931" xr:uid="{00000000-0005-0000-0000-0000A50B0000}"/>
    <cellStyle name="Calculation 2 5 4 2 3 2 2" xfId="24397" xr:uid="{00000000-0005-0000-0000-0000A60B0000}"/>
    <cellStyle name="Calculation 2 5 4 2 3 3" xfId="15215" xr:uid="{00000000-0005-0000-0000-0000A70B0000}"/>
    <cellStyle name="Calculation 2 5 4 2 3 3 2" xfId="30047" xr:uid="{00000000-0005-0000-0000-0000A80B0000}"/>
    <cellStyle name="Calculation 2 5 4 2 3 4" xfId="21929" xr:uid="{00000000-0005-0000-0000-0000A90B0000}"/>
    <cellStyle name="Calculation 2 5 4 2 4" xfId="2882" xr:uid="{00000000-0005-0000-0000-0000AA0B0000}"/>
    <cellStyle name="Calculation 2 5 4 2 4 2" xfId="6967" xr:uid="{00000000-0005-0000-0000-0000AB0B0000}"/>
    <cellStyle name="Calculation 2 5 4 2 4 2 2" xfId="23142" xr:uid="{00000000-0005-0000-0000-0000AC0B0000}"/>
    <cellStyle name="Calculation 2 5 4 2 4 3" xfId="13220" xr:uid="{00000000-0005-0000-0000-0000AD0B0000}"/>
    <cellStyle name="Calculation 2 5 4 2 4 3 2" xfId="28052" xr:uid="{00000000-0005-0000-0000-0000AE0B0000}"/>
    <cellStyle name="Calculation 2 5 4 2 4 4" xfId="20808" xr:uid="{00000000-0005-0000-0000-0000AF0B0000}"/>
    <cellStyle name="Calculation 2 5 4 2 5" xfId="6045" xr:uid="{00000000-0005-0000-0000-0000B00B0000}"/>
    <cellStyle name="Calculation 2 5 4 2 5 2" xfId="16232" xr:uid="{00000000-0005-0000-0000-0000B10B0000}"/>
    <cellStyle name="Calculation 2 5 4 2 5 2 2" xfId="31064" xr:uid="{00000000-0005-0000-0000-0000B20B0000}"/>
    <cellStyle name="Calculation 2 5 4 2 5 3" xfId="22578" xr:uid="{00000000-0005-0000-0000-0000B30B0000}"/>
    <cellStyle name="Calculation 2 5 4 2 6" xfId="12302" xr:uid="{00000000-0005-0000-0000-0000B40B0000}"/>
    <cellStyle name="Calculation 2 5 4 2 6 2" xfId="27134" xr:uid="{00000000-0005-0000-0000-0000B50B0000}"/>
    <cellStyle name="Calculation 2 5 4 2 7" xfId="9898" xr:uid="{00000000-0005-0000-0000-0000B60B0000}"/>
    <cellStyle name="Calculation 2 5 4 2 7 2" xfId="20101" xr:uid="{00000000-0005-0000-0000-0000B70B0000}"/>
    <cellStyle name="Calculation 2 5 4 3" xfId="3641" xr:uid="{00000000-0005-0000-0000-0000B80B0000}"/>
    <cellStyle name="Calculation 2 5 4 3 2" xfId="7700" xr:uid="{00000000-0005-0000-0000-0000B90B0000}"/>
    <cellStyle name="Calculation 2 5 4 3 2 2" xfId="23600" xr:uid="{00000000-0005-0000-0000-0000BA0B0000}"/>
    <cellStyle name="Calculation 2 5 4 3 3" xfId="13976" xr:uid="{00000000-0005-0000-0000-0000BB0B0000}"/>
    <cellStyle name="Calculation 2 5 4 3 3 2" xfId="28808" xr:uid="{00000000-0005-0000-0000-0000BC0B0000}"/>
    <cellStyle name="Calculation 2 5 4 3 4" xfId="21266" xr:uid="{00000000-0005-0000-0000-0000BD0B0000}"/>
    <cellStyle name="Calculation 2 5 4 4" xfId="4472" xr:uid="{00000000-0005-0000-0000-0000BE0B0000}"/>
    <cellStyle name="Calculation 2 5 4 4 2" xfId="8511" xr:uid="{00000000-0005-0000-0000-0000BF0B0000}"/>
    <cellStyle name="Calculation 2 5 4 4 2 2" xfId="24137" xr:uid="{00000000-0005-0000-0000-0000C00B0000}"/>
    <cellStyle name="Calculation 2 5 4 4 3" xfId="14800" xr:uid="{00000000-0005-0000-0000-0000C10B0000}"/>
    <cellStyle name="Calculation 2 5 4 4 3 2" xfId="29632" xr:uid="{00000000-0005-0000-0000-0000C20B0000}"/>
    <cellStyle name="Calculation 2 5 4 4 4" xfId="21699" xr:uid="{00000000-0005-0000-0000-0000C30B0000}"/>
    <cellStyle name="Calculation 2 5 4 5" xfId="2462" xr:uid="{00000000-0005-0000-0000-0000C40B0000}"/>
    <cellStyle name="Calculation 2 5 4 5 2" xfId="6568" xr:uid="{00000000-0005-0000-0000-0000C50B0000}"/>
    <cellStyle name="Calculation 2 5 4 5 2 2" xfId="22906" xr:uid="{00000000-0005-0000-0000-0000C60B0000}"/>
    <cellStyle name="Calculation 2 5 4 5 3" xfId="12801" xr:uid="{00000000-0005-0000-0000-0000C70B0000}"/>
    <cellStyle name="Calculation 2 5 4 5 3 2" xfId="27633" xr:uid="{00000000-0005-0000-0000-0000C80B0000}"/>
    <cellStyle name="Calculation 2 5 4 5 4" xfId="20554" xr:uid="{00000000-0005-0000-0000-0000C90B0000}"/>
    <cellStyle name="Calculation 2 5 4 6" xfId="5586" xr:uid="{00000000-0005-0000-0000-0000CA0B0000}"/>
    <cellStyle name="Calculation 2 5 4 6 2" xfId="15821" xr:uid="{00000000-0005-0000-0000-0000CB0B0000}"/>
    <cellStyle name="Calculation 2 5 4 6 2 2" xfId="30653" xr:uid="{00000000-0005-0000-0000-0000CC0B0000}"/>
    <cellStyle name="Calculation 2 5 4 6 3" xfId="22282" xr:uid="{00000000-0005-0000-0000-0000CD0B0000}"/>
    <cellStyle name="Calculation 2 5 4 7" xfId="11831" xr:uid="{00000000-0005-0000-0000-0000CE0B0000}"/>
    <cellStyle name="Calculation 2 5 4 7 2" xfId="26663" xr:uid="{00000000-0005-0000-0000-0000CF0B0000}"/>
    <cellStyle name="Calculation 2 5 4 8" xfId="9503" xr:uid="{00000000-0005-0000-0000-0000D00B0000}"/>
    <cellStyle name="Calculation 2 5 4 8 2" xfId="19806" xr:uid="{00000000-0005-0000-0000-0000D10B0000}"/>
    <cellStyle name="Calculation 2 5 5" xfId="1428" xr:uid="{00000000-0005-0000-0000-0000D20B0000}"/>
    <cellStyle name="Calculation 2 5 5 2" xfId="1929" xr:uid="{00000000-0005-0000-0000-0000D30B0000}"/>
    <cellStyle name="Calculation 2 5 5 2 2" xfId="4060" xr:uid="{00000000-0005-0000-0000-0000D40B0000}"/>
    <cellStyle name="Calculation 2 5 5 2 2 2" xfId="8107" xr:uid="{00000000-0005-0000-0000-0000D50B0000}"/>
    <cellStyle name="Calculation 2 5 5 2 2 2 2" xfId="23867" xr:uid="{00000000-0005-0000-0000-0000D60B0000}"/>
    <cellStyle name="Calculation 2 5 5 2 2 3" xfId="14392" xr:uid="{00000000-0005-0000-0000-0000D70B0000}"/>
    <cellStyle name="Calculation 2 5 5 2 2 3 2" xfId="29224" xr:uid="{00000000-0005-0000-0000-0000D80B0000}"/>
    <cellStyle name="Calculation 2 5 5 2 2 4" xfId="21501" xr:uid="{00000000-0005-0000-0000-0000D90B0000}"/>
    <cellStyle name="Calculation 2 5 5 2 3" xfId="4908" xr:uid="{00000000-0005-0000-0000-0000DA0B0000}"/>
    <cellStyle name="Calculation 2 5 5 2 3 2" xfId="8947" xr:uid="{00000000-0005-0000-0000-0000DB0B0000}"/>
    <cellStyle name="Calculation 2 5 5 2 3 2 2" xfId="24413" xr:uid="{00000000-0005-0000-0000-0000DC0B0000}"/>
    <cellStyle name="Calculation 2 5 5 2 3 3" xfId="15230" xr:uid="{00000000-0005-0000-0000-0000DD0B0000}"/>
    <cellStyle name="Calculation 2 5 5 2 3 3 2" xfId="30062" xr:uid="{00000000-0005-0000-0000-0000DE0B0000}"/>
    <cellStyle name="Calculation 2 5 5 2 3 4" xfId="21943" xr:uid="{00000000-0005-0000-0000-0000DF0B0000}"/>
    <cellStyle name="Calculation 2 5 5 2 4" xfId="2898" xr:uid="{00000000-0005-0000-0000-0000E00B0000}"/>
    <cellStyle name="Calculation 2 5 5 2 4 2" xfId="6982" xr:uid="{00000000-0005-0000-0000-0000E10B0000}"/>
    <cellStyle name="Calculation 2 5 5 2 4 2 2" xfId="23156" xr:uid="{00000000-0005-0000-0000-0000E20B0000}"/>
    <cellStyle name="Calculation 2 5 5 2 4 3" xfId="13236" xr:uid="{00000000-0005-0000-0000-0000E30B0000}"/>
    <cellStyle name="Calculation 2 5 5 2 4 3 2" xfId="28068" xr:uid="{00000000-0005-0000-0000-0000E40B0000}"/>
    <cellStyle name="Calculation 2 5 5 2 4 4" xfId="20824" xr:uid="{00000000-0005-0000-0000-0000E50B0000}"/>
    <cellStyle name="Calculation 2 5 5 2 5" xfId="6059" xr:uid="{00000000-0005-0000-0000-0000E60B0000}"/>
    <cellStyle name="Calculation 2 5 5 2 5 2" xfId="16246" xr:uid="{00000000-0005-0000-0000-0000E70B0000}"/>
    <cellStyle name="Calculation 2 5 5 2 5 2 2" xfId="31078" xr:uid="{00000000-0005-0000-0000-0000E80B0000}"/>
    <cellStyle name="Calculation 2 5 5 2 5 3" xfId="22592" xr:uid="{00000000-0005-0000-0000-0000E90B0000}"/>
    <cellStyle name="Calculation 2 5 5 2 6" xfId="12316" xr:uid="{00000000-0005-0000-0000-0000EA0B0000}"/>
    <cellStyle name="Calculation 2 5 5 2 6 2" xfId="27148" xr:uid="{00000000-0005-0000-0000-0000EB0B0000}"/>
    <cellStyle name="Calculation 2 5 5 2 7" xfId="9913" xr:uid="{00000000-0005-0000-0000-0000EC0B0000}"/>
    <cellStyle name="Calculation 2 5 5 2 7 2" xfId="20115" xr:uid="{00000000-0005-0000-0000-0000ED0B0000}"/>
    <cellStyle name="Calculation 2 5 5 3" xfId="4017" xr:uid="{00000000-0005-0000-0000-0000EE0B0000}"/>
    <cellStyle name="Calculation 2 5 5 3 2" xfId="8064" xr:uid="{00000000-0005-0000-0000-0000EF0B0000}"/>
    <cellStyle name="Calculation 2 5 5 3 2 2" xfId="23840" xr:uid="{00000000-0005-0000-0000-0000F00B0000}"/>
    <cellStyle name="Calculation 2 5 5 3 3" xfId="14349" xr:uid="{00000000-0005-0000-0000-0000F10B0000}"/>
    <cellStyle name="Calculation 2 5 5 3 3 2" xfId="29181" xr:uid="{00000000-0005-0000-0000-0000F20B0000}"/>
    <cellStyle name="Calculation 2 5 5 3 4" xfId="21478" xr:uid="{00000000-0005-0000-0000-0000F30B0000}"/>
    <cellStyle name="Calculation 2 5 5 4" xfId="4488" xr:uid="{00000000-0005-0000-0000-0000F40B0000}"/>
    <cellStyle name="Calculation 2 5 5 4 2" xfId="8527" xr:uid="{00000000-0005-0000-0000-0000F50B0000}"/>
    <cellStyle name="Calculation 2 5 5 4 2 2" xfId="24153" xr:uid="{00000000-0005-0000-0000-0000F60B0000}"/>
    <cellStyle name="Calculation 2 5 5 4 3" xfId="14815" xr:uid="{00000000-0005-0000-0000-0000F70B0000}"/>
    <cellStyle name="Calculation 2 5 5 4 3 2" xfId="29647" xr:uid="{00000000-0005-0000-0000-0000F80B0000}"/>
    <cellStyle name="Calculation 2 5 5 4 4" xfId="21713" xr:uid="{00000000-0005-0000-0000-0000F90B0000}"/>
    <cellStyle name="Calculation 2 5 5 5" xfId="2478" xr:uid="{00000000-0005-0000-0000-0000FA0B0000}"/>
    <cellStyle name="Calculation 2 5 5 5 2" xfId="6584" xr:uid="{00000000-0005-0000-0000-0000FB0B0000}"/>
    <cellStyle name="Calculation 2 5 5 5 2 2" xfId="22922" xr:uid="{00000000-0005-0000-0000-0000FC0B0000}"/>
    <cellStyle name="Calculation 2 5 5 5 3" xfId="12816" xr:uid="{00000000-0005-0000-0000-0000FD0B0000}"/>
    <cellStyle name="Calculation 2 5 5 5 3 2" xfId="27648" xr:uid="{00000000-0005-0000-0000-0000FE0B0000}"/>
    <cellStyle name="Calculation 2 5 5 5 4" xfId="20568" xr:uid="{00000000-0005-0000-0000-0000FF0B0000}"/>
    <cellStyle name="Calculation 2 5 5 6" xfId="5601" xr:uid="{00000000-0005-0000-0000-0000000C0000}"/>
    <cellStyle name="Calculation 2 5 5 6 2" xfId="15836" xr:uid="{00000000-0005-0000-0000-0000010C0000}"/>
    <cellStyle name="Calculation 2 5 5 6 2 2" xfId="30668" xr:uid="{00000000-0005-0000-0000-0000020C0000}"/>
    <cellStyle name="Calculation 2 5 5 6 3" xfId="22297" xr:uid="{00000000-0005-0000-0000-0000030C0000}"/>
    <cellStyle name="Calculation 2 5 5 7" xfId="11845" xr:uid="{00000000-0005-0000-0000-0000040C0000}"/>
    <cellStyle name="Calculation 2 5 5 7 2" xfId="26677" xr:uid="{00000000-0005-0000-0000-0000050C0000}"/>
    <cellStyle name="Calculation 2 5 5 8" xfId="9518" xr:uid="{00000000-0005-0000-0000-0000060C0000}"/>
    <cellStyle name="Calculation 2 5 5 8 2" xfId="19820" xr:uid="{00000000-0005-0000-0000-0000070C0000}"/>
    <cellStyle name="Calculation 2 5 6" xfId="1719" xr:uid="{00000000-0005-0000-0000-0000080C0000}"/>
    <cellStyle name="Calculation 2 5 6 2" xfId="3784" xr:uid="{00000000-0005-0000-0000-0000090C0000}"/>
    <cellStyle name="Calculation 2 5 6 2 2" xfId="7839" xr:uid="{00000000-0005-0000-0000-00000A0C0000}"/>
    <cellStyle name="Calculation 2 5 6 2 2 2" xfId="23695" xr:uid="{00000000-0005-0000-0000-00000B0C0000}"/>
    <cellStyle name="Calculation 2 5 6 2 3" xfId="14119" xr:uid="{00000000-0005-0000-0000-00000C0C0000}"/>
    <cellStyle name="Calculation 2 5 6 2 3 2" xfId="28951" xr:uid="{00000000-0005-0000-0000-00000D0C0000}"/>
    <cellStyle name="Calculation 2 5 6 2 4" xfId="21347" xr:uid="{00000000-0005-0000-0000-00000E0C0000}"/>
    <cellStyle name="Calculation 2 5 6 3" xfId="4712" xr:uid="{00000000-0005-0000-0000-00000F0C0000}"/>
    <cellStyle name="Calculation 2 5 6 3 2" xfId="8751" xr:uid="{00000000-0005-0000-0000-0000100C0000}"/>
    <cellStyle name="Calculation 2 5 6 3 2 2" xfId="24281" xr:uid="{00000000-0005-0000-0000-0000110C0000}"/>
    <cellStyle name="Calculation 2 5 6 3 3" xfId="15036" xr:uid="{00000000-0005-0000-0000-0000120C0000}"/>
    <cellStyle name="Calculation 2 5 6 3 3 2" xfId="29868" xr:uid="{00000000-0005-0000-0000-0000130C0000}"/>
    <cellStyle name="Calculation 2 5 6 3 4" xfId="21819" xr:uid="{00000000-0005-0000-0000-0000140C0000}"/>
    <cellStyle name="Calculation 2 5 6 4" xfId="2702" xr:uid="{00000000-0005-0000-0000-0000150C0000}"/>
    <cellStyle name="Calculation 2 5 6 4 2" xfId="6793" xr:uid="{00000000-0005-0000-0000-0000160C0000}"/>
    <cellStyle name="Calculation 2 5 6 4 2 2" xfId="23032" xr:uid="{00000000-0005-0000-0000-0000170C0000}"/>
    <cellStyle name="Calculation 2 5 6 4 3" xfId="13040" xr:uid="{00000000-0005-0000-0000-0000180C0000}"/>
    <cellStyle name="Calculation 2 5 6 4 3 2" xfId="27872" xr:uid="{00000000-0005-0000-0000-0000190C0000}"/>
    <cellStyle name="Calculation 2 5 6 4 4" xfId="20692" xr:uid="{00000000-0005-0000-0000-00001A0C0000}"/>
    <cellStyle name="Calculation 2 5 6 5" xfId="5851" xr:uid="{00000000-0005-0000-0000-00001B0C0000}"/>
    <cellStyle name="Calculation 2 5 6 5 2" xfId="16043" xr:uid="{00000000-0005-0000-0000-00001C0C0000}"/>
    <cellStyle name="Calculation 2 5 6 5 2 2" xfId="30875" xr:uid="{00000000-0005-0000-0000-00001D0C0000}"/>
    <cellStyle name="Calculation 2 5 6 5 3" xfId="22448" xr:uid="{00000000-0005-0000-0000-00001E0C0000}"/>
    <cellStyle name="Calculation 2 5 6 6" xfId="12113" xr:uid="{00000000-0005-0000-0000-00001F0C0000}"/>
    <cellStyle name="Calculation 2 5 6 6 2" xfId="26945" xr:uid="{00000000-0005-0000-0000-0000200C0000}"/>
    <cellStyle name="Calculation 2 5 6 7" xfId="9724" xr:uid="{00000000-0005-0000-0000-0000210C0000}"/>
    <cellStyle name="Calculation 2 5 6 7 2" xfId="20022" xr:uid="{00000000-0005-0000-0000-0000220C0000}"/>
    <cellStyle name="Calculation 2 5 7" xfId="2232" xr:uid="{00000000-0005-0000-0000-0000230C0000}"/>
    <cellStyle name="Calculation 2 5 7 2" xfId="3445" xr:uid="{00000000-0005-0000-0000-0000240C0000}"/>
    <cellStyle name="Calculation 2 5 7 2 2" xfId="7508" xr:uid="{00000000-0005-0000-0000-0000250C0000}"/>
    <cellStyle name="Calculation 2 5 7 2 2 2" xfId="23481" xr:uid="{00000000-0005-0000-0000-0000260C0000}"/>
    <cellStyle name="Calculation 2 5 7 2 3" xfId="13782" xr:uid="{00000000-0005-0000-0000-0000270C0000}"/>
    <cellStyle name="Calculation 2 5 7 2 3 2" xfId="28614" xr:uid="{00000000-0005-0000-0000-0000280C0000}"/>
    <cellStyle name="Calculation 2 5 7 2 4" xfId="21157" xr:uid="{00000000-0005-0000-0000-0000290C0000}"/>
    <cellStyle name="Calculation 2 5 7 3" xfId="5200" xr:uid="{00000000-0005-0000-0000-00002A0C0000}"/>
    <cellStyle name="Calculation 2 5 7 3 2" xfId="9239" xr:uid="{00000000-0005-0000-0000-00002B0C0000}"/>
    <cellStyle name="Calculation 2 5 7 3 2 2" xfId="24577" xr:uid="{00000000-0005-0000-0000-00002C0C0000}"/>
    <cellStyle name="Calculation 2 5 7 3 3" xfId="15518" xr:uid="{00000000-0005-0000-0000-00002D0C0000}"/>
    <cellStyle name="Calculation 2 5 7 3 3 2" xfId="30350" xr:uid="{00000000-0005-0000-0000-00002E0C0000}"/>
    <cellStyle name="Calculation 2 5 7 3 4" xfId="22084" xr:uid="{00000000-0005-0000-0000-00002F0C0000}"/>
    <cellStyle name="Calculation 2 5 7 4" xfId="4230" xr:uid="{00000000-0005-0000-0000-0000300C0000}"/>
    <cellStyle name="Calculation 2 5 7 4 2" xfId="8271" xr:uid="{00000000-0005-0000-0000-0000310C0000}"/>
    <cellStyle name="Calculation 2 5 7 4 2 2" xfId="23966" xr:uid="{00000000-0005-0000-0000-0000320C0000}"/>
    <cellStyle name="Calculation 2 5 7 4 3" xfId="14562" xr:uid="{00000000-0005-0000-0000-0000330C0000}"/>
    <cellStyle name="Calculation 2 5 7 4 3 2" xfId="29394" xr:uid="{00000000-0005-0000-0000-0000340C0000}"/>
    <cellStyle name="Calculation 2 5 7 4 4" xfId="21591" xr:uid="{00000000-0005-0000-0000-0000350C0000}"/>
    <cellStyle name="Calculation 2 5 7 5" xfId="6346" xr:uid="{00000000-0005-0000-0000-0000360C0000}"/>
    <cellStyle name="Calculation 2 5 7 5 2" xfId="22748" xr:uid="{00000000-0005-0000-0000-0000370C0000}"/>
    <cellStyle name="Calculation 2 5 7 6" xfId="12600" xr:uid="{00000000-0005-0000-0000-0000380C0000}"/>
    <cellStyle name="Calculation 2 5 7 6 2" xfId="27432" xr:uid="{00000000-0005-0000-0000-0000390C0000}"/>
    <cellStyle name="Calculation 2 5 7 7" xfId="20427" xr:uid="{00000000-0005-0000-0000-00003A0C0000}"/>
    <cellStyle name="Calculation 2 5 8" xfId="3467" xr:uid="{00000000-0005-0000-0000-00003B0C0000}"/>
    <cellStyle name="Calculation 2 5 8 2" xfId="7530" xr:uid="{00000000-0005-0000-0000-00003C0C0000}"/>
    <cellStyle name="Calculation 2 5 8 2 2" xfId="23497" xr:uid="{00000000-0005-0000-0000-00003D0C0000}"/>
    <cellStyle name="Calculation 2 5 8 3" xfId="13804" xr:uid="{00000000-0005-0000-0000-00003E0C0000}"/>
    <cellStyle name="Calculation 2 5 8 3 2" xfId="28636" xr:uid="{00000000-0005-0000-0000-00003F0C0000}"/>
    <cellStyle name="Calculation 2 5 8 4" xfId="21172" xr:uid="{00000000-0005-0000-0000-0000400C0000}"/>
    <cellStyle name="Calculation 2 5 9" xfId="3345" xr:uid="{00000000-0005-0000-0000-0000410C0000}"/>
    <cellStyle name="Calculation 2 5 9 2" xfId="7408" xr:uid="{00000000-0005-0000-0000-0000420C0000}"/>
    <cellStyle name="Calculation 2 5 9 2 2" xfId="23413" xr:uid="{00000000-0005-0000-0000-0000430C0000}"/>
    <cellStyle name="Calculation 2 5 9 3" xfId="13682" xr:uid="{00000000-0005-0000-0000-0000440C0000}"/>
    <cellStyle name="Calculation 2 5 9 3 2" xfId="28514" xr:uid="{00000000-0005-0000-0000-0000450C0000}"/>
    <cellStyle name="Calculation 2 5 9 4" xfId="21100" xr:uid="{00000000-0005-0000-0000-0000460C0000}"/>
    <cellStyle name="Calculation 2 6" xfId="967" xr:uid="{00000000-0005-0000-0000-0000470C0000}"/>
    <cellStyle name="Calculation 2 6 10" xfId="2273" xr:uid="{00000000-0005-0000-0000-0000480C0000}"/>
    <cellStyle name="Calculation 2 6 10 2" xfId="6385" xr:uid="{00000000-0005-0000-0000-0000490C0000}"/>
    <cellStyle name="Calculation 2 6 10 2 2" xfId="22787" xr:uid="{00000000-0005-0000-0000-00004A0C0000}"/>
    <cellStyle name="Calculation 2 6 10 3" xfId="12613" xr:uid="{00000000-0005-0000-0000-00004B0C0000}"/>
    <cellStyle name="Calculation 2 6 10 3 2" xfId="27445" xr:uid="{00000000-0005-0000-0000-00004C0C0000}"/>
    <cellStyle name="Calculation 2 6 10 4" xfId="20439" xr:uid="{00000000-0005-0000-0000-00004D0C0000}"/>
    <cellStyle name="Calculation 2 6 11" xfId="5239" xr:uid="{00000000-0005-0000-0000-00004E0C0000}"/>
    <cellStyle name="Calculation 2 6 11 2" xfId="15555" xr:uid="{00000000-0005-0000-0000-00004F0C0000}"/>
    <cellStyle name="Calculation 2 6 11 2 2" xfId="30387" xr:uid="{00000000-0005-0000-0000-0000500C0000}"/>
    <cellStyle name="Calculation 2 6 11 3" xfId="22096" xr:uid="{00000000-0005-0000-0000-0000510C0000}"/>
    <cellStyle name="Calculation 2 6 12" xfId="5397" xr:uid="{00000000-0005-0000-0000-0000520C0000}"/>
    <cellStyle name="Calculation 2 6 12 2" xfId="15633" xr:uid="{00000000-0005-0000-0000-0000530C0000}"/>
    <cellStyle name="Calculation 2 6 12 2 2" xfId="30465" xr:uid="{00000000-0005-0000-0000-0000540C0000}"/>
    <cellStyle name="Calculation 2 6 12 3" xfId="22158" xr:uid="{00000000-0005-0000-0000-0000550C0000}"/>
    <cellStyle name="Calculation 2 6 13" xfId="9394" xr:uid="{00000000-0005-0000-0000-0000560C0000}"/>
    <cellStyle name="Calculation 2 6 13 2" xfId="24700" xr:uid="{00000000-0005-0000-0000-0000570C0000}"/>
    <cellStyle name="Calculation 2 6 14" xfId="6273" xr:uid="{00000000-0005-0000-0000-0000580C0000}"/>
    <cellStyle name="Calculation 2 6 14 2" xfId="18576" xr:uid="{00000000-0005-0000-0000-0000590C0000}"/>
    <cellStyle name="Calculation 2 6 2" xfId="1309" xr:uid="{00000000-0005-0000-0000-00005A0C0000}"/>
    <cellStyle name="Calculation 2 6 2 2" xfId="1813" xr:uid="{00000000-0005-0000-0000-00005B0C0000}"/>
    <cellStyle name="Calculation 2 6 2 2 2" xfId="3563" xr:uid="{00000000-0005-0000-0000-00005C0C0000}"/>
    <cellStyle name="Calculation 2 6 2 2 2 2" xfId="7625" xr:uid="{00000000-0005-0000-0000-00005D0C0000}"/>
    <cellStyle name="Calculation 2 6 2 2 2 2 2" xfId="23554" xr:uid="{00000000-0005-0000-0000-00005E0C0000}"/>
    <cellStyle name="Calculation 2 6 2 2 2 3" xfId="13899" xr:uid="{00000000-0005-0000-0000-00005F0C0000}"/>
    <cellStyle name="Calculation 2 6 2 2 2 3 2" xfId="28731" xr:uid="{00000000-0005-0000-0000-0000600C0000}"/>
    <cellStyle name="Calculation 2 6 2 2 2 4" xfId="21224" xr:uid="{00000000-0005-0000-0000-0000610C0000}"/>
    <cellStyle name="Calculation 2 6 2 2 3" xfId="4791" xr:uid="{00000000-0005-0000-0000-0000620C0000}"/>
    <cellStyle name="Calculation 2 6 2 2 3 2" xfId="8830" xr:uid="{00000000-0005-0000-0000-0000630C0000}"/>
    <cellStyle name="Calculation 2 6 2 2 3 2 2" xfId="24328" xr:uid="{00000000-0005-0000-0000-0000640C0000}"/>
    <cellStyle name="Calculation 2 6 2 2 3 3" xfId="15115" xr:uid="{00000000-0005-0000-0000-0000650C0000}"/>
    <cellStyle name="Calculation 2 6 2 2 3 3 2" xfId="29947" xr:uid="{00000000-0005-0000-0000-0000660C0000}"/>
    <cellStyle name="Calculation 2 6 2 2 3 4" xfId="21866" xr:uid="{00000000-0005-0000-0000-0000670C0000}"/>
    <cellStyle name="Calculation 2 6 2 2 4" xfId="2781" xr:uid="{00000000-0005-0000-0000-0000680C0000}"/>
    <cellStyle name="Calculation 2 6 2 2 4 2" xfId="6872" xr:uid="{00000000-0005-0000-0000-0000690C0000}"/>
    <cellStyle name="Calculation 2 6 2 2 4 2 2" xfId="23079" xr:uid="{00000000-0005-0000-0000-00006A0C0000}"/>
    <cellStyle name="Calculation 2 6 2 2 4 3" xfId="13119" xr:uid="{00000000-0005-0000-0000-00006B0C0000}"/>
    <cellStyle name="Calculation 2 6 2 2 4 3 2" xfId="27951" xr:uid="{00000000-0005-0000-0000-00006C0C0000}"/>
    <cellStyle name="Calculation 2 6 2 2 4 4" xfId="20739" xr:uid="{00000000-0005-0000-0000-00006D0C0000}"/>
    <cellStyle name="Calculation 2 6 2 2 5" xfId="5945" xr:uid="{00000000-0005-0000-0000-00006E0C0000}"/>
    <cellStyle name="Calculation 2 6 2 2 5 2" xfId="16137" xr:uid="{00000000-0005-0000-0000-00006F0C0000}"/>
    <cellStyle name="Calculation 2 6 2 2 5 2 2" xfId="30969" xr:uid="{00000000-0005-0000-0000-0000700C0000}"/>
    <cellStyle name="Calculation 2 6 2 2 5 3" xfId="22510" xr:uid="{00000000-0005-0000-0000-0000710C0000}"/>
    <cellStyle name="Calculation 2 6 2 2 6" xfId="12207" xr:uid="{00000000-0005-0000-0000-0000720C0000}"/>
    <cellStyle name="Calculation 2 6 2 2 6 2" xfId="27039" xr:uid="{00000000-0005-0000-0000-0000730C0000}"/>
    <cellStyle name="Calculation 2 6 2 2 7" xfId="9803" xr:uid="{00000000-0005-0000-0000-0000740C0000}"/>
    <cellStyle name="Calculation 2 6 2 2 7 2" xfId="20054" xr:uid="{00000000-0005-0000-0000-0000750C0000}"/>
    <cellStyle name="Calculation 2 6 2 3" xfId="3782" xr:uid="{00000000-0005-0000-0000-0000760C0000}"/>
    <cellStyle name="Calculation 2 6 2 3 2" xfId="7837" xr:uid="{00000000-0005-0000-0000-0000770C0000}"/>
    <cellStyle name="Calculation 2 6 2 3 2 2" xfId="23693" xr:uid="{00000000-0005-0000-0000-0000780C0000}"/>
    <cellStyle name="Calculation 2 6 2 3 3" xfId="14117" xr:uid="{00000000-0005-0000-0000-0000790C0000}"/>
    <cellStyle name="Calculation 2 6 2 3 3 2" xfId="28949" xr:uid="{00000000-0005-0000-0000-00007A0C0000}"/>
    <cellStyle name="Calculation 2 6 2 3 4" xfId="21345" xr:uid="{00000000-0005-0000-0000-00007B0C0000}"/>
    <cellStyle name="Calculation 2 6 2 4" xfId="4371" xr:uid="{00000000-0005-0000-0000-00007C0C0000}"/>
    <cellStyle name="Calculation 2 6 2 4 2" xfId="8410" xr:uid="{00000000-0005-0000-0000-00007D0C0000}"/>
    <cellStyle name="Calculation 2 6 2 4 2 2" xfId="24068" xr:uid="{00000000-0005-0000-0000-00007E0C0000}"/>
    <cellStyle name="Calculation 2 6 2 4 3" xfId="14700" xr:uid="{00000000-0005-0000-0000-00007F0C0000}"/>
    <cellStyle name="Calculation 2 6 2 4 3 2" xfId="29532" xr:uid="{00000000-0005-0000-0000-0000800C0000}"/>
    <cellStyle name="Calculation 2 6 2 4 4" xfId="21636" xr:uid="{00000000-0005-0000-0000-0000810C0000}"/>
    <cellStyle name="Calculation 2 6 2 5" xfId="2361" xr:uid="{00000000-0005-0000-0000-0000820C0000}"/>
    <cellStyle name="Calculation 2 6 2 5 2" xfId="6473" xr:uid="{00000000-0005-0000-0000-0000830C0000}"/>
    <cellStyle name="Calculation 2 6 2 5 2 2" xfId="22843" xr:uid="{00000000-0005-0000-0000-0000840C0000}"/>
    <cellStyle name="Calculation 2 6 2 5 3" xfId="12700" xr:uid="{00000000-0005-0000-0000-0000850C0000}"/>
    <cellStyle name="Calculation 2 6 2 5 3 2" xfId="27532" xr:uid="{00000000-0005-0000-0000-0000860C0000}"/>
    <cellStyle name="Calculation 2 6 2 5 4" xfId="20485" xr:uid="{00000000-0005-0000-0000-0000870C0000}"/>
    <cellStyle name="Calculation 2 6 2 6" xfId="5486" xr:uid="{00000000-0005-0000-0000-0000880C0000}"/>
    <cellStyle name="Calculation 2 6 2 6 2" xfId="15721" xr:uid="{00000000-0005-0000-0000-0000890C0000}"/>
    <cellStyle name="Calculation 2 6 2 6 2 2" xfId="30553" xr:uid="{00000000-0005-0000-0000-00008A0C0000}"/>
    <cellStyle name="Calculation 2 6 2 6 3" xfId="22214" xr:uid="{00000000-0005-0000-0000-00008B0C0000}"/>
    <cellStyle name="Calculation 2 6 2 7" xfId="11736" xr:uid="{00000000-0005-0000-0000-00008C0C0000}"/>
    <cellStyle name="Calculation 2 6 2 7 2" xfId="26568" xr:uid="{00000000-0005-0000-0000-00008D0C0000}"/>
    <cellStyle name="Calculation 2 6 2 8" xfId="9407" xr:uid="{00000000-0005-0000-0000-00008E0C0000}"/>
    <cellStyle name="Calculation 2 6 2 8 2" xfId="19711" xr:uid="{00000000-0005-0000-0000-00008F0C0000}"/>
    <cellStyle name="Calculation 2 6 3" xfId="1443" xr:uid="{00000000-0005-0000-0000-0000900C0000}"/>
    <cellStyle name="Calculation 2 6 3 2" xfId="1944" xr:uid="{00000000-0005-0000-0000-0000910C0000}"/>
    <cellStyle name="Calculation 2 6 3 2 2" xfId="3771" xr:uid="{00000000-0005-0000-0000-0000920C0000}"/>
    <cellStyle name="Calculation 2 6 3 2 2 2" xfId="7827" xr:uid="{00000000-0005-0000-0000-0000930C0000}"/>
    <cellStyle name="Calculation 2 6 3 2 2 2 2" xfId="23684" xr:uid="{00000000-0005-0000-0000-0000940C0000}"/>
    <cellStyle name="Calculation 2 6 3 2 2 3" xfId="14106" xr:uid="{00000000-0005-0000-0000-0000950C0000}"/>
    <cellStyle name="Calculation 2 6 3 2 2 3 2" xfId="28938" xr:uid="{00000000-0005-0000-0000-0000960C0000}"/>
    <cellStyle name="Calculation 2 6 3 2 2 4" xfId="21340" xr:uid="{00000000-0005-0000-0000-0000970C0000}"/>
    <cellStyle name="Calculation 2 6 3 2 3" xfId="4923" xr:uid="{00000000-0005-0000-0000-0000980C0000}"/>
    <cellStyle name="Calculation 2 6 3 2 3 2" xfId="8962" xr:uid="{00000000-0005-0000-0000-0000990C0000}"/>
    <cellStyle name="Calculation 2 6 3 2 3 2 2" xfId="24428" xr:uid="{00000000-0005-0000-0000-00009A0C0000}"/>
    <cellStyle name="Calculation 2 6 3 2 3 3" xfId="15245" xr:uid="{00000000-0005-0000-0000-00009B0C0000}"/>
    <cellStyle name="Calculation 2 6 3 2 3 3 2" xfId="30077" xr:uid="{00000000-0005-0000-0000-00009C0C0000}"/>
    <cellStyle name="Calculation 2 6 3 2 3 4" xfId="21958" xr:uid="{00000000-0005-0000-0000-00009D0C0000}"/>
    <cellStyle name="Calculation 2 6 3 2 4" xfId="2913" xr:uid="{00000000-0005-0000-0000-00009E0C0000}"/>
    <cellStyle name="Calculation 2 6 3 2 4 2" xfId="6997" xr:uid="{00000000-0005-0000-0000-00009F0C0000}"/>
    <cellStyle name="Calculation 2 6 3 2 4 2 2" xfId="23171" xr:uid="{00000000-0005-0000-0000-0000A00C0000}"/>
    <cellStyle name="Calculation 2 6 3 2 4 3" xfId="13251" xr:uid="{00000000-0005-0000-0000-0000A10C0000}"/>
    <cellStyle name="Calculation 2 6 3 2 4 3 2" xfId="28083" xr:uid="{00000000-0005-0000-0000-0000A20C0000}"/>
    <cellStyle name="Calculation 2 6 3 2 4 4" xfId="20839" xr:uid="{00000000-0005-0000-0000-0000A30C0000}"/>
    <cellStyle name="Calculation 2 6 3 2 5" xfId="6074" xr:uid="{00000000-0005-0000-0000-0000A40C0000}"/>
    <cellStyle name="Calculation 2 6 3 2 5 2" xfId="16261" xr:uid="{00000000-0005-0000-0000-0000A50C0000}"/>
    <cellStyle name="Calculation 2 6 3 2 5 2 2" xfId="31093" xr:uid="{00000000-0005-0000-0000-0000A60C0000}"/>
    <cellStyle name="Calculation 2 6 3 2 5 3" xfId="22607" xr:uid="{00000000-0005-0000-0000-0000A70C0000}"/>
    <cellStyle name="Calculation 2 6 3 2 6" xfId="12331" xr:uid="{00000000-0005-0000-0000-0000A80C0000}"/>
    <cellStyle name="Calculation 2 6 3 2 6 2" xfId="27163" xr:uid="{00000000-0005-0000-0000-0000A90C0000}"/>
    <cellStyle name="Calculation 2 6 3 2 7" xfId="9928" xr:uid="{00000000-0005-0000-0000-0000AA0C0000}"/>
    <cellStyle name="Calculation 2 6 3 2 7 2" xfId="20130" xr:uid="{00000000-0005-0000-0000-0000AB0C0000}"/>
    <cellStyle name="Calculation 2 6 3 3" xfId="3295" xr:uid="{00000000-0005-0000-0000-0000AC0C0000}"/>
    <cellStyle name="Calculation 2 6 3 3 2" xfId="7359" xr:uid="{00000000-0005-0000-0000-0000AD0C0000}"/>
    <cellStyle name="Calculation 2 6 3 3 2 2" xfId="23382" xr:uid="{00000000-0005-0000-0000-0000AE0C0000}"/>
    <cellStyle name="Calculation 2 6 3 3 3" xfId="13632" xr:uid="{00000000-0005-0000-0000-0000AF0C0000}"/>
    <cellStyle name="Calculation 2 6 3 3 3 2" xfId="28464" xr:uid="{00000000-0005-0000-0000-0000B00C0000}"/>
    <cellStyle name="Calculation 2 6 3 3 4" xfId="21069" xr:uid="{00000000-0005-0000-0000-0000B10C0000}"/>
    <cellStyle name="Calculation 2 6 3 4" xfId="4503" xr:uid="{00000000-0005-0000-0000-0000B20C0000}"/>
    <cellStyle name="Calculation 2 6 3 4 2" xfId="8542" xr:uid="{00000000-0005-0000-0000-0000B30C0000}"/>
    <cellStyle name="Calculation 2 6 3 4 2 2" xfId="24168" xr:uid="{00000000-0005-0000-0000-0000B40C0000}"/>
    <cellStyle name="Calculation 2 6 3 4 3" xfId="14830" xr:uid="{00000000-0005-0000-0000-0000B50C0000}"/>
    <cellStyle name="Calculation 2 6 3 4 3 2" xfId="29662" xr:uid="{00000000-0005-0000-0000-0000B60C0000}"/>
    <cellStyle name="Calculation 2 6 3 4 4" xfId="21728" xr:uid="{00000000-0005-0000-0000-0000B70C0000}"/>
    <cellStyle name="Calculation 2 6 3 5" xfId="2493" xr:uid="{00000000-0005-0000-0000-0000B80C0000}"/>
    <cellStyle name="Calculation 2 6 3 5 2" xfId="6599" xr:uid="{00000000-0005-0000-0000-0000B90C0000}"/>
    <cellStyle name="Calculation 2 6 3 5 2 2" xfId="22937" xr:uid="{00000000-0005-0000-0000-0000BA0C0000}"/>
    <cellStyle name="Calculation 2 6 3 5 3" xfId="12831" xr:uid="{00000000-0005-0000-0000-0000BB0C0000}"/>
    <cellStyle name="Calculation 2 6 3 5 3 2" xfId="27663" xr:uid="{00000000-0005-0000-0000-0000BC0C0000}"/>
    <cellStyle name="Calculation 2 6 3 5 4" xfId="20583" xr:uid="{00000000-0005-0000-0000-0000BD0C0000}"/>
    <cellStyle name="Calculation 2 6 3 6" xfId="5616" xr:uid="{00000000-0005-0000-0000-0000BE0C0000}"/>
    <cellStyle name="Calculation 2 6 3 6 2" xfId="15851" xr:uid="{00000000-0005-0000-0000-0000BF0C0000}"/>
    <cellStyle name="Calculation 2 6 3 6 2 2" xfId="30683" xr:uid="{00000000-0005-0000-0000-0000C00C0000}"/>
    <cellStyle name="Calculation 2 6 3 6 3" xfId="22312" xr:uid="{00000000-0005-0000-0000-0000C10C0000}"/>
    <cellStyle name="Calculation 2 6 3 7" xfId="11860" xr:uid="{00000000-0005-0000-0000-0000C20C0000}"/>
    <cellStyle name="Calculation 2 6 3 7 2" xfId="26692" xr:uid="{00000000-0005-0000-0000-0000C30C0000}"/>
    <cellStyle name="Calculation 2 6 3 8" xfId="9533" xr:uid="{00000000-0005-0000-0000-0000C40C0000}"/>
    <cellStyle name="Calculation 2 6 3 8 2" xfId="19835" xr:uid="{00000000-0005-0000-0000-0000C50C0000}"/>
    <cellStyle name="Calculation 2 6 4" xfId="1411" xr:uid="{00000000-0005-0000-0000-0000C60C0000}"/>
    <cellStyle name="Calculation 2 6 4 2" xfId="1913" xr:uid="{00000000-0005-0000-0000-0000C70C0000}"/>
    <cellStyle name="Calculation 2 6 4 2 2" xfId="3384" xr:uid="{00000000-0005-0000-0000-0000C80C0000}"/>
    <cellStyle name="Calculation 2 6 4 2 2 2" xfId="7447" xr:uid="{00000000-0005-0000-0000-0000C90C0000}"/>
    <cellStyle name="Calculation 2 6 4 2 2 2 2" xfId="23439" xr:uid="{00000000-0005-0000-0000-0000CA0C0000}"/>
    <cellStyle name="Calculation 2 6 4 2 2 3" xfId="13721" xr:uid="{00000000-0005-0000-0000-0000CB0C0000}"/>
    <cellStyle name="Calculation 2 6 4 2 2 3 2" xfId="28553" xr:uid="{00000000-0005-0000-0000-0000CC0C0000}"/>
    <cellStyle name="Calculation 2 6 4 2 2 4" xfId="21121" xr:uid="{00000000-0005-0000-0000-0000CD0C0000}"/>
    <cellStyle name="Calculation 2 6 4 2 3" xfId="4891" xr:uid="{00000000-0005-0000-0000-0000CE0C0000}"/>
    <cellStyle name="Calculation 2 6 4 2 3 2" xfId="8930" xr:uid="{00000000-0005-0000-0000-0000CF0C0000}"/>
    <cellStyle name="Calculation 2 6 4 2 3 2 2" xfId="24396" xr:uid="{00000000-0005-0000-0000-0000D00C0000}"/>
    <cellStyle name="Calculation 2 6 4 2 3 3" xfId="15214" xr:uid="{00000000-0005-0000-0000-0000D10C0000}"/>
    <cellStyle name="Calculation 2 6 4 2 3 3 2" xfId="30046" xr:uid="{00000000-0005-0000-0000-0000D20C0000}"/>
    <cellStyle name="Calculation 2 6 4 2 3 4" xfId="21928" xr:uid="{00000000-0005-0000-0000-0000D30C0000}"/>
    <cellStyle name="Calculation 2 6 4 2 4" xfId="2881" xr:uid="{00000000-0005-0000-0000-0000D40C0000}"/>
    <cellStyle name="Calculation 2 6 4 2 4 2" xfId="6966" xr:uid="{00000000-0005-0000-0000-0000D50C0000}"/>
    <cellStyle name="Calculation 2 6 4 2 4 2 2" xfId="23141" xr:uid="{00000000-0005-0000-0000-0000D60C0000}"/>
    <cellStyle name="Calculation 2 6 4 2 4 3" xfId="13219" xr:uid="{00000000-0005-0000-0000-0000D70C0000}"/>
    <cellStyle name="Calculation 2 6 4 2 4 3 2" xfId="28051" xr:uid="{00000000-0005-0000-0000-0000D80C0000}"/>
    <cellStyle name="Calculation 2 6 4 2 4 4" xfId="20807" xr:uid="{00000000-0005-0000-0000-0000D90C0000}"/>
    <cellStyle name="Calculation 2 6 4 2 5" xfId="6044" xr:uid="{00000000-0005-0000-0000-0000DA0C0000}"/>
    <cellStyle name="Calculation 2 6 4 2 5 2" xfId="16231" xr:uid="{00000000-0005-0000-0000-0000DB0C0000}"/>
    <cellStyle name="Calculation 2 6 4 2 5 2 2" xfId="31063" xr:uid="{00000000-0005-0000-0000-0000DC0C0000}"/>
    <cellStyle name="Calculation 2 6 4 2 5 3" xfId="22577" xr:uid="{00000000-0005-0000-0000-0000DD0C0000}"/>
    <cellStyle name="Calculation 2 6 4 2 6" xfId="12301" xr:uid="{00000000-0005-0000-0000-0000DE0C0000}"/>
    <cellStyle name="Calculation 2 6 4 2 6 2" xfId="27133" xr:uid="{00000000-0005-0000-0000-0000DF0C0000}"/>
    <cellStyle name="Calculation 2 6 4 2 7" xfId="9897" xr:uid="{00000000-0005-0000-0000-0000E00C0000}"/>
    <cellStyle name="Calculation 2 6 4 2 7 2" xfId="20100" xr:uid="{00000000-0005-0000-0000-0000E10C0000}"/>
    <cellStyle name="Calculation 2 6 4 3" xfId="4005" xr:uid="{00000000-0005-0000-0000-0000E20C0000}"/>
    <cellStyle name="Calculation 2 6 4 3 2" xfId="8052" xr:uid="{00000000-0005-0000-0000-0000E30C0000}"/>
    <cellStyle name="Calculation 2 6 4 3 2 2" xfId="23832" xr:uid="{00000000-0005-0000-0000-0000E40C0000}"/>
    <cellStyle name="Calculation 2 6 4 3 3" xfId="14337" xr:uid="{00000000-0005-0000-0000-0000E50C0000}"/>
    <cellStyle name="Calculation 2 6 4 3 3 2" xfId="29169" xr:uid="{00000000-0005-0000-0000-0000E60C0000}"/>
    <cellStyle name="Calculation 2 6 4 3 4" xfId="21470" xr:uid="{00000000-0005-0000-0000-0000E70C0000}"/>
    <cellStyle name="Calculation 2 6 4 4" xfId="4471" xr:uid="{00000000-0005-0000-0000-0000E80C0000}"/>
    <cellStyle name="Calculation 2 6 4 4 2" xfId="8510" xr:uid="{00000000-0005-0000-0000-0000E90C0000}"/>
    <cellStyle name="Calculation 2 6 4 4 2 2" xfId="24136" xr:uid="{00000000-0005-0000-0000-0000EA0C0000}"/>
    <cellStyle name="Calculation 2 6 4 4 3" xfId="14799" xr:uid="{00000000-0005-0000-0000-0000EB0C0000}"/>
    <cellStyle name="Calculation 2 6 4 4 3 2" xfId="29631" xr:uid="{00000000-0005-0000-0000-0000EC0C0000}"/>
    <cellStyle name="Calculation 2 6 4 4 4" xfId="21698" xr:uid="{00000000-0005-0000-0000-0000ED0C0000}"/>
    <cellStyle name="Calculation 2 6 4 5" xfId="2461" xr:uid="{00000000-0005-0000-0000-0000EE0C0000}"/>
    <cellStyle name="Calculation 2 6 4 5 2" xfId="6567" xr:uid="{00000000-0005-0000-0000-0000EF0C0000}"/>
    <cellStyle name="Calculation 2 6 4 5 2 2" xfId="22905" xr:uid="{00000000-0005-0000-0000-0000F00C0000}"/>
    <cellStyle name="Calculation 2 6 4 5 3" xfId="12800" xr:uid="{00000000-0005-0000-0000-0000F10C0000}"/>
    <cellStyle name="Calculation 2 6 4 5 3 2" xfId="27632" xr:uid="{00000000-0005-0000-0000-0000F20C0000}"/>
    <cellStyle name="Calculation 2 6 4 5 4" xfId="20553" xr:uid="{00000000-0005-0000-0000-0000F30C0000}"/>
    <cellStyle name="Calculation 2 6 4 6" xfId="5585" xr:uid="{00000000-0005-0000-0000-0000F40C0000}"/>
    <cellStyle name="Calculation 2 6 4 6 2" xfId="15820" xr:uid="{00000000-0005-0000-0000-0000F50C0000}"/>
    <cellStyle name="Calculation 2 6 4 6 2 2" xfId="30652" xr:uid="{00000000-0005-0000-0000-0000F60C0000}"/>
    <cellStyle name="Calculation 2 6 4 6 3" xfId="22281" xr:uid="{00000000-0005-0000-0000-0000F70C0000}"/>
    <cellStyle name="Calculation 2 6 4 7" xfId="11830" xr:uid="{00000000-0005-0000-0000-0000F80C0000}"/>
    <cellStyle name="Calculation 2 6 4 7 2" xfId="26662" xr:uid="{00000000-0005-0000-0000-0000F90C0000}"/>
    <cellStyle name="Calculation 2 6 4 8" xfId="9502" xr:uid="{00000000-0005-0000-0000-0000FA0C0000}"/>
    <cellStyle name="Calculation 2 6 4 8 2" xfId="19805" xr:uid="{00000000-0005-0000-0000-0000FB0C0000}"/>
    <cellStyle name="Calculation 2 6 5" xfId="1422" xr:uid="{00000000-0005-0000-0000-0000FC0C0000}"/>
    <cellStyle name="Calculation 2 6 5 2" xfId="1923" xr:uid="{00000000-0005-0000-0000-0000FD0C0000}"/>
    <cellStyle name="Calculation 2 6 5 2 2" xfId="3371" xr:uid="{00000000-0005-0000-0000-0000FE0C0000}"/>
    <cellStyle name="Calculation 2 6 5 2 2 2" xfId="7434" xr:uid="{00000000-0005-0000-0000-0000FF0C0000}"/>
    <cellStyle name="Calculation 2 6 5 2 2 2 2" xfId="23432" xr:uid="{00000000-0005-0000-0000-0000000D0000}"/>
    <cellStyle name="Calculation 2 6 5 2 2 3" xfId="13708" xr:uid="{00000000-0005-0000-0000-0000010D0000}"/>
    <cellStyle name="Calculation 2 6 5 2 2 3 2" xfId="28540" xr:uid="{00000000-0005-0000-0000-0000020D0000}"/>
    <cellStyle name="Calculation 2 6 5 2 2 4" xfId="21114" xr:uid="{00000000-0005-0000-0000-0000030D0000}"/>
    <cellStyle name="Calculation 2 6 5 2 3" xfId="4902" xr:uid="{00000000-0005-0000-0000-0000040D0000}"/>
    <cellStyle name="Calculation 2 6 5 2 3 2" xfId="8941" xr:uid="{00000000-0005-0000-0000-0000050D0000}"/>
    <cellStyle name="Calculation 2 6 5 2 3 2 2" xfId="24407" xr:uid="{00000000-0005-0000-0000-0000060D0000}"/>
    <cellStyle name="Calculation 2 6 5 2 3 3" xfId="15224" xr:uid="{00000000-0005-0000-0000-0000070D0000}"/>
    <cellStyle name="Calculation 2 6 5 2 3 3 2" xfId="30056" xr:uid="{00000000-0005-0000-0000-0000080D0000}"/>
    <cellStyle name="Calculation 2 6 5 2 3 4" xfId="21937" xr:uid="{00000000-0005-0000-0000-0000090D0000}"/>
    <cellStyle name="Calculation 2 6 5 2 4" xfId="2892" xr:uid="{00000000-0005-0000-0000-00000A0D0000}"/>
    <cellStyle name="Calculation 2 6 5 2 4 2" xfId="6976" xr:uid="{00000000-0005-0000-0000-00000B0D0000}"/>
    <cellStyle name="Calculation 2 6 5 2 4 2 2" xfId="23150" xr:uid="{00000000-0005-0000-0000-00000C0D0000}"/>
    <cellStyle name="Calculation 2 6 5 2 4 3" xfId="13230" xr:uid="{00000000-0005-0000-0000-00000D0D0000}"/>
    <cellStyle name="Calculation 2 6 5 2 4 3 2" xfId="28062" xr:uid="{00000000-0005-0000-0000-00000E0D0000}"/>
    <cellStyle name="Calculation 2 6 5 2 4 4" xfId="20818" xr:uid="{00000000-0005-0000-0000-00000F0D0000}"/>
    <cellStyle name="Calculation 2 6 5 2 5" xfId="6053" xr:uid="{00000000-0005-0000-0000-0000100D0000}"/>
    <cellStyle name="Calculation 2 6 5 2 5 2" xfId="16240" xr:uid="{00000000-0005-0000-0000-0000110D0000}"/>
    <cellStyle name="Calculation 2 6 5 2 5 2 2" xfId="31072" xr:uid="{00000000-0005-0000-0000-0000120D0000}"/>
    <cellStyle name="Calculation 2 6 5 2 5 3" xfId="22586" xr:uid="{00000000-0005-0000-0000-0000130D0000}"/>
    <cellStyle name="Calculation 2 6 5 2 6" xfId="12310" xr:uid="{00000000-0005-0000-0000-0000140D0000}"/>
    <cellStyle name="Calculation 2 6 5 2 6 2" xfId="27142" xr:uid="{00000000-0005-0000-0000-0000150D0000}"/>
    <cellStyle name="Calculation 2 6 5 2 7" xfId="9907" xr:uid="{00000000-0005-0000-0000-0000160D0000}"/>
    <cellStyle name="Calculation 2 6 5 2 7 2" xfId="20109" xr:uid="{00000000-0005-0000-0000-0000170D0000}"/>
    <cellStyle name="Calculation 2 6 5 3" xfId="3865" xr:uid="{00000000-0005-0000-0000-0000180D0000}"/>
    <cellStyle name="Calculation 2 6 5 3 2" xfId="7917" xr:uid="{00000000-0005-0000-0000-0000190D0000}"/>
    <cellStyle name="Calculation 2 6 5 3 2 2" xfId="23749" xr:uid="{00000000-0005-0000-0000-00001A0D0000}"/>
    <cellStyle name="Calculation 2 6 5 3 3" xfId="14200" xr:uid="{00000000-0005-0000-0000-00001B0D0000}"/>
    <cellStyle name="Calculation 2 6 5 3 3 2" xfId="29032" xr:uid="{00000000-0005-0000-0000-00001C0D0000}"/>
    <cellStyle name="Calculation 2 6 5 3 4" xfId="21391" xr:uid="{00000000-0005-0000-0000-00001D0D0000}"/>
    <cellStyle name="Calculation 2 6 5 4" xfId="4482" xr:uid="{00000000-0005-0000-0000-00001E0D0000}"/>
    <cellStyle name="Calculation 2 6 5 4 2" xfId="8521" xr:uid="{00000000-0005-0000-0000-00001F0D0000}"/>
    <cellStyle name="Calculation 2 6 5 4 2 2" xfId="24147" xr:uid="{00000000-0005-0000-0000-0000200D0000}"/>
    <cellStyle name="Calculation 2 6 5 4 3" xfId="14809" xr:uid="{00000000-0005-0000-0000-0000210D0000}"/>
    <cellStyle name="Calculation 2 6 5 4 3 2" xfId="29641" xr:uid="{00000000-0005-0000-0000-0000220D0000}"/>
    <cellStyle name="Calculation 2 6 5 4 4" xfId="21707" xr:uid="{00000000-0005-0000-0000-0000230D0000}"/>
    <cellStyle name="Calculation 2 6 5 5" xfId="2472" xr:uid="{00000000-0005-0000-0000-0000240D0000}"/>
    <cellStyle name="Calculation 2 6 5 5 2" xfId="6578" xr:uid="{00000000-0005-0000-0000-0000250D0000}"/>
    <cellStyle name="Calculation 2 6 5 5 2 2" xfId="22916" xr:uid="{00000000-0005-0000-0000-0000260D0000}"/>
    <cellStyle name="Calculation 2 6 5 5 3" xfId="12810" xr:uid="{00000000-0005-0000-0000-0000270D0000}"/>
    <cellStyle name="Calculation 2 6 5 5 3 2" xfId="27642" xr:uid="{00000000-0005-0000-0000-0000280D0000}"/>
    <cellStyle name="Calculation 2 6 5 5 4" xfId="20562" xr:uid="{00000000-0005-0000-0000-0000290D0000}"/>
    <cellStyle name="Calculation 2 6 5 6" xfId="5595" xr:uid="{00000000-0005-0000-0000-00002A0D0000}"/>
    <cellStyle name="Calculation 2 6 5 6 2" xfId="15830" xr:uid="{00000000-0005-0000-0000-00002B0D0000}"/>
    <cellStyle name="Calculation 2 6 5 6 2 2" xfId="30662" xr:uid="{00000000-0005-0000-0000-00002C0D0000}"/>
    <cellStyle name="Calculation 2 6 5 6 3" xfId="22291" xr:uid="{00000000-0005-0000-0000-00002D0D0000}"/>
    <cellStyle name="Calculation 2 6 5 7" xfId="11839" xr:uid="{00000000-0005-0000-0000-00002E0D0000}"/>
    <cellStyle name="Calculation 2 6 5 7 2" xfId="26671" xr:uid="{00000000-0005-0000-0000-00002F0D0000}"/>
    <cellStyle name="Calculation 2 6 5 8" xfId="9512" xr:uid="{00000000-0005-0000-0000-0000300D0000}"/>
    <cellStyle name="Calculation 2 6 5 8 2" xfId="19814" xr:uid="{00000000-0005-0000-0000-0000310D0000}"/>
    <cellStyle name="Calculation 2 6 6" xfId="1720" xr:uid="{00000000-0005-0000-0000-0000320D0000}"/>
    <cellStyle name="Calculation 2 6 6 2" xfId="3663" xr:uid="{00000000-0005-0000-0000-0000330D0000}"/>
    <cellStyle name="Calculation 2 6 6 2 2" xfId="7722" xr:uid="{00000000-0005-0000-0000-0000340D0000}"/>
    <cellStyle name="Calculation 2 6 6 2 2 2" xfId="23618" xr:uid="{00000000-0005-0000-0000-0000350D0000}"/>
    <cellStyle name="Calculation 2 6 6 2 3" xfId="13998" xr:uid="{00000000-0005-0000-0000-0000360D0000}"/>
    <cellStyle name="Calculation 2 6 6 2 3 2" xfId="28830" xr:uid="{00000000-0005-0000-0000-0000370D0000}"/>
    <cellStyle name="Calculation 2 6 6 2 4" xfId="21282" xr:uid="{00000000-0005-0000-0000-0000380D0000}"/>
    <cellStyle name="Calculation 2 6 6 3" xfId="4713" xr:uid="{00000000-0005-0000-0000-0000390D0000}"/>
    <cellStyle name="Calculation 2 6 6 3 2" xfId="8752" xr:uid="{00000000-0005-0000-0000-00003A0D0000}"/>
    <cellStyle name="Calculation 2 6 6 3 2 2" xfId="24282" xr:uid="{00000000-0005-0000-0000-00003B0D0000}"/>
    <cellStyle name="Calculation 2 6 6 3 3" xfId="15037" xr:uid="{00000000-0005-0000-0000-00003C0D0000}"/>
    <cellStyle name="Calculation 2 6 6 3 3 2" xfId="29869" xr:uid="{00000000-0005-0000-0000-00003D0D0000}"/>
    <cellStyle name="Calculation 2 6 6 3 4" xfId="21820" xr:uid="{00000000-0005-0000-0000-00003E0D0000}"/>
    <cellStyle name="Calculation 2 6 6 4" xfId="2703" xr:uid="{00000000-0005-0000-0000-00003F0D0000}"/>
    <cellStyle name="Calculation 2 6 6 4 2" xfId="6794" xr:uid="{00000000-0005-0000-0000-0000400D0000}"/>
    <cellStyle name="Calculation 2 6 6 4 2 2" xfId="23033" xr:uid="{00000000-0005-0000-0000-0000410D0000}"/>
    <cellStyle name="Calculation 2 6 6 4 3" xfId="13041" xr:uid="{00000000-0005-0000-0000-0000420D0000}"/>
    <cellStyle name="Calculation 2 6 6 4 3 2" xfId="27873" xr:uid="{00000000-0005-0000-0000-0000430D0000}"/>
    <cellStyle name="Calculation 2 6 6 4 4" xfId="20693" xr:uid="{00000000-0005-0000-0000-0000440D0000}"/>
    <cellStyle name="Calculation 2 6 6 5" xfId="5852" xr:uid="{00000000-0005-0000-0000-0000450D0000}"/>
    <cellStyle name="Calculation 2 6 6 5 2" xfId="16044" xr:uid="{00000000-0005-0000-0000-0000460D0000}"/>
    <cellStyle name="Calculation 2 6 6 5 2 2" xfId="30876" xr:uid="{00000000-0005-0000-0000-0000470D0000}"/>
    <cellStyle name="Calculation 2 6 6 5 3" xfId="22449" xr:uid="{00000000-0005-0000-0000-0000480D0000}"/>
    <cellStyle name="Calculation 2 6 6 6" xfId="12114" xr:uid="{00000000-0005-0000-0000-0000490D0000}"/>
    <cellStyle name="Calculation 2 6 6 6 2" xfId="26946" xr:uid="{00000000-0005-0000-0000-00004A0D0000}"/>
    <cellStyle name="Calculation 2 6 6 7" xfId="9725" xr:uid="{00000000-0005-0000-0000-00004B0D0000}"/>
    <cellStyle name="Calculation 2 6 6 7 2" xfId="20023" xr:uid="{00000000-0005-0000-0000-00004C0D0000}"/>
    <cellStyle name="Calculation 2 6 7" xfId="2231" xr:uid="{00000000-0005-0000-0000-00004D0D0000}"/>
    <cellStyle name="Calculation 2 6 7 2" xfId="3424" xr:uid="{00000000-0005-0000-0000-00004E0D0000}"/>
    <cellStyle name="Calculation 2 6 7 2 2" xfId="7487" xr:uid="{00000000-0005-0000-0000-00004F0D0000}"/>
    <cellStyle name="Calculation 2 6 7 2 2 2" xfId="23467" xr:uid="{00000000-0005-0000-0000-0000500D0000}"/>
    <cellStyle name="Calculation 2 6 7 2 3" xfId="13761" xr:uid="{00000000-0005-0000-0000-0000510D0000}"/>
    <cellStyle name="Calculation 2 6 7 2 3 2" xfId="28593" xr:uid="{00000000-0005-0000-0000-0000520D0000}"/>
    <cellStyle name="Calculation 2 6 7 2 4" xfId="21144" xr:uid="{00000000-0005-0000-0000-0000530D0000}"/>
    <cellStyle name="Calculation 2 6 7 3" xfId="5199" xr:uid="{00000000-0005-0000-0000-0000540D0000}"/>
    <cellStyle name="Calculation 2 6 7 3 2" xfId="9238" xr:uid="{00000000-0005-0000-0000-0000550D0000}"/>
    <cellStyle name="Calculation 2 6 7 3 2 2" xfId="24576" xr:uid="{00000000-0005-0000-0000-0000560D0000}"/>
    <cellStyle name="Calculation 2 6 7 3 3" xfId="15517" xr:uid="{00000000-0005-0000-0000-0000570D0000}"/>
    <cellStyle name="Calculation 2 6 7 3 3 2" xfId="30349" xr:uid="{00000000-0005-0000-0000-0000580D0000}"/>
    <cellStyle name="Calculation 2 6 7 3 4" xfId="22083" xr:uid="{00000000-0005-0000-0000-0000590D0000}"/>
    <cellStyle name="Calculation 2 6 7 4" xfId="4229" xr:uid="{00000000-0005-0000-0000-00005A0D0000}"/>
    <cellStyle name="Calculation 2 6 7 4 2" xfId="8270" xr:uid="{00000000-0005-0000-0000-00005B0D0000}"/>
    <cellStyle name="Calculation 2 6 7 4 2 2" xfId="23965" xr:uid="{00000000-0005-0000-0000-00005C0D0000}"/>
    <cellStyle name="Calculation 2 6 7 4 3" xfId="14561" xr:uid="{00000000-0005-0000-0000-00005D0D0000}"/>
    <cellStyle name="Calculation 2 6 7 4 3 2" xfId="29393" xr:uid="{00000000-0005-0000-0000-00005E0D0000}"/>
    <cellStyle name="Calculation 2 6 7 4 4" xfId="21590" xr:uid="{00000000-0005-0000-0000-00005F0D0000}"/>
    <cellStyle name="Calculation 2 6 7 5" xfId="6345" xr:uid="{00000000-0005-0000-0000-0000600D0000}"/>
    <cellStyle name="Calculation 2 6 7 5 2" xfId="22747" xr:uid="{00000000-0005-0000-0000-0000610D0000}"/>
    <cellStyle name="Calculation 2 6 7 6" xfId="12599" xr:uid="{00000000-0005-0000-0000-0000620D0000}"/>
    <cellStyle name="Calculation 2 6 7 6 2" xfId="27431" xr:uid="{00000000-0005-0000-0000-0000630D0000}"/>
    <cellStyle name="Calculation 2 6 7 7" xfId="20426" xr:uid="{00000000-0005-0000-0000-0000640D0000}"/>
    <cellStyle name="Calculation 2 6 8" xfId="3945" xr:uid="{00000000-0005-0000-0000-0000650D0000}"/>
    <cellStyle name="Calculation 2 6 8 2" xfId="7995" xr:uid="{00000000-0005-0000-0000-0000660D0000}"/>
    <cellStyle name="Calculation 2 6 8 2 2" xfId="23796" xr:uid="{00000000-0005-0000-0000-0000670D0000}"/>
    <cellStyle name="Calculation 2 6 8 3" xfId="14278" xr:uid="{00000000-0005-0000-0000-0000680D0000}"/>
    <cellStyle name="Calculation 2 6 8 3 2" xfId="29110" xr:uid="{00000000-0005-0000-0000-0000690D0000}"/>
    <cellStyle name="Calculation 2 6 8 4" xfId="21438" xr:uid="{00000000-0005-0000-0000-00006A0D0000}"/>
    <cellStyle name="Calculation 2 6 9" xfId="3304" xr:uid="{00000000-0005-0000-0000-00006B0D0000}"/>
    <cellStyle name="Calculation 2 6 9 2" xfId="7368" xr:uid="{00000000-0005-0000-0000-00006C0D0000}"/>
    <cellStyle name="Calculation 2 6 9 2 2" xfId="23388" xr:uid="{00000000-0005-0000-0000-00006D0D0000}"/>
    <cellStyle name="Calculation 2 6 9 3" xfId="13641" xr:uid="{00000000-0005-0000-0000-00006E0D0000}"/>
    <cellStyle name="Calculation 2 6 9 3 2" xfId="28473" xr:uid="{00000000-0005-0000-0000-00006F0D0000}"/>
    <cellStyle name="Calculation 2 6 9 4" xfId="21075" xr:uid="{00000000-0005-0000-0000-0000700D0000}"/>
    <cellStyle name="Calculation 2 7" xfId="968" xr:uid="{00000000-0005-0000-0000-0000710D0000}"/>
    <cellStyle name="Calculation 2 7 10" xfId="2274" xr:uid="{00000000-0005-0000-0000-0000720D0000}"/>
    <cellStyle name="Calculation 2 7 10 2" xfId="6386" xr:uid="{00000000-0005-0000-0000-0000730D0000}"/>
    <cellStyle name="Calculation 2 7 10 2 2" xfId="22788" xr:uid="{00000000-0005-0000-0000-0000740D0000}"/>
    <cellStyle name="Calculation 2 7 10 3" xfId="12614" xr:uid="{00000000-0005-0000-0000-0000750D0000}"/>
    <cellStyle name="Calculation 2 7 10 3 2" xfId="27446" xr:uid="{00000000-0005-0000-0000-0000760D0000}"/>
    <cellStyle name="Calculation 2 7 10 4" xfId="20440" xr:uid="{00000000-0005-0000-0000-0000770D0000}"/>
    <cellStyle name="Calculation 2 7 11" xfId="5240" xr:uid="{00000000-0005-0000-0000-0000780D0000}"/>
    <cellStyle name="Calculation 2 7 11 2" xfId="15556" xr:uid="{00000000-0005-0000-0000-0000790D0000}"/>
    <cellStyle name="Calculation 2 7 11 2 2" xfId="30388" xr:uid="{00000000-0005-0000-0000-00007A0D0000}"/>
    <cellStyle name="Calculation 2 7 11 3" xfId="22097" xr:uid="{00000000-0005-0000-0000-00007B0D0000}"/>
    <cellStyle name="Calculation 2 7 12" xfId="5398" xr:uid="{00000000-0005-0000-0000-00007C0D0000}"/>
    <cellStyle name="Calculation 2 7 12 2" xfId="15634" xr:uid="{00000000-0005-0000-0000-00007D0D0000}"/>
    <cellStyle name="Calculation 2 7 12 2 2" xfId="30466" xr:uid="{00000000-0005-0000-0000-00007E0D0000}"/>
    <cellStyle name="Calculation 2 7 12 3" xfId="22159" xr:uid="{00000000-0005-0000-0000-00007F0D0000}"/>
    <cellStyle name="Calculation 2 7 13" xfId="9393" xr:uid="{00000000-0005-0000-0000-0000800D0000}"/>
    <cellStyle name="Calculation 2 7 13 2" xfId="24699" xr:uid="{00000000-0005-0000-0000-0000810D0000}"/>
    <cellStyle name="Calculation 2 7 14" xfId="5803" xr:uid="{00000000-0005-0000-0000-0000820D0000}"/>
    <cellStyle name="Calculation 2 7 14 2" xfId="18412" xr:uid="{00000000-0005-0000-0000-0000830D0000}"/>
    <cellStyle name="Calculation 2 7 2" xfId="1310" xr:uid="{00000000-0005-0000-0000-0000840D0000}"/>
    <cellStyle name="Calculation 2 7 2 2" xfId="1814" xr:uid="{00000000-0005-0000-0000-0000850D0000}"/>
    <cellStyle name="Calculation 2 7 2 2 2" xfId="3975" xr:uid="{00000000-0005-0000-0000-0000860D0000}"/>
    <cellStyle name="Calculation 2 7 2 2 2 2" xfId="8024" xr:uid="{00000000-0005-0000-0000-0000870D0000}"/>
    <cellStyle name="Calculation 2 7 2 2 2 2 2" xfId="23815" xr:uid="{00000000-0005-0000-0000-0000880D0000}"/>
    <cellStyle name="Calculation 2 7 2 2 2 3" xfId="14308" xr:uid="{00000000-0005-0000-0000-0000890D0000}"/>
    <cellStyle name="Calculation 2 7 2 2 2 3 2" xfId="29140" xr:uid="{00000000-0005-0000-0000-00008A0D0000}"/>
    <cellStyle name="Calculation 2 7 2 2 2 4" xfId="21453" xr:uid="{00000000-0005-0000-0000-00008B0D0000}"/>
    <cellStyle name="Calculation 2 7 2 2 3" xfId="4792" xr:uid="{00000000-0005-0000-0000-00008C0D0000}"/>
    <cellStyle name="Calculation 2 7 2 2 3 2" xfId="8831" xr:uid="{00000000-0005-0000-0000-00008D0D0000}"/>
    <cellStyle name="Calculation 2 7 2 2 3 2 2" xfId="24329" xr:uid="{00000000-0005-0000-0000-00008E0D0000}"/>
    <cellStyle name="Calculation 2 7 2 2 3 3" xfId="15116" xr:uid="{00000000-0005-0000-0000-00008F0D0000}"/>
    <cellStyle name="Calculation 2 7 2 2 3 3 2" xfId="29948" xr:uid="{00000000-0005-0000-0000-0000900D0000}"/>
    <cellStyle name="Calculation 2 7 2 2 3 4" xfId="21867" xr:uid="{00000000-0005-0000-0000-0000910D0000}"/>
    <cellStyle name="Calculation 2 7 2 2 4" xfId="2782" xr:uid="{00000000-0005-0000-0000-0000920D0000}"/>
    <cellStyle name="Calculation 2 7 2 2 4 2" xfId="6873" xr:uid="{00000000-0005-0000-0000-0000930D0000}"/>
    <cellStyle name="Calculation 2 7 2 2 4 2 2" xfId="23080" xr:uid="{00000000-0005-0000-0000-0000940D0000}"/>
    <cellStyle name="Calculation 2 7 2 2 4 3" xfId="13120" xr:uid="{00000000-0005-0000-0000-0000950D0000}"/>
    <cellStyle name="Calculation 2 7 2 2 4 3 2" xfId="27952" xr:uid="{00000000-0005-0000-0000-0000960D0000}"/>
    <cellStyle name="Calculation 2 7 2 2 4 4" xfId="20740" xr:uid="{00000000-0005-0000-0000-0000970D0000}"/>
    <cellStyle name="Calculation 2 7 2 2 5" xfId="5946" xr:uid="{00000000-0005-0000-0000-0000980D0000}"/>
    <cellStyle name="Calculation 2 7 2 2 5 2" xfId="16138" xr:uid="{00000000-0005-0000-0000-0000990D0000}"/>
    <cellStyle name="Calculation 2 7 2 2 5 2 2" xfId="30970" xr:uid="{00000000-0005-0000-0000-00009A0D0000}"/>
    <cellStyle name="Calculation 2 7 2 2 5 3" xfId="22511" xr:uid="{00000000-0005-0000-0000-00009B0D0000}"/>
    <cellStyle name="Calculation 2 7 2 2 6" xfId="12208" xr:uid="{00000000-0005-0000-0000-00009C0D0000}"/>
    <cellStyle name="Calculation 2 7 2 2 6 2" xfId="27040" xr:uid="{00000000-0005-0000-0000-00009D0D0000}"/>
    <cellStyle name="Calculation 2 7 2 2 7" xfId="9804" xr:uid="{00000000-0005-0000-0000-00009E0D0000}"/>
    <cellStyle name="Calculation 2 7 2 2 7 2" xfId="20055" xr:uid="{00000000-0005-0000-0000-00009F0D0000}"/>
    <cellStyle name="Calculation 2 7 2 3" xfId="3609" xr:uid="{00000000-0005-0000-0000-0000A00D0000}"/>
    <cellStyle name="Calculation 2 7 2 3 2" xfId="7670" xr:uid="{00000000-0005-0000-0000-0000A10D0000}"/>
    <cellStyle name="Calculation 2 7 2 3 2 2" xfId="23580" xr:uid="{00000000-0005-0000-0000-0000A20D0000}"/>
    <cellStyle name="Calculation 2 7 2 3 3" xfId="13945" xr:uid="{00000000-0005-0000-0000-0000A30D0000}"/>
    <cellStyle name="Calculation 2 7 2 3 3 2" xfId="28777" xr:uid="{00000000-0005-0000-0000-0000A40D0000}"/>
    <cellStyle name="Calculation 2 7 2 3 4" xfId="21249" xr:uid="{00000000-0005-0000-0000-0000A50D0000}"/>
    <cellStyle name="Calculation 2 7 2 4" xfId="4372" xr:uid="{00000000-0005-0000-0000-0000A60D0000}"/>
    <cellStyle name="Calculation 2 7 2 4 2" xfId="8411" xr:uid="{00000000-0005-0000-0000-0000A70D0000}"/>
    <cellStyle name="Calculation 2 7 2 4 2 2" xfId="24069" xr:uid="{00000000-0005-0000-0000-0000A80D0000}"/>
    <cellStyle name="Calculation 2 7 2 4 3" xfId="14701" xr:uid="{00000000-0005-0000-0000-0000A90D0000}"/>
    <cellStyle name="Calculation 2 7 2 4 3 2" xfId="29533" xr:uid="{00000000-0005-0000-0000-0000AA0D0000}"/>
    <cellStyle name="Calculation 2 7 2 4 4" xfId="21637" xr:uid="{00000000-0005-0000-0000-0000AB0D0000}"/>
    <cellStyle name="Calculation 2 7 2 5" xfId="2362" xr:uid="{00000000-0005-0000-0000-0000AC0D0000}"/>
    <cellStyle name="Calculation 2 7 2 5 2" xfId="6474" xr:uid="{00000000-0005-0000-0000-0000AD0D0000}"/>
    <cellStyle name="Calculation 2 7 2 5 2 2" xfId="22844" xr:uid="{00000000-0005-0000-0000-0000AE0D0000}"/>
    <cellStyle name="Calculation 2 7 2 5 3" xfId="12701" xr:uid="{00000000-0005-0000-0000-0000AF0D0000}"/>
    <cellStyle name="Calculation 2 7 2 5 3 2" xfId="27533" xr:uid="{00000000-0005-0000-0000-0000B00D0000}"/>
    <cellStyle name="Calculation 2 7 2 5 4" xfId="20486" xr:uid="{00000000-0005-0000-0000-0000B10D0000}"/>
    <cellStyle name="Calculation 2 7 2 6" xfId="5487" xr:uid="{00000000-0005-0000-0000-0000B20D0000}"/>
    <cellStyle name="Calculation 2 7 2 6 2" xfId="15722" xr:uid="{00000000-0005-0000-0000-0000B30D0000}"/>
    <cellStyle name="Calculation 2 7 2 6 2 2" xfId="30554" xr:uid="{00000000-0005-0000-0000-0000B40D0000}"/>
    <cellStyle name="Calculation 2 7 2 6 3" xfId="22215" xr:uid="{00000000-0005-0000-0000-0000B50D0000}"/>
    <cellStyle name="Calculation 2 7 2 7" xfId="11737" xr:uid="{00000000-0005-0000-0000-0000B60D0000}"/>
    <cellStyle name="Calculation 2 7 2 7 2" xfId="26569" xr:uid="{00000000-0005-0000-0000-0000B70D0000}"/>
    <cellStyle name="Calculation 2 7 2 8" xfId="9408" xr:uid="{00000000-0005-0000-0000-0000B80D0000}"/>
    <cellStyle name="Calculation 2 7 2 8 2" xfId="19712" xr:uid="{00000000-0005-0000-0000-0000B90D0000}"/>
    <cellStyle name="Calculation 2 7 3" xfId="1444" xr:uid="{00000000-0005-0000-0000-0000BA0D0000}"/>
    <cellStyle name="Calculation 2 7 3 2" xfId="1945" xr:uid="{00000000-0005-0000-0000-0000BB0D0000}"/>
    <cellStyle name="Calculation 2 7 3 2 2" xfId="3397" xr:uid="{00000000-0005-0000-0000-0000BC0D0000}"/>
    <cellStyle name="Calculation 2 7 3 2 2 2" xfId="7460" xr:uid="{00000000-0005-0000-0000-0000BD0D0000}"/>
    <cellStyle name="Calculation 2 7 3 2 2 2 2" xfId="23449" xr:uid="{00000000-0005-0000-0000-0000BE0D0000}"/>
    <cellStyle name="Calculation 2 7 3 2 2 3" xfId="13734" xr:uid="{00000000-0005-0000-0000-0000BF0D0000}"/>
    <cellStyle name="Calculation 2 7 3 2 2 3 2" xfId="28566" xr:uid="{00000000-0005-0000-0000-0000C00D0000}"/>
    <cellStyle name="Calculation 2 7 3 2 2 4" xfId="21127" xr:uid="{00000000-0005-0000-0000-0000C10D0000}"/>
    <cellStyle name="Calculation 2 7 3 2 3" xfId="4924" xr:uid="{00000000-0005-0000-0000-0000C20D0000}"/>
    <cellStyle name="Calculation 2 7 3 2 3 2" xfId="8963" xr:uid="{00000000-0005-0000-0000-0000C30D0000}"/>
    <cellStyle name="Calculation 2 7 3 2 3 2 2" xfId="24429" xr:uid="{00000000-0005-0000-0000-0000C40D0000}"/>
    <cellStyle name="Calculation 2 7 3 2 3 3" xfId="15246" xr:uid="{00000000-0005-0000-0000-0000C50D0000}"/>
    <cellStyle name="Calculation 2 7 3 2 3 3 2" xfId="30078" xr:uid="{00000000-0005-0000-0000-0000C60D0000}"/>
    <cellStyle name="Calculation 2 7 3 2 3 4" xfId="21959" xr:uid="{00000000-0005-0000-0000-0000C70D0000}"/>
    <cellStyle name="Calculation 2 7 3 2 4" xfId="2914" xr:uid="{00000000-0005-0000-0000-0000C80D0000}"/>
    <cellStyle name="Calculation 2 7 3 2 4 2" xfId="6998" xr:uid="{00000000-0005-0000-0000-0000C90D0000}"/>
    <cellStyle name="Calculation 2 7 3 2 4 2 2" xfId="23172" xr:uid="{00000000-0005-0000-0000-0000CA0D0000}"/>
    <cellStyle name="Calculation 2 7 3 2 4 3" xfId="13252" xr:uid="{00000000-0005-0000-0000-0000CB0D0000}"/>
    <cellStyle name="Calculation 2 7 3 2 4 3 2" xfId="28084" xr:uid="{00000000-0005-0000-0000-0000CC0D0000}"/>
    <cellStyle name="Calculation 2 7 3 2 4 4" xfId="20840" xr:uid="{00000000-0005-0000-0000-0000CD0D0000}"/>
    <cellStyle name="Calculation 2 7 3 2 5" xfId="6075" xr:uid="{00000000-0005-0000-0000-0000CE0D0000}"/>
    <cellStyle name="Calculation 2 7 3 2 5 2" xfId="16262" xr:uid="{00000000-0005-0000-0000-0000CF0D0000}"/>
    <cellStyle name="Calculation 2 7 3 2 5 2 2" xfId="31094" xr:uid="{00000000-0005-0000-0000-0000D00D0000}"/>
    <cellStyle name="Calculation 2 7 3 2 5 3" xfId="22608" xr:uid="{00000000-0005-0000-0000-0000D10D0000}"/>
    <cellStyle name="Calculation 2 7 3 2 6" xfId="12332" xr:uid="{00000000-0005-0000-0000-0000D20D0000}"/>
    <cellStyle name="Calculation 2 7 3 2 6 2" xfId="27164" xr:uid="{00000000-0005-0000-0000-0000D30D0000}"/>
    <cellStyle name="Calculation 2 7 3 2 7" xfId="9929" xr:uid="{00000000-0005-0000-0000-0000D40D0000}"/>
    <cellStyle name="Calculation 2 7 3 2 7 2" xfId="20131" xr:uid="{00000000-0005-0000-0000-0000D50D0000}"/>
    <cellStyle name="Calculation 2 7 3 3" xfId="3705" xr:uid="{00000000-0005-0000-0000-0000D60D0000}"/>
    <cellStyle name="Calculation 2 7 3 3 2" xfId="7761" xr:uid="{00000000-0005-0000-0000-0000D70D0000}"/>
    <cellStyle name="Calculation 2 7 3 3 2 2" xfId="23643" xr:uid="{00000000-0005-0000-0000-0000D80D0000}"/>
    <cellStyle name="Calculation 2 7 3 3 3" xfId="14040" xr:uid="{00000000-0005-0000-0000-0000D90D0000}"/>
    <cellStyle name="Calculation 2 7 3 3 3 2" xfId="28872" xr:uid="{00000000-0005-0000-0000-0000DA0D0000}"/>
    <cellStyle name="Calculation 2 7 3 3 4" xfId="21303" xr:uid="{00000000-0005-0000-0000-0000DB0D0000}"/>
    <cellStyle name="Calculation 2 7 3 4" xfId="4504" xr:uid="{00000000-0005-0000-0000-0000DC0D0000}"/>
    <cellStyle name="Calculation 2 7 3 4 2" xfId="8543" xr:uid="{00000000-0005-0000-0000-0000DD0D0000}"/>
    <cellStyle name="Calculation 2 7 3 4 2 2" xfId="24169" xr:uid="{00000000-0005-0000-0000-0000DE0D0000}"/>
    <cellStyle name="Calculation 2 7 3 4 3" xfId="14831" xr:uid="{00000000-0005-0000-0000-0000DF0D0000}"/>
    <cellStyle name="Calculation 2 7 3 4 3 2" xfId="29663" xr:uid="{00000000-0005-0000-0000-0000E00D0000}"/>
    <cellStyle name="Calculation 2 7 3 4 4" xfId="21729" xr:uid="{00000000-0005-0000-0000-0000E10D0000}"/>
    <cellStyle name="Calculation 2 7 3 5" xfId="2494" xr:uid="{00000000-0005-0000-0000-0000E20D0000}"/>
    <cellStyle name="Calculation 2 7 3 5 2" xfId="6600" xr:uid="{00000000-0005-0000-0000-0000E30D0000}"/>
    <cellStyle name="Calculation 2 7 3 5 2 2" xfId="22938" xr:uid="{00000000-0005-0000-0000-0000E40D0000}"/>
    <cellStyle name="Calculation 2 7 3 5 3" xfId="12832" xr:uid="{00000000-0005-0000-0000-0000E50D0000}"/>
    <cellStyle name="Calculation 2 7 3 5 3 2" xfId="27664" xr:uid="{00000000-0005-0000-0000-0000E60D0000}"/>
    <cellStyle name="Calculation 2 7 3 5 4" xfId="20584" xr:uid="{00000000-0005-0000-0000-0000E70D0000}"/>
    <cellStyle name="Calculation 2 7 3 6" xfId="5617" xr:uid="{00000000-0005-0000-0000-0000E80D0000}"/>
    <cellStyle name="Calculation 2 7 3 6 2" xfId="15852" xr:uid="{00000000-0005-0000-0000-0000E90D0000}"/>
    <cellStyle name="Calculation 2 7 3 6 2 2" xfId="30684" xr:uid="{00000000-0005-0000-0000-0000EA0D0000}"/>
    <cellStyle name="Calculation 2 7 3 6 3" xfId="22313" xr:uid="{00000000-0005-0000-0000-0000EB0D0000}"/>
    <cellStyle name="Calculation 2 7 3 7" xfId="11861" xr:uid="{00000000-0005-0000-0000-0000EC0D0000}"/>
    <cellStyle name="Calculation 2 7 3 7 2" xfId="26693" xr:uid="{00000000-0005-0000-0000-0000ED0D0000}"/>
    <cellStyle name="Calculation 2 7 3 8" xfId="9534" xr:uid="{00000000-0005-0000-0000-0000EE0D0000}"/>
    <cellStyle name="Calculation 2 7 3 8 2" xfId="19836" xr:uid="{00000000-0005-0000-0000-0000EF0D0000}"/>
    <cellStyle name="Calculation 2 7 4" xfId="1418" xr:uid="{00000000-0005-0000-0000-0000F00D0000}"/>
    <cellStyle name="Calculation 2 7 4 2" xfId="1920" xr:uid="{00000000-0005-0000-0000-0000F10D0000}"/>
    <cellStyle name="Calculation 2 7 4 2 2" xfId="3125" xr:uid="{00000000-0005-0000-0000-0000F20D0000}"/>
    <cellStyle name="Calculation 2 7 4 2 2 2" xfId="7189" xr:uid="{00000000-0005-0000-0000-0000F30D0000}"/>
    <cellStyle name="Calculation 2 7 4 2 2 2 2" xfId="23262" xr:uid="{00000000-0005-0000-0000-0000F40D0000}"/>
    <cellStyle name="Calculation 2 7 4 2 2 3" xfId="13463" xr:uid="{00000000-0005-0000-0000-0000F50D0000}"/>
    <cellStyle name="Calculation 2 7 4 2 2 3 2" xfId="28295" xr:uid="{00000000-0005-0000-0000-0000F60D0000}"/>
    <cellStyle name="Calculation 2 7 4 2 2 4" xfId="20953" xr:uid="{00000000-0005-0000-0000-0000F70D0000}"/>
    <cellStyle name="Calculation 2 7 4 2 3" xfId="4898" xr:uid="{00000000-0005-0000-0000-0000F80D0000}"/>
    <cellStyle name="Calculation 2 7 4 2 3 2" xfId="8937" xr:uid="{00000000-0005-0000-0000-0000F90D0000}"/>
    <cellStyle name="Calculation 2 7 4 2 3 2 2" xfId="24403" xr:uid="{00000000-0005-0000-0000-0000FA0D0000}"/>
    <cellStyle name="Calculation 2 7 4 2 3 3" xfId="15221" xr:uid="{00000000-0005-0000-0000-0000FB0D0000}"/>
    <cellStyle name="Calculation 2 7 4 2 3 3 2" xfId="30053" xr:uid="{00000000-0005-0000-0000-0000FC0D0000}"/>
    <cellStyle name="Calculation 2 7 4 2 3 4" xfId="21935" xr:uid="{00000000-0005-0000-0000-0000FD0D0000}"/>
    <cellStyle name="Calculation 2 7 4 2 4" xfId="2888" xr:uid="{00000000-0005-0000-0000-0000FE0D0000}"/>
    <cellStyle name="Calculation 2 7 4 2 4 2" xfId="6973" xr:uid="{00000000-0005-0000-0000-0000FF0D0000}"/>
    <cellStyle name="Calculation 2 7 4 2 4 2 2" xfId="23148" xr:uid="{00000000-0005-0000-0000-0000000E0000}"/>
    <cellStyle name="Calculation 2 7 4 2 4 3" xfId="13226" xr:uid="{00000000-0005-0000-0000-0000010E0000}"/>
    <cellStyle name="Calculation 2 7 4 2 4 3 2" xfId="28058" xr:uid="{00000000-0005-0000-0000-0000020E0000}"/>
    <cellStyle name="Calculation 2 7 4 2 4 4" xfId="20814" xr:uid="{00000000-0005-0000-0000-0000030E0000}"/>
    <cellStyle name="Calculation 2 7 4 2 5" xfId="6051" xr:uid="{00000000-0005-0000-0000-0000040E0000}"/>
    <cellStyle name="Calculation 2 7 4 2 5 2" xfId="16238" xr:uid="{00000000-0005-0000-0000-0000050E0000}"/>
    <cellStyle name="Calculation 2 7 4 2 5 2 2" xfId="31070" xr:uid="{00000000-0005-0000-0000-0000060E0000}"/>
    <cellStyle name="Calculation 2 7 4 2 5 3" xfId="22584" xr:uid="{00000000-0005-0000-0000-0000070E0000}"/>
    <cellStyle name="Calculation 2 7 4 2 6" xfId="12308" xr:uid="{00000000-0005-0000-0000-0000080E0000}"/>
    <cellStyle name="Calculation 2 7 4 2 6 2" xfId="27140" xr:uid="{00000000-0005-0000-0000-0000090E0000}"/>
    <cellStyle name="Calculation 2 7 4 2 7" xfId="9904" xr:uid="{00000000-0005-0000-0000-00000A0E0000}"/>
    <cellStyle name="Calculation 2 7 4 2 7 2" xfId="20107" xr:uid="{00000000-0005-0000-0000-00000B0E0000}"/>
    <cellStyle name="Calculation 2 7 4 3" xfId="3833" xr:uid="{00000000-0005-0000-0000-00000C0E0000}"/>
    <cellStyle name="Calculation 2 7 4 3 2" xfId="7886" xr:uid="{00000000-0005-0000-0000-00000D0E0000}"/>
    <cellStyle name="Calculation 2 7 4 3 2 2" xfId="23726" xr:uid="{00000000-0005-0000-0000-00000E0E0000}"/>
    <cellStyle name="Calculation 2 7 4 3 3" xfId="14168" xr:uid="{00000000-0005-0000-0000-00000F0E0000}"/>
    <cellStyle name="Calculation 2 7 4 3 3 2" xfId="29000" xr:uid="{00000000-0005-0000-0000-0000100E0000}"/>
    <cellStyle name="Calculation 2 7 4 3 4" xfId="21374" xr:uid="{00000000-0005-0000-0000-0000110E0000}"/>
    <cellStyle name="Calculation 2 7 4 4" xfId="4478" xr:uid="{00000000-0005-0000-0000-0000120E0000}"/>
    <cellStyle name="Calculation 2 7 4 4 2" xfId="8517" xr:uid="{00000000-0005-0000-0000-0000130E0000}"/>
    <cellStyle name="Calculation 2 7 4 4 2 2" xfId="24143" xr:uid="{00000000-0005-0000-0000-0000140E0000}"/>
    <cellStyle name="Calculation 2 7 4 4 3" xfId="14806" xr:uid="{00000000-0005-0000-0000-0000150E0000}"/>
    <cellStyle name="Calculation 2 7 4 4 3 2" xfId="29638" xr:uid="{00000000-0005-0000-0000-0000160E0000}"/>
    <cellStyle name="Calculation 2 7 4 4 4" xfId="21705" xr:uid="{00000000-0005-0000-0000-0000170E0000}"/>
    <cellStyle name="Calculation 2 7 4 5" xfId="2468" xr:uid="{00000000-0005-0000-0000-0000180E0000}"/>
    <cellStyle name="Calculation 2 7 4 5 2" xfId="6574" xr:uid="{00000000-0005-0000-0000-0000190E0000}"/>
    <cellStyle name="Calculation 2 7 4 5 2 2" xfId="22912" xr:uid="{00000000-0005-0000-0000-00001A0E0000}"/>
    <cellStyle name="Calculation 2 7 4 5 3" xfId="12807" xr:uid="{00000000-0005-0000-0000-00001B0E0000}"/>
    <cellStyle name="Calculation 2 7 4 5 3 2" xfId="27639" xr:uid="{00000000-0005-0000-0000-00001C0E0000}"/>
    <cellStyle name="Calculation 2 7 4 5 4" xfId="20560" xr:uid="{00000000-0005-0000-0000-00001D0E0000}"/>
    <cellStyle name="Calculation 2 7 4 6" xfId="5592" xr:uid="{00000000-0005-0000-0000-00001E0E0000}"/>
    <cellStyle name="Calculation 2 7 4 6 2" xfId="15827" xr:uid="{00000000-0005-0000-0000-00001F0E0000}"/>
    <cellStyle name="Calculation 2 7 4 6 2 2" xfId="30659" xr:uid="{00000000-0005-0000-0000-0000200E0000}"/>
    <cellStyle name="Calculation 2 7 4 6 3" xfId="22288" xr:uid="{00000000-0005-0000-0000-0000210E0000}"/>
    <cellStyle name="Calculation 2 7 4 7" xfId="11837" xr:uid="{00000000-0005-0000-0000-0000220E0000}"/>
    <cellStyle name="Calculation 2 7 4 7 2" xfId="26669" xr:uid="{00000000-0005-0000-0000-0000230E0000}"/>
    <cellStyle name="Calculation 2 7 4 8" xfId="9509" xr:uid="{00000000-0005-0000-0000-0000240E0000}"/>
    <cellStyle name="Calculation 2 7 4 8 2" xfId="19812" xr:uid="{00000000-0005-0000-0000-0000250E0000}"/>
    <cellStyle name="Calculation 2 7 5" xfId="1429" xr:uid="{00000000-0005-0000-0000-0000260E0000}"/>
    <cellStyle name="Calculation 2 7 5 2" xfId="1930" xr:uid="{00000000-0005-0000-0000-0000270E0000}"/>
    <cellStyle name="Calculation 2 7 5 2 2" xfId="3521" xr:uid="{00000000-0005-0000-0000-0000280E0000}"/>
    <cellStyle name="Calculation 2 7 5 2 2 2" xfId="7583" xr:uid="{00000000-0005-0000-0000-0000290E0000}"/>
    <cellStyle name="Calculation 2 7 5 2 2 2 2" xfId="23531" xr:uid="{00000000-0005-0000-0000-00002A0E0000}"/>
    <cellStyle name="Calculation 2 7 5 2 2 3" xfId="13858" xr:uid="{00000000-0005-0000-0000-00002B0E0000}"/>
    <cellStyle name="Calculation 2 7 5 2 2 3 2" xfId="28690" xr:uid="{00000000-0005-0000-0000-00002C0E0000}"/>
    <cellStyle name="Calculation 2 7 5 2 2 4" xfId="21206" xr:uid="{00000000-0005-0000-0000-00002D0E0000}"/>
    <cellStyle name="Calculation 2 7 5 2 3" xfId="4909" xr:uid="{00000000-0005-0000-0000-00002E0E0000}"/>
    <cellStyle name="Calculation 2 7 5 2 3 2" xfId="8948" xr:uid="{00000000-0005-0000-0000-00002F0E0000}"/>
    <cellStyle name="Calculation 2 7 5 2 3 2 2" xfId="24414" xr:uid="{00000000-0005-0000-0000-0000300E0000}"/>
    <cellStyle name="Calculation 2 7 5 2 3 3" xfId="15231" xr:uid="{00000000-0005-0000-0000-0000310E0000}"/>
    <cellStyle name="Calculation 2 7 5 2 3 3 2" xfId="30063" xr:uid="{00000000-0005-0000-0000-0000320E0000}"/>
    <cellStyle name="Calculation 2 7 5 2 3 4" xfId="21944" xr:uid="{00000000-0005-0000-0000-0000330E0000}"/>
    <cellStyle name="Calculation 2 7 5 2 4" xfId="2899" xr:uid="{00000000-0005-0000-0000-0000340E0000}"/>
    <cellStyle name="Calculation 2 7 5 2 4 2" xfId="6983" xr:uid="{00000000-0005-0000-0000-0000350E0000}"/>
    <cellStyle name="Calculation 2 7 5 2 4 2 2" xfId="23157" xr:uid="{00000000-0005-0000-0000-0000360E0000}"/>
    <cellStyle name="Calculation 2 7 5 2 4 3" xfId="13237" xr:uid="{00000000-0005-0000-0000-0000370E0000}"/>
    <cellStyle name="Calculation 2 7 5 2 4 3 2" xfId="28069" xr:uid="{00000000-0005-0000-0000-0000380E0000}"/>
    <cellStyle name="Calculation 2 7 5 2 4 4" xfId="20825" xr:uid="{00000000-0005-0000-0000-0000390E0000}"/>
    <cellStyle name="Calculation 2 7 5 2 5" xfId="6060" xr:uid="{00000000-0005-0000-0000-00003A0E0000}"/>
    <cellStyle name="Calculation 2 7 5 2 5 2" xfId="16247" xr:uid="{00000000-0005-0000-0000-00003B0E0000}"/>
    <cellStyle name="Calculation 2 7 5 2 5 2 2" xfId="31079" xr:uid="{00000000-0005-0000-0000-00003C0E0000}"/>
    <cellStyle name="Calculation 2 7 5 2 5 3" xfId="22593" xr:uid="{00000000-0005-0000-0000-00003D0E0000}"/>
    <cellStyle name="Calculation 2 7 5 2 6" xfId="12317" xr:uid="{00000000-0005-0000-0000-00003E0E0000}"/>
    <cellStyle name="Calculation 2 7 5 2 6 2" xfId="27149" xr:uid="{00000000-0005-0000-0000-00003F0E0000}"/>
    <cellStyle name="Calculation 2 7 5 2 7" xfId="9914" xr:uid="{00000000-0005-0000-0000-0000400E0000}"/>
    <cellStyle name="Calculation 2 7 5 2 7 2" xfId="20116" xr:uid="{00000000-0005-0000-0000-0000410E0000}"/>
    <cellStyle name="Calculation 2 7 5 3" xfId="4132" xr:uid="{00000000-0005-0000-0000-0000420E0000}"/>
    <cellStyle name="Calculation 2 7 5 3 2" xfId="8176" xr:uid="{00000000-0005-0000-0000-0000430E0000}"/>
    <cellStyle name="Calculation 2 7 5 3 2 2" xfId="23908" xr:uid="{00000000-0005-0000-0000-0000440E0000}"/>
    <cellStyle name="Calculation 2 7 5 3 3" xfId="14464" xr:uid="{00000000-0005-0000-0000-0000450E0000}"/>
    <cellStyle name="Calculation 2 7 5 3 3 2" xfId="29296" xr:uid="{00000000-0005-0000-0000-0000460E0000}"/>
    <cellStyle name="Calculation 2 7 5 3 4" xfId="21535" xr:uid="{00000000-0005-0000-0000-0000470E0000}"/>
    <cellStyle name="Calculation 2 7 5 4" xfId="4489" xr:uid="{00000000-0005-0000-0000-0000480E0000}"/>
    <cellStyle name="Calculation 2 7 5 4 2" xfId="8528" xr:uid="{00000000-0005-0000-0000-0000490E0000}"/>
    <cellStyle name="Calculation 2 7 5 4 2 2" xfId="24154" xr:uid="{00000000-0005-0000-0000-00004A0E0000}"/>
    <cellStyle name="Calculation 2 7 5 4 3" xfId="14816" xr:uid="{00000000-0005-0000-0000-00004B0E0000}"/>
    <cellStyle name="Calculation 2 7 5 4 3 2" xfId="29648" xr:uid="{00000000-0005-0000-0000-00004C0E0000}"/>
    <cellStyle name="Calculation 2 7 5 4 4" xfId="21714" xr:uid="{00000000-0005-0000-0000-00004D0E0000}"/>
    <cellStyle name="Calculation 2 7 5 5" xfId="2479" xr:uid="{00000000-0005-0000-0000-00004E0E0000}"/>
    <cellStyle name="Calculation 2 7 5 5 2" xfId="6585" xr:uid="{00000000-0005-0000-0000-00004F0E0000}"/>
    <cellStyle name="Calculation 2 7 5 5 2 2" xfId="22923" xr:uid="{00000000-0005-0000-0000-0000500E0000}"/>
    <cellStyle name="Calculation 2 7 5 5 3" xfId="12817" xr:uid="{00000000-0005-0000-0000-0000510E0000}"/>
    <cellStyle name="Calculation 2 7 5 5 3 2" xfId="27649" xr:uid="{00000000-0005-0000-0000-0000520E0000}"/>
    <cellStyle name="Calculation 2 7 5 5 4" xfId="20569" xr:uid="{00000000-0005-0000-0000-0000530E0000}"/>
    <cellStyle name="Calculation 2 7 5 6" xfId="5602" xr:uid="{00000000-0005-0000-0000-0000540E0000}"/>
    <cellStyle name="Calculation 2 7 5 6 2" xfId="15837" xr:uid="{00000000-0005-0000-0000-0000550E0000}"/>
    <cellStyle name="Calculation 2 7 5 6 2 2" xfId="30669" xr:uid="{00000000-0005-0000-0000-0000560E0000}"/>
    <cellStyle name="Calculation 2 7 5 6 3" xfId="22298" xr:uid="{00000000-0005-0000-0000-0000570E0000}"/>
    <cellStyle name="Calculation 2 7 5 7" xfId="11846" xr:uid="{00000000-0005-0000-0000-0000580E0000}"/>
    <cellStyle name="Calculation 2 7 5 7 2" xfId="26678" xr:uid="{00000000-0005-0000-0000-0000590E0000}"/>
    <cellStyle name="Calculation 2 7 5 8" xfId="9519" xr:uid="{00000000-0005-0000-0000-00005A0E0000}"/>
    <cellStyle name="Calculation 2 7 5 8 2" xfId="19821" xr:uid="{00000000-0005-0000-0000-00005B0E0000}"/>
    <cellStyle name="Calculation 2 7 6" xfId="1721" xr:uid="{00000000-0005-0000-0000-00005C0E0000}"/>
    <cellStyle name="Calculation 2 7 6 2" xfId="3992" xr:uid="{00000000-0005-0000-0000-00005D0E0000}"/>
    <cellStyle name="Calculation 2 7 6 2 2" xfId="8039" xr:uid="{00000000-0005-0000-0000-00005E0E0000}"/>
    <cellStyle name="Calculation 2 7 6 2 2 2" xfId="23826" xr:uid="{00000000-0005-0000-0000-00005F0E0000}"/>
    <cellStyle name="Calculation 2 7 6 2 3" xfId="14325" xr:uid="{00000000-0005-0000-0000-0000600E0000}"/>
    <cellStyle name="Calculation 2 7 6 2 3 2" xfId="29157" xr:uid="{00000000-0005-0000-0000-0000610E0000}"/>
    <cellStyle name="Calculation 2 7 6 2 4" xfId="21465" xr:uid="{00000000-0005-0000-0000-0000620E0000}"/>
    <cellStyle name="Calculation 2 7 6 3" xfId="4714" xr:uid="{00000000-0005-0000-0000-0000630E0000}"/>
    <cellStyle name="Calculation 2 7 6 3 2" xfId="8753" xr:uid="{00000000-0005-0000-0000-0000640E0000}"/>
    <cellStyle name="Calculation 2 7 6 3 2 2" xfId="24283" xr:uid="{00000000-0005-0000-0000-0000650E0000}"/>
    <cellStyle name="Calculation 2 7 6 3 3" xfId="15038" xr:uid="{00000000-0005-0000-0000-0000660E0000}"/>
    <cellStyle name="Calculation 2 7 6 3 3 2" xfId="29870" xr:uid="{00000000-0005-0000-0000-0000670E0000}"/>
    <cellStyle name="Calculation 2 7 6 3 4" xfId="21821" xr:uid="{00000000-0005-0000-0000-0000680E0000}"/>
    <cellStyle name="Calculation 2 7 6 4" xfId="2704" xr:uid="{00000000-0005-0000-0000-0000690E0000}"/>
    <cellStyle name="Calculation 2 7 6 4 2" xfId="6795" xr:uid="{00000000-0005-0000-0000-00006A0E0000}"/>
    <cellStyle name="Calculation 2 7 6 4 2 2" xfId="23034" xr:uid="{00000000-0005-0000-0000-00006B0E0000}"/>
    <cellStyle name="Calculation 2 7 6 4 3" xfId="13042" xr:uid="{00000000-0005-0000-0000-00006C0E0000}"/>
    <cellStyle name="Calculation 2 7 6 4 3 2" xfId="27874" xr:uid="{00000000-0005-0000-0000-00006D0E0000}"/>
    <cellStyle name="Calculation 2 7 6 4 4" xfId="20694" xr:uid="{00000000-0005-0000-0000-00006E0E0000}"/>
    <cellStyle name="Calculation 2 7 6 5" xfId="5853" xr:uid="{00000000-0005-0000-0000-00006F0E0000}"/>
    <cellStyle name="Calculation 2 7 6 5 2" xfId="16045" xr:uid="{00000000-0005-0000-0000-0000700E0000}"/>
    <cellStyle name="Calculation 2 7 6 5 2 2" xfId="30877" xr:uid="{00000000-0005-0000-0000-0000710E0000}"/>
    <cellStyle name="Calculation 2 7 6 5 3" xfId="22450" xr:uid="{00000000-0005-0000-0000-0000720E0000}"/>
    <cellStyle name="Calculation 2 7 6 6" xfId="12115" xr:uid="{00000000-0005-0000-0000-0000730E0000}"/>
    <cellStyle name="Calculation 2 7 6 6 2" xfId="26947" xr:uid="{00000000-0005-0000-0000-0000740E0000}"/>
    <cellStyle name="Calculation 2 7 6 7" xfId="9726" xr:uid="{00000000-0005-0000-0000-0000750E0000}"/>
    <cellStyle name="Calculation 2 7 6 7 2" xfId="20024" xr:uid="{00000000-0005-0000-0000-0000760E0000}"/>
    <cellStyle name="Calculation 2 7 7" xfId="2230" xr:uid="{00000000-0005-0000-0000-0000770E0000}"/>
    <cellStyle name="Calculation 2 7 7 2" xfId="3602" xr:uid="{00000000-0005-0000-0000-0000780E0000}"/>
    <cellStyle name="Calculation 2 7 7 2 2" xfId="7663" xr:uid="{00000000-0005-0000-0000-0000790E0000}"/>
    <cellStyle name="Calculation 2 7 7 2 2 2" xfId="23575" xr:uid="{00000000-0005-0000-0000-00007A0E0000}"/>
    <cellStyle name="Calculation 2 7 7 2 3" xfId="13938" xr:uid="{00000000-0005-0000-0000-00007B0E0000}"/>
    <cellStyle name="Calculation 2 7 7 2 3 2" xfId="28770" xr:uid="{00000000-0005-0000-0000-00007C0E0000}"/>
    <cellStyle name="Calculation 2 7 7 2 4" xfId="21245" xr:uid="{00000000-0005-0000-0000-00007D0E0000}"/>
    <cellStyle name="Calculation 2 7 7 3" xfId="5198" xr:uid="{00000000-0005-0000-0000-00007E0E0000}"/>
    <cellStyle name="Calculation 2 7 7 3 2" xfId="9237" xr:uid="{00000000-0005-0000-0000-00007F0E0000}"/>
    <cellStyle name="Calculation 2 7 7 3 2 2" xfId="24575" xr:uid="{00000000-0005-0000-0000-0000800E0000}"/>
    <cellStyle name="Calculation 2 7 7 3 3" xfId="15516" xr:uid="{00000000-0005-0000-0000-0000810E0000}"/>
    <cellStyle name="Calculation 2 7 7 3 3 2" xfId="30348" xr:uid="{00000000-0005-0000-0000-0000820E0000}"/>
    <cellStyle name="Calculation 2 7 7 3 4" xfId="22082" xr:uid="{00000000-0005-0000-0000-0000830E0000}"/>
    <cellStyle name="Calculation 2 7 7 4" xfId="4228" xr:uid="{00000000-0005-0000-0000-0000840E0000}"/>
    <cellStyle name="Calculation 2 7 7 4 2" xfId="8269" xr:uid="{00000000-0005-0000-0000-0000850E0000}"/>
    <cellStyle name="Calculation 2 7 7 4 2 2" xfId="23964" xr:uid="{00000000-0005-0000-0000-0000860E0000}"/>
    <cellStyle name="Calculation 2 7 7 4 3" xfId="14560" xr:uid="{00000000-0005-0000-0000-0000870E0000}"/>
    <cellStyle name="Calculation 2 7 7 4 3 2" xfId="29392" xr:uid="{00000000-0005-0000-0000-0000880E0000}"/>
    <cellStyle name="Calculation 2 7 7 4 4" xfId="21589" xr:uid="{00000000-0005-0000-0000-0000890E0000}"/>
    <cellStyle name="Calculation 2 7 7 5" xfId="6344" xr:uid="{00000000-0005-0000-0000-00008A0E0000}"/>
    <cellStyle name="Calculation 2 7 7 5 2" xfId="22746" xr:uid="{00000000-0005-0000-0000-00008B0E0000}"/>
    <cellStyle name="Calculation 2 7 7 6" xfId="12598" xr:uid="{00000000-0005-0000-0000-00008C0E0000}"/>
    <cellStyle name="Calculation 2 7 7 6 2" xfId="27430" xr:uid="{00000000-0005-0000-0000-00008D0E0000}"/>
    <cellStyle name="Calculation 2 7 7 7" xfId="20425" xr:uid="{00000000-0005-0000-0000-00008E0E0000}"/>
    <cellStyle name="Calculation 2 7 8" xfId="3979" xr:uid="{00000000-0005-0000-0000-00008F0E0000}"/>
    <cellStyle name="Calculation 2 7 8 2" xfId="8028" xr:uid="{00000000-0005-0000-0000-0000900E0000}"/>
    <cellStyle name="Calculation 2 7 8 2 2" xfId="23818" xr:uid="{00000000-0005-0000-0000-0000910E0000}"/>
    <cellStyle name="Calculation 2 7 8 3" xfId="14312" xr:uid="{00000000-0005-0000-0000-0000920E0000}"/>
    <cellStyle name="Calculation 2 7 8 3 2" xfId="29144" xr:uid="{00000000-0005-0000-0000-0000930E0000}"/>
    <cellStyle name="Calculation 2 7 8 4" xfId="21456" xr:uid="{00000000-0005-0000-0000-0000940E0000}"/>
    <cellStyle name="Calculation 2 7 9" xfId="3341" xr:uid="{00000000-0005-0000-0000-0000950E0000}"/>
    <cellStyle name="Calculation 2 7 9 2" xfId="7404" xr:uid="{00000000-0005-0000-0000-0000960E0000}"/>
    <cellStyle name="Calculation 2 7 9 2 2" xfId="23409" xr:uid="{00000000-0005-0000-0000-0000970E0000}"/>
    <cellStyle name="Calculation 2 7 9 3" xfId="13678" xr:uid="{00000000-0005-0000-0000-0000980E0000}"/>
    <cellStyle name="Calculation 2 7 9 3 2" xfId="28510" xr:uid="{00000000-0005-0000-0000-0000990E0000}"/>
    <cellStyle name="Calculation 2 7 9 4" xfId="21096" xr:uid="{00000000-0005-0000-0000-00009A0E0000}"/>
    <cellStyle name="Calculation 2 8" xfId="969" xr:uid="{00000000-0005-0000-0000-00009B0E0000}"/>
    <cellStyle name="Calculation 2 8 10" xfId="2275" xr:uid="{00000000-0005-0000-0000-00009C0E0000}"/>
    <cellStyle name="Calculation 2 8 10 2" xfId="6387" xr:uid="{00000000-0005-0000-0000-00009D0E0000}"/>
    <cellStyle name="Calculation 2 8 10 2 2" xfId="22789" xr:uid="{00000000-0005-0000-0000-00009E0E0000}"/>
    <cellStyle name="Calculation 2 8 10 3" xfId="12615" xr:uid="{00000000-0005-0000-0000-00009F0E0000}"/>
    <cellStyle name="Calculation 2 8 10 3 2" xfId="27447" xr:uid="{00000000-0005-0000-0000-0000A00E0000}"/>
    <cellStyle name="Calculation 2 8 10 4" xfId="20441" xr:uid="{00000000-0005-0000-0000-0000A10E0000}"/>
    <cellStyle name="Calculation 2 8 11" xfId="5241" xr:uid="{00000000-0005-0000-0000-0000A20E0000}"/>
    <cellStyle name="Calculation 2 8 11 2" xfId="15557" xr:uid="{00000000-0005-0000-0000-0000A30E0000}"/>
    <cellStyle name="Calculation 2 8 11 2 2" xfId="30389" xr:uid="{00000000-0005-0000-0000-0000A40E0000}"/>
    <cellStyle name="Calculation 2 8 11 3" xfId="22098" xr:uid="{00000000-0005-0000-0000-0000A50E0000}"/>
    <cellStyle name="Calculation 2 8 12" xfId="5399" xr:uid="{00000000-0005-0000-0000-0000A60E0000}"/>
    <cellStyle name="Calculation 2 8 12 2" xfId="15635" xr:uid="{00000000-0005-0000-0000-0000A70E0000}"/>
    <cellStyle name="Calculation 2 8 12 2 2" xfId="30467" xr:uid="{00000000-0005-0000-0000-0000A80E0000}"/>
    <cellStyle name="Calculation 2 8 12 3" xfId="22160" xr:uid="{00000000-0005-0000-0000-0000A90E0000}"/>
    <cellStyle name="Calculation 2 8 13" xfId="9392" xr:uid="{00000000-0005-0000-0000-0000AA0E0000}"/>
    <cellStyle name="Calculation 2 8 13 2" xfId="24698" xr:uid="{00000000-0005-0000-0000-0000AB0E0000}"/>
    <cellStyle name="Calculation 2 8 14" xfId="6742" xr:uid="{00000000-0005-0000-0000-0000AC0E0000}"/>
    <cellStyle name="Calculation 2 8 14 2" xfId="18738" xr:uid="{00000000-0005-0000-0000-0000AD0E0000}"/>
    <cellStyle name="Calculation 2 8 2" xfId="1311" xr:uid="{00000000-0005-0000-0000-0000AE0E0000}"/>
    <cellStyle name="Calculation 2 8 2 2" xfId="1815" xr:uid="{00000000-0005-0000-0000-0000AF0E0000}"/>
    <cellStyle name="Calculation 2 8 2 2 2" xfId="3950" xr:uid="{00000000-0005-0000-0000-0000B00E0000}"/>
    <cellStyle name="Calculation 2 8 2 2 2 2" xfId="8000" xr:uid="{00000000-0005-0000-0000-0000B10E0000}"/>
    <cellStyle name="Calculation 2 8 2 2 2 2 2" xfId="23800" xr:uid="{00000000-0005-0000-0000-0000B20E0000}"/>
    <cellStyle name="Calculation 2 8 2 2 2 3" xfId="14283" xr:uid="{00000000-0005-0000-0000-0000B30E0000}"/>
    <cellStyle name="Calculation 2 8 2 2 2 3 2" xfId="29115" xr:uid="{00000000-0005-0000-0000-0000B40E0000}"/>
    <cellStyle name="Calculation 2 8 2 2 2 4" xfId="21442" xr:uid="{00000000-0005-0000-0000-0000B50E0000}"/>
    <cellStyle name="Calculation 2 8 2 2 3" xfId="4793" xr:uid="{00000000-0005-0000-0000-0000B60E0000}"/>
    <cellStyle name="Calculation 2 8 2 2 3 2" xfId="8832" xr:uid="{00000000-0005-0000-0000-0000B70E0000}"/>
    <cellStyle name="Calculation 2 8 2 2 3 2 2" xfId="24330" xr:uid="{00000000-0005-0000-0000-0000B80E0000}"/>
    <cellStyle name="Calculation 2 8 2 2 3 3" xfId="15117" xr:uid="{00000000-0005-0000-0000-0000B90E0000}"/>
    <cellStyle name="Calculation 2 8 2 2 3 3 2" xfId="29949" xr:uid="{00000000-0005-0000-0000-0000BA0E0000}"/>
    <cellStyle name="Calculation 2 8 2 2 3 4" xfId="21868" xr:uid="{00000000-0005-0000-0000-0000BB0E0000}"/>
    <cellStyle name="Calculation 2 8 2 2 4" xfId="2783" xr:uid="{00000000-0005-0000-0000-0000BC0E0000}"/>
    <cellStyle name="Calculation 2 8 2 2 4 2" xfId="6874" xr:uid="{00000000-0005-0000-0000-0000BD0E0000}"/>
    <cellStyle name="Calculation 2 8 2 2 4 2 2" xfId="23081" xr:uid="{00000000-0005-0000-0000-0000BE0E0000}"/>
    <cellStyle name="Calculation 2 8 2 2 4 3" xfId="13121" xr:uid="{00000000-0005-0000-0000-0000BF0E0000}"/>
    <cellStyle name="Calculation 2 8 2 2 4 3 2" xfId="27953" xr:uid="{00000000-0005-0000-0000-0000C00E0000}"/>
    <cellStyle name="Calculation 2 8 2 2 4 4" xfId="20741" xr:uid="{00000000-0005-0000-0000-0000C10E0000}"/>
    <cellStyle name="Calculation 2 8 2 2 5" xfId="5947" xr:uid="{00000000-0005-0000-0000-0000C20E0000}"/>
    <cellStyle name="Calculation 2 8 2 2 5 2" xfId="16139" xr:uid="{00000000-0005-0000-0000-0000C30E0000}"/>
    <cellStyle name="Calculation 2 8 2 2 5 2 2" xfId="30971" xr:uid="{00000000-0005-0000-0000-0000C40E0000}"/>
    <cellStyle name="Calculation 2 8 2 2 5 3" xfId="22512" xr:uid="{00000000-0005-0000-0000-0000C50E0000}"/>
    <cellStyle name="Calculation 2 8 2 2 6" xfId="12209" xr:uid="{00000000-0005-0000-0000-0000C60E0000}"/>
    <cellStyle name="Calculation 2 8 2 2 6 2" xfId="27041" xr:uid="{00000000-0005-0000-0000-0000C70E0000}"/>
    <cellStyle name="Calculation 2 8 2 2 7" xfId="9805" xr:uid="{00000000-0005-0000-0000-0000C80E0000}"/>
    <cellStyle name="Calculation 2 8 2 2 7 2" xfId="20056" xr:uid="{00000000-0005-0000-0000-0000C90E0000}"/>
    <cellStyle name="Calculation 2 8 2 3" xfId="3152" xr:uid="{00000000-0005-0000-0000-0000CA0E0000}"/>
    <cellStyle name="Calculation 2 8 2 3 2" xfId="7216" xr:uid="{00000000-0005-0000-0000-0000CB0E0000}"/>
    <cellStyle name="Calculation 2 8 2 3 2 2" xfId="23284" xr:uid="{00000000-0005-0000-0000-0000CC0E0000}"/>
    <cellStyle name="Calculation 2 8 2 3 3" xfId="13490" xr:uid="{00000000-0005-0000-0000-0000CD0E0000}"/>
    <cellStyle name="Calculation 2 8 2 3 3 2" xfId="28322" xr:uid="{00000000-0005-0000-0000-0000CE0E0000}"/>
    <cellStyle name="Calculation 2 8 2 3 4" xfId="20975" xr:uid="{00000000-0005-0000-0000-0000CF0E0000}"/>
    <cellStyle name="Calculation 2 8 2 4" xfId="4373" xr:uid="{00000000-0005-0000-0000-0000D00E0000}"/>
    <cellStyle name="Calculation 2 8 2 4 2" xfId="8412" xr:uid="{00000000-0005-0000-0000-0000D10E0000}"/>
    <cellStyle name="Calculation 2 8 2 4 2 2" xfId="24070" xr:uid="{00000000-0005-0000-0000-0000D20E0000}"/>
    <cellStyle name="Calculation 2 8 2 4 3" xfId="14702" xr:uid="{00000000-0005-0000-0000-0000D30E0000}"/>
    <cellStyle name="Calculation 2 8 2 4 3 2" xfId="29534" xr:uid="{00000000-0005-0000-0000-0000D40E0000}"/>
    <cellStyle name="Calculation 2 8 2 4 4" xfId="21638" xr:uid="{00000000-0005-0000-0000-0000D50E0000}"/>
    <cellStyle name="Calculation 2 8 2 5" xfId="2363" xr:uid="{00000000-0005-0000-0000-0000D60E0000}"/>
    <cellStyle name="Calculation 2 8 2 5 2" xfId="6475" xr:uid="{00000000-0005-0000-0000-0000D70E0000}"/>
    <cellStyle name="Calculation 2 8 2 5 2 2" xfId="22845" xr:uid="{00000000-0005-0000-0000-0000D80E0000}"/>
    <cellStyle name="Calculation 2 8 2 5 3" xfId="12702" xr:uid="{00000000-0005-0000-0000-0000D90E0000}"/>
    <cellStyle name="Calculation 2 8 2 5 3 2" xfId="27534" xr:uid="{00000000-0005-0000-0000-0000DA0E0000}"/>
    <cellStyle name="Calculation 2 8 2 5 4" xfId="20487" xr:uid="{00000000-0005-0000-0000-0000DB0E0000}"/>
    <cellStyle name="Calculation 2 8 2 6" xfId="5488" xr:uid="{00000000-0005-0000-0000-0000DC0E0000}"/>
    <cellStyle name="Calculation 2 8 2 6 2" xfId="15723" xr:uid="{00000000-0005-0000-0000-0000DD0E0000}"/>
    <cellStyle name="Calculation 2 8 2 6 2 2" xfId="30555" xr:uid="{00000000-0005-0000-0000-0000DE0E0000}"/>
    <cellStyle name="Calculation 2 8 2 6 3" xfId="22216" xr:uid="{00000000-0005-0000-0000-0000DF0E0000}"/>
    <cellStyle name="Calculation 2 8 2 7" xfId="11738" xr:uid="{00000000-0005-0000-0000-0000E00E0000}"/>
    <cellStyle name="Calculation 2 8 2 7 2" xfId="26570" xr:uid="{00000000-0005-0000-0000-0000E10E0000}"/>
    <cellStyle name="Calculation 2 8 2 8" xfId="9409" xr:uid="{00000000-0005-0000-0000-0000E20E0000}"/>
    <cellStyle name="Calculation 2 8 2 8 2" xfId="19713" xr:uid="{00000000-0005-0000-0000-0000E30E0000}"/>
    <cellStyle name="Calculation 2 8 3" xfId="1445" xr:uid="{00000000-0005-0000-0000-0000E40E0000}"/>
    <cellStyle name="Calculation 2 8 3 2" xfId="1946" xr:uid="{00000000-0005-0000-0000-0000E50E0000}"/>
    <cellStyle name="Calculation 2 8 3 2 2" xfId="3710" xr:uid="{00000000-0005-0000-0000-0000E60E0000}"/>
    <cellStyle name="Calculation 2 8 3 2 2 2" xfId="7766" xr:uid="{00000000-0005-0000-0000-0000E70E0000}"/>
    <cellStyle name="Calculation 2 8 3 2 2 2 2" xfId="23648" xr:uid="{00000000-0005-0000-0000-0000E80E0000}"/>
    <cellStyle name="Calculation 2 8 3 2 2 3" xfId="14045" xr:uid="{00000000-0005-0000-0000-0000E90E0000}"/>
    <cellStyle name="Calculation 2 8 3 2 2 3 2" xfId="28877" xr:uid="{00000000-0005-0000-0000-0000EA0E0000}"/>
    <cellStyle name="Calculation 2 8 3 2 2 4" xfId="21308" xr:uid="{00000000-0005-0000-0000-0000EB0E0000}"/>
    <cellStyle name="Calculation 2 8 3 2 3" xfId="4925" xr:uid="{00000000-0005-0000-0000-0000EC0E0000}"/>
    <cellStyle name="Calculation 2 8 3 2 3 2" xfId="8964" xr:uid="{00000000-0005-0000-0000-0000ED0E0000}"/>
    <cellStyle name="Calculation 2 8 3 2 3 2 2" xfId="24430" xr:uid="{00000000-0005-0000-0000-0000EE0E0000}"/>
    <cellStyle name="Calculation 2 8 3 2 3 3" xfId="15247" xr:uid="{00000000-0005-0000-0000-0000EF0E0000}"/>
    <cellStyle name="Calculation 2 8 3 2 3 3 2" xfId="30079" xr:uid="{00000000-0005-0000-0000-0000F00E0000}"/>
    <cellStyle name="Calculation 2 8 3 2 3 4" xfId="21960" xr:uid="{00000000-0005-0000-0000-0000F10E0000}"/>
    <cellStyle name="Calculation 2 8 3 2 4" xfId="2915" xr:uid="{00000000-0005-0000-0000-0000F20E0000}"/>
    <cellStyle name="Calculation 2 8 3 2 4 2" xfId="6999" xr:uid="{00000000-0005-0000-0000-0000F30E0000}"/>
    <cellStyle name="Calculation 2 8 3 2 4 2 2" xfId="23173" xr:uid="{00000000-0005-0000-0000-0000F40E0000}"/>
    <cellStyle name="Calculation 2 8 3 2 4 3" xfId="13253" xr:uid="{00000000-0005-0000-0000-0000F50E0000}"/>
    <cellStyle name="Calculation 2 8 3 2 4 3 2" xfId="28085" xr:uid="{00000000-0005-0000-0000-0000F60E0000}"/>
    <cellStyle name="Calculation 2 8 3 2 4 4" xfId="20841" xr:uid="{00000000-0005-0000-0000-0000F70E0000}"/>
    <cellStyle name="Calculation 2 8 3 2 5" xfId="6076" xr:uid="{00000000-0005-0000-0000-0000F80E0000}"/>
    <cellStyle name="Calculation 2 8 3 2 5 2" xfId="16263" xr:uid="{00000000-0005-0000-0000-0000F90E0000}"/>
    <cellStyle name="Calculation 2 8 3 2 5 2 2" xfId="31095" xr:uid="{00000000-0005-0000-0000-0000FA0E0000}"/>
    <cellStyle name="Calculation 2 8 3 2 5 3" xfId="22609" xr:uid="{00000000-0005-0000-0000-0000FB0E0000}"/>
    <cellStyle name="Calculation 2 8 3 2 6" xfId="12333" xr:uid="{00000000-0005-0000-0000-0000FC0E0000}"/>
    <cellStyle name="Calculation 2 8 3 2 6 2" xfId="27165" xr:uid="{00000000-0005-0000-0000-0000FD0E0000}"/>
    <cellStyle name="Calculation 2 8 3 2 7" xfId="9930" xr:uid="{00000000-0005-0000-0000-0000FE0E0000}"/>
    <cellStyle name="Calculation 2 8 3 2 7 2" xfId="20132" xr:uid="{00000000-0005-0000-0000-0000FF0E0000}"/>
    <cellStyle name="Calculation 2 8 3 3" xfId="4044" xr:uid="{00000000-0005-0000-0000-0000000F0000}"/>
    <cellStyle name="Calculation 2 8 3 3 2" xfId="8091" xr:uid="{00000000-0005-0000-0000-0000010F0000}"/>
    <cellStyle name="Calculation 2 8 3 3 2 2" xfId="23856" xr:uid="{00000000-0005-0000-0000-0000020F0000}"/>
    <cellStyle name="Calculation 2 8 3 3 3" xfId="14376" xr:uid="{00000000-0005-0000-0000-0000030F0000}"/>
    <cellStyle name="Calculation 2 8 3 3 3 2" xfId="29208" xr:uid="{00000000-0005-0000-0000-0000040F0000}"/>
    <cellStyle name="Calculation 2 8 3 3 4" xfId="21490" xr:uid="{00000000-0005-0000-0000-0000050F0000}"/>
    <cellStyle name="Calculation 2 8 3 4" xfId="4505" xr:uid="{00000000-0005-0000-0000-0000060F0000}"/>
    <cellStyle name="Calculation 2 8 3 4 2" xfId="8544" xr:uid="{00000000-0005-0000-0000-0000070F0000}"/>
    <cellStyle name="Calculation 2 8 3 4 2 2" xfId="24170" xr:uid="{00000000-0005-0000-0000-0000080F0000}"/>
    <cellStyle name="Calculation 2 8 3 4 3" xfId="14832" xr:uid="{00000000-0005-0000-0000-0000090F0000}"/>
    <cellStyle name="Calculation 2 8 3 4 3 2" xfId="29664" xr:uid="{00000000-0005-0000-0000-00000A0F0000}"/>
    <cellStyle name="Calculation 2 8 3 4 4" xfId="21730" xr:uid="{00000000-0005-0000-0000-00000B0F0000}"/>
    <cellStyle name="Calculation 2 8 3 5" xfId="2495" xr:uid="{00000000-0005-0000-0000-00000C0F0000}"/>
    <cellStyle name="Calculation 2 8 3 5 2" xfId="6601" xr:uid="{00000000-0005-0000-0000-00000D0F0000}"/>
    <cellStyle name="Calculation 2 8 3 5 2 2" xfId="22939" xr:uid="{00000000-0005-0000-0000-00000E0F0000}"/>
    <cellStyle name="Calculation 2 8 3 5 3" xfId="12833" xr:uid="{00000000-0005-0000-0000-00000F0F0000}"/>
    <cellStyle name="Calculation 2 8 3 5 3 2" xfId="27665" xr:uid="{00000000-0005-0000-0000-0000100F0000}"/>
    <cellStyle name="Calculation 2 8 3 5 4" xfId="20585" xr:uid="{00000000-0005-0000-0000-0000110F0000}"/>
    <cellStyle name="Calculation 2 8 3 6" xfId="5618" xr:uid="{00000000-0005-0000-0000-0000120F0000}"/>
    <cellStyle name="Calculation 2 8 3 6 2" xfId="15853" xr:uid="{00000000-0005-0000-0000-0000130F0000}"/>
    <cellStyle name="Calculation 2 8 3 6 2 2" xfId="30685" xr:uid="{00000000-0005-0000-0000-0000140F0000}"/>
    <cellStyle name="Calculation 2 8 3 6 3" xfId="22314" xr:uid="{00000000-0005-0000-0000-0000150F0000}"/>
    <cellStyle name="Calculation 2 8 3 7" xfId="11862" xr:uid="{00000000-0005-0000-0000-0000160F0000}"/>
    <cellStyle name="Calculation 2 8 3 7 2" xfId="26694" xr:uid="{00000000-0005-0000-0000-0000170F0000}"/>
    <cellStyle name="Calculation 2 8 3 8" xfId="9535" xr:uid="{00000000-0005-0000-0000-0000180F0000}"/>
    <cellStyle name="Calculation 2 8 3 8 2" xfId="19837" xr:uid="{00000000-0005-0000-0000-0000190F0000}"/>
    <cellStyle name="Calculation 2 8 4" xfId="1410" xr:uid="{00000000-0005-0000-0000-00001A0F0000}"/>
    <cellStyle name="Calculation 2 8 4 2" xfId="1912" xr:uid="{00000000-0005-0000-0000-00001B0F0000}"/>
    <cellStyle name="Calculation 2 8 4 2 2" xfId="4109" xr:uid="{00000000-0005-0000-0000-00001C0F0000}"/>
    <cellStyle name="Calculation 2 8 4 2 2 2" xfId="8155" xr:uid="{00000000-0005-0000-0000-00001D0F0000}"/>
    <cellStyle name="Calculation 2 8 4 2 2 2 2" xfId="23895" xr:uid="{00000000-0005-0000-0000-00001E0F0000}"/>
    <cellStyle name="Calculation 2 8 4 2 2 3" xfId="14441" xr:uid="{00000000-0005-0000-0000-00001F0F0000}"/>
    <cellStyle name="Calculation 2 8 4 2 2 3 2" xfId="29273" xr:uid="{00000000-0005-0000-0000-0000200F0000}"/>
    <cellStyle name="Calculation 2 8 4 2 2 4" xfId="21525" xr:uid="{00000000-0005-0000-0000-0000210F0000}"/>
    <cellStyle name="Calculation 2 8 4 2 3" xfId="4890" xr:uid="{00000000-0005-0000-0000-0000220F0000}"/>
    <cellStyle name="Calculation 2 8 4 2 3 2" xfId="8929" xr:uid="{00000000-0005-0000-0000-0000230F0000}"/>
    <cellStyle name="Calculation 2 8 4 2 3 2 2" xfId="24395" xr:uid="{00000000-0005-0000-0000-0000240F0000}"/>
    <cellStyle name="Calculation 2 8 4 2 3 3" xfId="15213" xr:uid="{00000000-0005-0000-0000-0000250F0000}"/>
    <cellStyle name="Calculation 2 8 4 2 3 3 2" xfId="30045" xr:uid="{00000000-0005-0000-0000-0000260F0000}"/>
    <cellStyle name="Calculation 2 8 4 2 3 4" xfId="21927" xr:uid="{00000000-0005-0000-0000-0000270F0000}"/>
    <cellStyle name="Calculation 2 8 4 2 4" xfId="2880" xr:uid="{00000000-0005-0000-0000-0000280F0000}"/>
    <cellStyle name="Calculation 2 8 4 2 4 2" xfId="6965" xr:uid="{00000000-0005-0000-0000-0000290F0000}"/>
    <cellStyle name="Calculation 2 8 4 2 4 2 2" xfId="23140" xr:uid="{00000000-0005-0000-0000-00002A0F0000}"/>
    <cellStyle name="Calculation 2 8 4 2 4 3" xfId="13218" xr:uid="{00000000-0005-0000-0000-00002B0F0000}"/>
    <cellStyle name="Calculation 2 8 4 2 4 3 2" xfId="28050" xr:uid="{00000000-0005-0000-0000-00002C0F0000}"/>
    <cellStyle name="Calculation 2 8 4 2 4 4" xfId="20806" xr:uid="{00000000-0005-0000-0000-00002D0F0000}"/>
    <cellStyle name="Calculation 2 8 4 2 5" xfId="6043" xr:uid="{00000000-0005-0000-0000-00002E0F0000}"/>
    <cellStyle name="Calculation 2 8 4 2 5 2" xfId="16230" xr:uid="{00000000-0005-0000-0000-00002F0F0000}"/>
    <cellStyle name="Calculation 2 8 4 2 5 2 2" xfId="31062" xr:uid="{00000000-0005-0000-0000-0000300F0000}"/>
    <cellStyle name="Calculation 2 8 4 2 5 3" xfId="22576" xr:uid="{00000000-0005-0000-0000-0000310F0000}"/>
    <cellStyle name="Calculation 2 8 4 2 6" xfId="12300" xr:uid="{00000000-0005-0000-0000-0000320F0000}"/>
    <cellStyle name="Calculation 2 8 4 2 6 2" xfId="27132" xr:uid="{00000000-0005-0000-0000-0000330F0000}"/>
    <cellStyle name="Calculation 2 8 4 2 7" xfId="9896" xr:uid="{00000000-0005-0000-0000-0000340F0000}"/>
    <cellStyle name="Calculation 2 8 4 2 7 2" xfId="20099" xr:uid="{00000000-0005-0000-0000-0000350F0000}"/>
    <cellStyle name="Calculation 2 8 4 3" xfId="3163" xr:uid="{00000000-0005-0000-0000-0000360F0000}"/>
    <cellStyle name="Calculation 2 8 4 3 2" xfId="7227" xr:uid="{00000000-0005-0000-0000-0000370F0000}"/>
    <cellStyle name="Calculation 2 8 4 3 2 2" xfId="23290" xr:uid="{00000000-0005-0000-0000-0000380F0000}"/>
    <cellStyle name="Calculation 2 8 4 3 3" xfId="13501" xr:uid="{00000000-0005-0000-0000-0000390F0000}"/>
    <cellStyle name="Calculation 2 8 4 3 3 2" xfId="28333" xr:uid="{00000000-0005-0000-0000-00003A0F0000}"/>
    <cellStyle name="Calculation 2 8 4 3 4" xfId="20981" xr:uid="{00000000-0005-0000-0000-00003B0F0000}"/>
    <cellStyle name="Calculation 2 8 4 4" xfId="4470" xr:uid="{00000000-0005-0000-0000-00003C0F0000}"/>
    <cellStyle name="Calculation 2 8 4 4 2" xfId="8509" xr:uid="{00000000-0005-0000-0000-00003D0F0000}"/>
    <cellStyle name="Calculation 2 8 4 4 2 2" xfId="24135" xr:uid="{00000000-0005-0000-0000-00003E0F0000}"/>
    <cellStyle name="Calculation 2 8 4 4 3" xfId="14798" xr:uid="{00000000-0005-0000-0000-00003F0F0000}"/>
    <cellStyle name="Calculation 2 8 4 4 3 2" xfId="29630" xr:uid="{00000000-0005-0000-0000-0000400F0000}"/>
    <cellStyle name="Calculation 2 8 4 4 4" xfId="21697" xr:uid="{00000000-0005-0000-0000-0000410F0000}"/>
    <cellStyle name="Calculation 2 8 4 5" xfId="2460" xr:uid="{00000000-0005-0000-0000-0000420F0000}"/>
    <cellStyle name="Calculation 2 8 4 5 2" xfId="6566" xr:uid="{00000000-0005-0000-0000-0000430F0000}"/>
    <cellStyle name="Calculation 2 8 4 5 2 2" xfId="22904" xr:uid="{00000000-0005-0000-0000-0000440F0000}"/>
    <cellStyle name="Calculation 2 8 4 5 3" xfId="12799" xr:uid="{00000000-0005-0000-0000-0000450F0000}"/>
    <cellStyle name="Calculation 2 8 4 5 3 2" xfId="27631" xr:uid="{00000000-0005-0000-0000-0000460F0000}"/>
    <cellStyle name="Calculation 2 8 4 5 4" xfId="20552" xr:uid="{00000000-0005-0000-0000-0000470F0000}"/>
    <cellStyle name="Calculation 2 8 4 6" xfId="5584" xr:uid="{00000000-0005-0000-0000-0000480F0000}"/>
    <cellStyle name="Calculation 2 8 4 6 2" xfId="15819" xr:uid="{00000000-0005-0000-0000-0000490F0000}"/>
    <cellStyle name="Calculation 2 8 4 6 2 2" xfId="30651" xr:uid="{00000000-0005-0000-0000-00004A0F0000}"/>
    <cellStyle name="Calculation 2 8 4 6 3" xfId="22280" xr:uid="{00000000-0005-0000-0000-00004B0F0000}"/>
    <cellStyle name="Calculation 2 8 4 7" xfId="11829" xr:uid="{00000000-0005-0000-0000-00004C0F0000}"/>
    <cellStyle name="Calculation 2 8 4 7 2" xfId="26661" xr:uid="{00000000-0005-0000-0000-00004D0F0000}"/>
    <cellStyle name="Calculation 2 8 4 8" xfId="9501" xr:uid="{00000000-0005-0000-0000-00004E0F0000}"/>
    <cellStyle name="Calculation 2 8 4 8 2" xfId="19804" xr:uid="{00000000-0005-0000-0000-00004F0F0000}"/>
    <cellStyle name="Calculation 2 8 5" xfId="1430" xr:uid="{00000000-0005-0000-0000-0000500F0000}"/>
    <cellStyle name="Calculation 2 8 5 2" xfId="1931" xr:uid="{00000000-0005-0000-0000-0000510F0000}"/>
    <cellStyle name="Calculation 2 8 5 2 2" xfId="4065" xr:uid="{00000000-0005-0000-0000-0000520F0000}"/>
    <cellStyle name="Calculation 2 8 5 2 2 2" xfId="8112" xr:uid="{00000000-0005-0000-0000-0000530F0000}"/>
    <cellStyle name="Calculation 2 8 5 2 2 2 2" xfId="23869" xr:uid="{00000000-0005-0000-0000-0000540F0000}"/>
    <cellStyle name="Calculation 2 8 5 2 2 3" xfId="14397" xr:uid="{00000000-0005-0000-0000-0000550F0000}"/>
    <cellStyle name="Calculation 2 8 5 2 2 3 2" xfId="29229" xr:uid="{00000000-0005-0000-0000-0000560F0000}"/>
    <cellStyle name="Calculation 2 8 5 2 2 4" xfId="21503" xr:uid="{00000000-0005-0000-0000-0000570F0000}"/>
    <cellStyle name="Calculation 2 8 5 2 3" xfId="4910" xr:uid="{00000000-0005-0000-0000-0000580F0000}"/>
    <cellStyle name="Calculation 2 8 5 2 3 2" xfId="8949" xr:uid="{00000000-0005-0000-0000-0000590F0000}"/>
    <cellStyle name="Calculation 2 8 5 2 3 2 2" xfId="24415" xr:uid="{00000000-0005-0000-0000-00005A0F0000}"/>
    <cellStyle name="Calculation 2 8 5 2 3 3" xfId="15232" xr:uid="{00000000-0005-0000-0000-00005B0F0000}"/>
    <cellStyle name="Calculation 2 8 5 2 3 3 2" xfId="30064" xr:uid="{00000000-0005-0000-0000-00005C0F0000}"/>
    <cellStyle name="Calculation 2 8 5 2 3 4" xfId="21945" xr:uid="{00000000-0005-0000-0000-00005D0F0000}"/>
    <cellStyle name="Calculation 2 8 5 2 4" xfId="2900" xr:uid="{00000000-0005-0000-0000-00005E0F0000}"/>
    <cellStyle name="Calculation 2 8 5 2 4 2" xfId="6984" xr:uid="{00000000-0005-0000-0000-00005F0F0000}"/>
    <cellStyle name="Calculation 2 8 5 2 4 2 2" xfId="23158" xr:uid="{00000000-0005-0000-0000-0000600F0000}"/>
    <cellStyle name="Calculation 2 8 5 2 4 3" xfId="13238" xr:uid="{00000000-0005-0000-0000-0000610F0000}"/>
    <cellStyle name="Calculation 2 8 5 2 4 3 2" xfId="28070" xr:uid="{00000000-0005-0000-0000-0000620F0000}"/>
    <cellStyle name="Calculation 2 8 5 2 4 4" xfId="20826" xr:uid="{00000000-0005-0000-0000-0000630F0000}"/>
    <cellStyle name="Calculation 2 8 5 2 5" xfId="6061" xr:uid="{00000000-0005-0000-0000-0000640F0000}"/>
    <cellStyle name="Calculation 2 8 5 2 5 2" xfId="16248" xr:uid="{00000000-0005-0000-0000-0000650F0000}"/>
    <cellStyle name="Calculation 2 8 5 2 5 2 2" xfId="31080" xr:uid="{00000000-0005-0000-0000-0000660F0000}"/>
    <cellStyle name="Calculation 2 8 5 2 5 3" xfId="22594" xr:uid="{00000000-0005-0000-0000-0000670F0000}"/>
    <cellStyle name="Calculation 2 8 5 2 6" xfId="12318" xr:uid="{00000000-0005-0000-0000-0000680F0000}"/>
    <cellStyle name="Calculation 2 8 5 2 6 2" xfId="27150" xr:uid="{00000000-0005-0000-0000-0000690F0000}"/>
    <cellStyle name="Calculation 2 8 5 2 7" xfId="9915" xr:uid="{00000000-0005-0000-0000-00006A0F0000}"/>
    <cellStyle name="Calculation 2 8 5 2 7 2" xfId="20117" xr:uid="{00000000-0005-0000-0000-00006B0F0000}"/>
    <cellStyle name="Calculation 2 8 5 3" xfId="4081" xr:uid="{00000000-0005-0000-0000-00006C0F0000}"/>
    <cellStyle name="Calculation 2 8 5 3 2" xfId="8127" xr:uid="{00000000-0005-0000-0000-00006D0F0000}"/>
    <cellStyle name="Calculation 2 8 5 3 2 2" xfId="23878" xr:uid="{00000000-0005-0000-0000-00006E0F0000}"/>
    <cellStyle name="Calculation 2 8 5 3 3" xfId="14413" xr:uid="{00000000-0005-0000-0000-00006F0F0000}"/>
    <cellStyle name="Calculation 2 8 5 3 3 2" xfId="29245" xr:uid="{00000000-0005-0000-0000-0000700F0000}"/>
    <cellStyle name="Calculation 2 8 5 3 4" xfId="21508" xr:uid="{00000000-0005-0000-0000-0000710F0000}"/>
    <cellStyle name="Calculation 2 8 5 4" xfId="4490" xr:uid="{00000000-0005-0000-0000-0000720F0000}"/>
    <cellStyle name="Calculation 2 8 5 4 2" xfId="8529" xr:uid="{00000000-0005-0000-0000-0000730F0000}"/>
    <cellStyle name="Calculation 2 8 5 4 2 2" xfId="24155" xr:uid="{00000000-0005-0000-0000-0000740F0000}"/>
    <cellStyle name="Calculation 2 8 5 4 3" xfId="14817" xr:uid="{00000000-0005-0000-0000-0000750F0000}"/>
    <cellStyle name="Calculation 2 8 5 4 3 2" xfId="29649" xr:uid="{00000000-0005-0000-0000-0000760F0000}"/>
    <cellStyle name="Calculation 2 8 5 4 4" xfId="21715" xr:uid="{00000000-0005-0000-0000-0000770F0000}"/>
    <cellStyle name="Calculation 2 8 5 5" xfId="2480" xr:uid="{00000000-0005-0000-0000-0000780F0000}"/>
    <cellStyle name="Calculation 2 8 5 5 2" xfId="6586" xr:uid="{00000000-0005-0000-0000-0000790F0000}"/>
    <cellStyle name="Calculation 2 8 5 5 2 2" xfId="22924" xr:uid="{00000000-0005-0000-0000-00007A0F0000}"/>
    <cellStyle name="Calculation 2 8 5 5 3" xfId="12818" xr:uid="{00000000-0005-0000-0000-00007B0F0000}"/>
    <cellStyle name="Calculation 2 8 5 5 3 2" xfId="27650" xr:uid="{00000000-0005-0000-0000-00007C0F0000}"/>
    <cellStyle name="Calculation 2 8 5 5 4" xfId="20570" xr:uid="{00000000-0005-0000-0000-00007D0F0000}"/>
    <cellStyle name="Calculation 2 8 5 6" xfId="5603" xr:uid="{00000000-0005-0000-0000-00007E0F0000}"/>
    <cellStyle name="Calculation 2 8 5 6 2" xfId="15838" xr:uid="{00000000-0005-0000-0000-00007F0F0000}"/>
    <cellStyle name="Calculation 2 8 5 6 2 2" xfId="30670" xr:uid="{00000000-0005-0000-0000-0000800F0000}"/>
    <cellStyle name="Calculation 2 8 5 6 3" xfId="22299" xr:uid="{00000000-0005-0000-0000-0000810F0000}"/>
    <cellStyle name="Calculation 2 8 5 7" xfId="11847" xr:uid="{00000000-0005-0000-0000-0000820F0000}"/>
    <cellStyle name="Calculation 2 8 5 7 2" xfId="26679" xr:uid="{00000000-0005-0000-0000-0000830F0000}"/>
    <cellStyle name="Calculation 2 8 5 8" xfId="9520" xr:uid="{00000000-0005-0000-0000-0000840F0000}"/>
    <cellStyle name="Calculation 2 8 5 8 2" xfId="19822" xr:uid="{00000000-0005-0000-0000-0000850F0000}"/>
    <cellStyle name="Calculation 2 8 6" xfId="1722" xr:uid="{00000000-0005-0000-0000-0000860F0000}"/>
    <cellStyle name="Calculation 2 8 6 2" xfId="3707" xr:uid="{00000000-0005-0000-0000-0000870F0000}"/>
    <cellStyle name="Calculation 2 8 6 2 2" xfId="7763" xr:uid="{00000000-0005-0000-0000-0000880F0000}"/>
    <cellStyle name="Calculation 2 8 6 2 2 2" xfId="23645" xr:uid="{00000000-0005-0000-0000-0000890F0000}"/>
    <cellStyle name="Calculation 2 8 6 2 3" xfId="14042" xr:uid="{00000000-0005-0000-0000-00008A0F0000}"/>
    <cellStyle name="Calculation 2 8 6 2 3 2" xfId="28874" xr:uid="{00000000-0005-0000-0000-00008B0F0000}"/>
    <cellStyle name="Calculation 2 8 6 2 4" xfId="21305" xr:uid="{00000000-0005-0000-0000-00008C0F0000}"/>
    <cellStyle name="Calculation 2 8 6 3" xfId="4715" xr:uid="{00000000-0005-0000-0000-00008D0F0000}"/>
    <cellStyle name="Calculation 2 8 6 3 2" xfId="8754" xr:uid="{00000000-0005-0000-0000-00008E0F0000}"/>
    <cellStyle name="Calculation 2 8 6 3 2 2" xfId="24284" xr:uid="{00000000-0005-0000-0000-00008F0F0000}"/>
    <cellStyle name="Calculation 2 8 6 3 3" xfId="15039" xr:uid="{00000000-0005-0000-0000-0000900F0000}"/>
    <cellStyle name="Calculation 2 8 6 3 3 2" xfId="29871" xr:uid="{00000000-0005-0000-0000-0000910F0000}"/>
    <cellStyle name="Calculation 2 8 6 3 4" xfId="21822" xr:uid="{00000000-0005-0000-0000-0000920F0000}"/>
    <cellStyle name="Calculation 2 8 6 4" xfId="2705" xr:uid="{00000000-0005-0000-0000-0000930F0000}"/>
    <cellStyle name="Calculation 2 8 6 4 2" xfId="6796" xr:uid="{00000000-0005-0000-0000-0000940F0000}"/>
    <cellStyle name="Calculation 2 8 6 4 2 2" xfId="23035" xr:uid="{00000000-0005-0000-0000-0000950F0000}"/>
    <cellStyle name="Calculation 2 8 6 4 3" xfId="13043" xr:uid="{00000000-0005-0000-0000-0000960F0000}"/>
    <cellStyle name="Calculation 2 8 6 4 3 2" xfId="27875" xr:uid="{00000000-0005-0000-0000-0000970F0000}"/>
    <cellStyle name="Calculation 2 8 6 4 4" xfId="20695" xr:uid="{00000000-0005-0000-0000-0000980F0000}"/>
    <cellStyle name="Calculation 2 8 6 5" xfId="5854" xr:uid="{00000000-0005-0000-0000-0000990F0000}"/>
    <cellStyle name="Calculation 2 8 6 5 2" xfId="16046" xr:uid="{00000000-0005-0000-0000-00009A0F0000}"/>
    <cellStyle name="Calculation 2 8 6 5 2 2" xfId="30878" xr:uid="{00000000-0005-0000-0000-00009B0F0000}"/>
    <cellStyle name="Calculation 2 8 6 5 3" xfId="22451" xr:uid="{00000000-0005-0000-0000-00009C0F0000}"/>
    <cellStyle name="Calculation 2 8 6 6" xfId="12116" xr:uid="{00000000-0005-0000-0000-00009D0F0000}"/>
    <cellStyle name="Calculation 2 8 6 6 2" xfId="26948" xr:uid="{00000000-0005-0000-0000-00009E0F0000}"/>
    <cellStyle name="Calculation 2 8 6 7" xfId="9727" xr:uid="{00000000-0005-0000-0000-00009F0F0000}"/>
    <cellStyle name="Calculation 2 8 6 7 2" xfId="20025" xr:uid="{00000000-0005-0000-0000-0000A00F0000}"/>
    <cellStyle name="Calculation 2 8 7" xfId="2229" xr:uid="{00000000-0005-0000-0000-0000A10F0000}"/>
    <cellStyle name="Calculation 2 8 7 2" xfId="4042" xr:uid="{00000000-0005-0000-0000-0000A20F0000}"/>
    <cellStyle name="Calculation 2 8 7 2 2" xfId="8089" xr:uid="{00000000-0005-0000-0000-0000A30F0000}"/>
    <cellStyle name="Calculation 2 8 7 2 2 2" xfId="23854" xr:uid="{00000000-0005-0000-0000-0000A40F0000}"/>
    <cellStyle name="Calculation 2 8 7 2 3" xfId="14374" xr:uid="{00000000-0005-0000-0000-0000A50F0000}"/>
    <cellStyle name="Calculation 2 8 7 2 3 2" xfId="29206" xr:uid="{00000000-0005-0000-0000-0000A60F0000}"/>
    <cellStyle name="Calculation 2 8 7 2 4" xfId="21488" xr:uid="{00000000-0005-0000-0000-0000A70F0000}"/>
    <cellStyle name="Calculation 2 8 7 3" xfId="5197" xr:uid="{00000000-0005-0000-0000-0000A80F0000}"/>
    <cellStyle name="Calculation 2 8 7 3 2" xfId="9236" xr:uid="{00000000-0005-0000-0000-0000A90F0000}"/>
    <cellStyle name="Calculation 2 8 7 3 2 2" xfId="24574" xr:uid="{00000000-0005-0000-0000-0000AA0F0000}"/>
    <cellStyle name="Calculation 2 8 7 3 3" xfId="15515" xr:uid="{00000000-0005-0000-0000-0000AB0F0000}"/>
    <cellStyle name="Calculation 2 8 7 3 3 2" xfId="30347" xr:uid="{00000000-0005-0000-0000-0000AC0F0000}"/>
    <cellStyle name="Calculation 2 8 7 3 4" xfId="22081" xr:uid="{00000000-0005-0000-0000-0000AD0F0000}"/>
    <cellStyle name="Calculation 2 8 7 4" xfId="4227" xr:uid="{00000000-0005-0000-0000-0000AE0F0000}"/>
    <cellStyle name="Calculation 2 8 7 4 2" xfId="8268" xr:uid="{00000000-0005-0000-0000-0000AF0F0000}"/>
    <cellStyle name="Calculation 2 8 7 4 2 2" xfId="23963" xr:uid="{00000000-0005-0000-0000-0000B00F0000}"/>
    <cellStyle name="Calculation 2 8 7 4 3" xfId="14559" xr:uid="{00000000-0005-0000-0000-0000B10F0000}"/>
    <cellStyle name="Calculation 2 8 7 4 3 2" xfId="29391" xr:uid="{00000000-0005-0000-0000-0000B20F0000}"/>
    <cellStyle name="Calculation 2 8 7 4 4" xfId="21588" xr:uid="{00000000-0005-0000-0000-0000B30F0000}"/>
    <cellStyle name="Calculation 2 8 7 5" xfId="6343" xr:uid="{00000000-0005-0000-0000-0000B40F0000}"/>
    <cellStyle name="Calculation 2 8 7 5 2" xfId="22745" xr:uid="{00000000-0005-0000-0000-0000B50F0000}"/>
    <cellStyle name="Calculation 2 8 7 6" xfId="12597" xr:uid="{00000000-0005-0000-0000-0000B60F0000}"/>
    <cellStyle name="Calculation 2 8 7 6 2" xfId="27429" xr:uid="{00000000-0005-0000-0000-0000B70F0000}"/>
    <cellStyle name="Calculation 2 8 7 7" xfId="20424" xr:uid="{00000000-0005-0000-0000-0000B80F0000}"/>
    <cellStyle name="Calculation 2 8 8" xfId="3919" xr:uid="{00000000-0005-0000-0000-0000B90F0000}"/>
    <cellStyle name="Calculation 2 8 8 2" xfId="7970" xr:uid="{00000000-0005-0000-0000-0000BA0F0000}"/>
    <cellStyle name="Calculation 2 8 8 2 2" xfId="23778" xr:uid="{00000000-0005-0000-0000-0000BB0F0000}"/>
    <cellStyle name="Calculation 2 8 8 3" xfId="14252" xr:uid="{00000000-0005-0000-0000-0000BC0F0000}"/>
    <cellStyle name="Calculation 2 8 8 3 2" xfId="29084" xr:uid="{00000000-0005-0000-0000-0000BD0F0000}"/>
    <cellStyle name="Calculation 2 8 8 4" xfId="21419" xr:uid="{00000000-0005-0000-0000-0000BE0F0000}"/>
    <cellStyle name="Calculation 2 8 9" xfId="4279" xr:uid="{00000000-0005-0000-0000-0000BF0F0000}"/>
    <cellStyle name="Calculation 2 8 9 2" xfId="8318" xr:uid="{00000000-0005-0000-0000-0000C00F0000}"/>
    <cellStyle name="Calculation 2 8 9 2 2" xfId="24010" xr:uid="{00000000-0005-0000-0000-0000C10F0000}"/>
    <cellStyle name="Calculation 2 8 9 3" xfId="14611" xr:uid="{00000000-0005-0000-0000-0000C20F0000}"/>
    <cellStyle name="Calculation 2 8 9 3 2" xfId="29443" xr:uid="{00000000-0005-0000-0000-0000C30F0000}"/>
    <cellStyle name="Calculation 2 8 9 4" xfId="21609" xr:uid="{00000000-0005-0000-0000-0000C40F0000}"/>
    <cellStyle name="Calculation 2 9" xfId="1304" xr:uid="{00000000-0005-0000-0000-0000C50F0000}"/>
    <cellStyle name="Calculation 2 9 2" xfId="1808" xr:uid="{00000000-0005-0000-0000-0000C60F0000}"/>
    <cellStyle name="Calculation 2 9 2 2" xfId="3803" xr:uid="{00000000-0005-0000-0000-0000C70F0000}"/>
    <cellStyle name="Calculation 2 9 2 2 2" xfId="7858" xr:uid="{00000000-0005-0000-0000-0000C80F0000}"/>
    <cellStyle name="Calculation 2 9 2 2 2 2" xfId="23710" xr:uid="{00000000-0005-0000-0000-0000C90F0000}"/>
    <cellStyle name="Calculation 2 9 2 2 3" xfId="14138" xr:uid="{00000000-0005-0000-0000-0000CA0F0000}"/>
    <cellStyle name="Calculation 2 9 2 2 3 2" xfId="28970" xr:uid="{00000000-0005-0000-0000-0000CB0F0000}"/>
    <cellStyle name="Calculation 2 9 2 2 4" xfId="21361" xr:uid="{00000000-0005-0000-0000-0000CC0F0000}"/>
    <cellStyle name="Calculation 2 9 2 3" xfId="4786" xr:uid="{00000000-0005-0000-0000-0000CD0F0000}"/>
    <cellStyle name="Calculation 2 9 2 3 2" xfId="8825" xr:uid="{00000000-0005-0000-0000-0000CE0F0000}"/>
    <cellStyle name="Calculation 2 9 2 3 2 2" xfId="24323" xr:uid="{00000000-0005-0000-0000-0000CF0F0000}"/>
    <cellStyle name="Calculation 2 9 2 3 3" xfId="15110" xr:uid="{00000000-0005-0000-0000-0000D00F0000}"/>
    <cellStyle name="Calculation 2 9 2 3 3 2" xfId="29942" xr:uid="{00000000-0005-0000-0000-0000D10F0000}"/>
    <cellStyle name="Calculation 2 9 2 3 4" xfId="21861" xr:uid="{00000000-0005-0000-0000-0000D20F0000}"/>
    <cellStyle name="Calculation 2 9 2 4" xfId="2776" xr:uid="{00000000-0005-0000-0000-0000D30F0000}"/>
    <cellStyle name="Calculation 2 9 2 4 2" xfId="6867" xr:uid="{00000000-0005-0000-0000-0000D40F0000}"/>
    <cellStyle name="Calculation 2 9 2 4 2 2" xfId="23074" xr:uid="{00000000-0005-0000-0000-0000D50F0000}"/>
    <cellStyle name="Calculation 2 9 2 4 3" xfId="13114" xr:uid="{00000000-0005-0000-0000-0000D60F0000}"/>
    <cellStyle name="Calculation 2 9 2 4 3 2" xfId="27946" xr:uid="{00000000-0005-0000-0000-0000D70F0000}"/>
    <cellStyle name="Calculation 2 9 2 4 4" xfId="20734" xr:uid="{00000000-0005-0000-0000-0000D80F0000}"/>
    <cellStyle name="Calculation 2 9 2 5" xfId="5940" xr:uid="{00000000-0005-0000-0000-0000D90F0000}"/>
    <cellStyle name="Calculation 2 9 2 5 2" xfId="16132" xr:uid="{00000000-0005-0000-0000-0000DA0F0000}"/>
    <cellStyle name="Calculation 2 9 2 5 2 2" xfId="30964" xr:uid="{00000000-0005-0000-0000-0000DB0F0000}"/>
    <cellStyle name="Calculation 2 9 2 5 3" xfId="22505" xr:uid="{00000000-0005-0000-0000-0000DC0F0000}"/>
    <cellStyle name="Calculation 2 9 2 6" xfId="12202" xr:uid="{00000000-0005-0000-0000-0000DD0F0000}"/>
    <cellStyle name="Calculation 2 9 2 6 2" xfId="27034" xr:uid="{00000000-0005-0000-0000-0000DE0F0000}"/>
    <cellStyle name="Calculation 2 9 2 7" xfId="9798" xr:uid="{00000000-0005-0000-0000-0000DF0F0000}"/>
    <cellStyle name="Calculation 2 9 2 7 2" xfId="20049" xr:uid="{00000000-0005-0000-0000-0000E00F0000}"/>
    <cellStyle name="Calculation 2 9 3" xfId="3645" xr:uid="{00000000-0005-0000-0000-0000E10F0000}"/>
    <cellStyle name="Calculation 2 9 3 2" xfId="7704" xr:uid="{00000000-0005-0000-0000-0000E20F0000}"/>
    <cellStyle name="Calculation 2 9 3 2 2" xfId="23604" xr:uid="{00000000-0005-0000-0000-0000E30F0000}"/>
    <cellStyle name="Calculation 2 9 3 3" xfId="13980" xr:uid="{00000000-0005-0000-0000-0000E40F0000}"/>
    <cellStyle name="Calculation 2 9 3 3 2" xfId="28812" xr:uid="{00000000-0005-0000-0000-0000E50F0000}"/>
    <cellStyle name="Calculation 2 9 3 4" xfId="21269" xr:uid="{00000000-0005-0000-0000-0000E60F0000}"/>
    <cellStyle name="Calculation 2 9 4" xfId="3362" xr:uid="{00000000-0005-0000-0000-0000E70F0000}"/>
    <cellStyle name="Calculation 2 9 4 2" xfId="7425" xr:uid="{00000000-0005-0000-0000-0000E80F0000}"/>
    <cellStyle name="Calculation 2 9 4 2 2" xfId="23426" xr:uid="{00000000-0005-0000-0000-0000E90F0000}"/>
    <cellStyle name="Calculation 2 9 4 3" xfId="13699" xr:uid="{00000000-0005-0000-0000-0000EA0F0000}"/>
    <cellStyle name="Calculation 2 9 4 3 2" xfId="28531" xr:uid="{00000000-0005-0000-0000-0000EB0F0000}"/>
    <cellStyle name="Calculation 2 9 4 4" xfId="21111" xr:uid="{00000000-0005-0000-0000-0000EC0F0000}"/>
    <cellStyle name="Calculation 2 9 5" xfId="2356" xr:uid="{00000000-0005-0000-0000-0000ED0F0000}"/>
    <cellStyle name="Calculation 2 9 5 2" xfId="6468" xr:uid="{00000000-0005-0000-0000-0000EE0F0000}"/>
    <cellStyle name="Calculation 2 9 5 2 2" xfId="22838" xr:uid="{00000000-0005-0000-0000-0000EF0F0000}"/>
    <cellStyle name="Calculation 2 9 5 3" xfId="12695" xr:uid="{00000000-0005-0000-0000-0000F00F0000}"/>
    <cellStyle name="Calculation 2 9 5 3 2" xfId="27527" xr:uid="{00000000-0005-0000-0000-0000F10F0000}"/>
    <cellStyle name="Calculation 2 9 5 4" xfId="20480" xr:uid="{00000000-0005-0000-0000-0000F20F0000}"/>
    <cellStyle name="Calculation 2 9 6" xfId="5481" xr:uid="{00000000-0005-0000-0000-0000F30F0000}"/>
    <cellStyle name="Calculation 2 9 6 2" xfId="15716" xr:uid="{00000000-0005-0000-0000-0000F40F0000}"/>
    <cellStyle name="Calculation 2 9 6 2 2" xfId="30548" xr:uid="{00000000-0005-0000-0000-0000F50F0000}"/>
    <cellStyle name="Calculation 2 9 6 3" xfId="22209" xr:uid="{00000000-0005-0000-0000-0000F60F0000}"/>
    <cellStyle name="Calculation 2 9 7" xfId="9321" xr:uid="{00000000-0005-0000-0000-0000F70F0000}"/>
    <cellStyle name="Calculation 2 9 7 2" xfId="24627" xr:uid="{00000000-0005-0000-0000-0000F80F0000}"/>
    <cellStyle name="Calculation 2 9 8" xfId="9402" xr:uid="{00000000-0005-0000-0000-0000F90F0000}"/>
    <cellStyle name="Calculation 2 9 8 2" xfId="19706" xr:uid="{00000000-0005-0000-0000-0000FA0F0000}"/>
    <cellStyle name="Calculation 3" xfId="970" xr:uid="{00000000-0005-0000-0000-0000FB0F0000}"/>
    <cellStyle name="Calculation 3 10" xfId="2276" xr:uid="{00000000-0005-0000-0000-0000FC0F0000}"/>
    <cellStyle name="Calculation 3 10 2" xfId="6388" xr:uid="{00000000-0005-0000-0000-0000FD0F0000}"/>
    <cellStyle name="Calculation 3 10 2 2" xfId="22790" xr:uid="{00000000-0005-0000-0000-0000FE0F0000}"/>
    <cellStyle name="Calculation 3 10 3" xfId="12616" xr:uid="{00000000-0005-0000-0000-0000FF0F0000}"/>
    <cellStyle name="Calculation 3 10 3 2" xfId="27448" xr:uid="{00000000-0005-0000-0000-000000100000}"/>
    <cellStyle name="Calculation 3 10 4" xfId="20442" xr:uid="{00000000-0005-0000-0000-000001100000}"/>
    <cellStyle name="Calculation 3 11" xfId="5242" xr:uid="{00000000-0005-0000-0000-000002100000}"/>
    <cellStyle name="Calculation 3 11 2" xfId="15558" xr:uid="{00000000-0005-0000-0000-000003100000}"/>
    <cellStyle name="Calculation 3 11 2 2" xfId="30390" xr:uid="{00000000-0005-0000-0000-000004100000}"/>
    <cellStyle name="Calculation 3 11 3" xfId="22099" xr:uid="{00000000-0005-0000-0000-000005100000}"/>
    <cellStyle name="Calculation 3 12" xfId="5400" xr:uid="{00000000-0005-0000-0000-000006100000}"/>
    <cellStyle name="Calculation 3 12 2" xfId="15636" xr:uid="{00000000-0005-0000-0000-000007100000}"/>
    <cellStyle name="Calculation 3 12 2 2" xfId="30468" xr:uid="{00000000-0005-0000-0000-000008100000}"/>
    <cellStyle name="Calculation 3 12 3" xfId="22161" xr:uid="{00000000-0005-0000-0000-000009100000}"/>
    <cellStyle name="Calculation 3 13" xfId="9391" xr:uid="{00000000-0005-0000-0000-00000A100000}"/>
    <cellStyle name="Calculation 3 13 2" xfId="24697" xr:uid="{00000000-0005-0000-0000-00000B100000}"/>
    <cellStyle name="Calculation 3 14" xfId="7136" xr:uid="{00000000-0005-0000-0000-00000C100000}"/>
    <cellStyle name="Calculation 3 14 2" xfId="18902" xr:uid="{00000000-0005-0000-0000-00000D100000}"/>
    <cellStyle name="Calculation 3 2" xfId="1312" xr:uid="{00000000-0005-0000-0000-00000E100000}"/>
    <cellStyle name="Calculation 3 2 2" xfId="1816" xr:uid="{00000000-0005-0000-0000-00000F100000}"/>
    <cellStyle name="Calculation 3 2 2 2" xfId="3632" xr:uid="{00000000-0005-0000-0000-000010100000}"/>
    <cellStyle name="Calculation 3 2 2 2 2" xfId="7691" xr:uid="{00000000-0005-0000-0000-000011100000}"/>
    <cellStyle name="Calculation 3 2 2 2 2 2" xfId="23597" xr:uid="{00000000-0005-0000-0000-000012100000}"/>
    <cellStyle name="Calculation 3 2 2 2 3" xfId="13967" xr:uid="{00000000-0005-0000-0000-000013100000}"/>
    <cellStyle name="Calculation 3 2 2 2 3 2" xfId="28799" xr:uid="{00000000-0005-0000-0000-000014100000}"/>
    <cellStyle name="Calculation 3 2 2 2 4" xfId="21262" xr:uid="{00000000-0005-0000-0000-000015100000}"/>
    <cellStyle name="Calculation 3 2 2 3" xfId="4794" xr:uid="{00000000-0005-0000-0000-000016100000}"/>
    <cellStyle name="Calculation 3 2 2 3 2" xfId="8833" xr:uid="{00000000-0005-0000-0000-000017100000}"/>
    <cellStyle name="Calculation 3 2 2 3 2 2" xfId="24331" xr:uid="{00000000-0005-0000-0000-000018100000}"/>
    <cellStyle name="Calculation 3 2 2 3 3" xfId="15118" xr:uid="{00000000-0005-0000-0000-000019100000}"/>
    <cellStyle name="Calculation 3 2 2 3 3 2" xfId="29950" xr:uid="{00000000-0005-0000-0000-00001A100000}"/>
    <cellStyle name="Calculation 3 2 2 3 4" xfId="21869" xr:uid="{00000000-0005-0000-0000-00001B100000}"/>
    <cellStyle name="Calculation 3 2 2 4" xfId="2784" xr:uid="{00000000-0005-0000-0000-00001C100000}"/>
    <cellStyle name="Calculation 3 2 2 4 2" xfId="6875" xr:uid="{00000000-0005-0000-0000-00001D100000}"/>
    <cellStyle name="Calculation 3 2 2 4 2 2" xfId="23082" xr:uid="{00000000-0005-0000-0000-00001E100000}"/>
    <cellStyle name="Calculation 3 2 2 4 3" xfId="13122" xr:uid="{00000000-0005-0000-0000-00001F100000}"/>
    <cellStyle name="Calculation 3 2 2 4 3 2" xfId="27954" xr:uid="{00000000-0005-0000-0000-000020100000}"/>
    <cellStyle name="Calculation 3 2 2 4 4" xfId="20742" xr:uid="{00000000-0005-0000-0000-000021100000}"/>
    <cellStyle name="Calculation 3 2 2 5" xfId="5948" xr:uid="{00000000-0005-0000-0000-000022100000}"/>
    <cellStyle name="Calculation 3 2 2 5 2" xfId="16140" xr:uid="{00000000-0005-0000-0000-000023100000}"/>
    <cellStyle name="Calculation 3 2 2 5 2 2" xfId="30972" xr:uid="{00000000-0005-0000-0000-000024100000}"/>
    <cellStyle name="Calculation 3 2 2 5 3" xfId="22513" xr:uid="{00000000-0005-0000-0000-000025100000}"/>
    <cellStyle name="Calculation 3 2 2 6" xfId="12210" xr:uid="{00000000-0005-0000-0000-000026100000}"/>
    <cellStyle name="Calculation 3 2 2 6 2" xfId="27042" xr:uid="{00000000-0005-0000-0000-000027100000}"/>
    <cellStyle name="Calculation 3 2 2 7" xfId="9806" xr:uid="{00000000-0005-0000-0000-000028100000}"/>
    <cellStyle name="Calculation 3 2 2 7 2" xfId="20057" xr:uid="{00000000-0005-0000-0000-000029100000}"/>
    <cellStyle name="Calculation 3 2 3" xfId="4012" xr:uid="{00000000-0005-0000-0000-00002A100000}"/>
    <cellStyle name="Calculation 3 2 3 2" xfId="8059" xr:uid="{00000000-0005-0000-0000-00002B100000}"/>
    <cellStyle name="Calculation 3 2 3 2 2" xfId="23836" xr:uid="{00000000-0005-0000-0000-00002C100000}"/>
    <cellStyle name="Calculation 3 2 3 3" xfId="14344" xr:uid="{00000000-0005-0000-0000-00002D100000}"/>
    <cellStyle name="Calculation 3 2 3 3 2" xfId="29176" xr:uid="{00000000-0005-0000-0000-00002E100000}"/>
    <cellStyle name="Calculation 3 2 3 4" xfId="21474" xr:uid="{00000000-0005-0000-0000-00002F100000}"/>
    <cellStyle name="Calculation 3 2 4" xfId="4374" xr:uid="{00000000-0005-0000-0000-000030100000}"/>
    <cellStyle name="Calculation 3 2 4 2" xfId="8413" xr:uid="{00000000-0005-0000-0000-000031100000}"/>
    <cellStyle name="Calculation 3 2 4 2 2" xfId="24071" xr:uid="{00000000-0005-0000-0000-000032100000}"/>
    <cellStyle name="Calculation 3 2 4 3" xfId="14703" xr:uid="{00000000-0005-0000-0000-000033100000}"/>
    <cellStyle name="Calculation 3 2 4 3 2" xfId="29535" xr:uid="{00000000-0005-0000-0000-000034100000}"/>
    <cellStyle name="Calculation 3 2 4 4" xfId="21639" xr:uid="{00000000-0005-0000-0000-000035100000}"/>
    <cellStyle name="Calculation 3 2 5" xfId="2364" xr:uid="{00000000-0005-0000-0000-000036100000}"/>
    <cellStyle name="Calculation 3 2 5 2" xfId="6476" xr:uid="{00000000-0005-0000-0000-000037100000}"/>
    <cellStyle name="Calculation 3 2 5 2 2" xfId="22846" xr:uid="{00000000-0005-0000-0000-000038100000}"/>
    <cellStyle name="Calculation 3 2 5 3" xfId="12703" xr:uid="{00000000-0005-0000-0000-000039100000}"/>
    <cellStyle name="Calculation 3 2 5 3 2" xfId="27535" xr:uid="{00000000-0005-0000-0000-00003A100000}"/>
    <cellStyle name="Calculation 3 2 5 4" xfId="20488" xr:uid="{00000000-0005-0000-0000-00003B100000}"/>
    <cellStyle name="Calculation 3 2 6" xfId="5489" xr:uid="{00000000-0005-0000-0000-00003C100000}"/>
    <cellStyle name="Calculation 3 2 6 2" xfId="15724" xr:uid="{00000000-0005-0000-0000-00003D100000}"/>
    <cellStyle name="Calculation 3 2 6 2 2" xfId="30556" xr:uid="{00000000-0005-0000-0000-00003E100000}"/>
    <cellStyle name="Calculation 3 2 6 3" xfId="22217" xr:uid="{00000000-0005-0000-0000-00003F100000}"/>
    <cellStyle name="Calculation 3 2 7" xfId="11739" xr:uid="{00000000-0005-0000-0000-000040100000}"/>
    <cellStyle name="Calculation 3 2 7 2" xfId="26571" xr:uid="{00000000-0005-0000-0000-000041100000}"/>
    <cellStyle name="Calculation 3 2 8" xfId="9410" xr:uid="{00000000-0005-0000-0000-000042100000}"/>
    <cellStyle name="Calculation 3 2 8 2" xfId="19714" xr:uid="{00000000-0005-0000-0000-000043100000}"/>
    <cellStyle name="Calculation 3 3" xfId="1446" xr:uid="{00000000-0005-0000-0000-000044100000}"/>
    <cellStyle name="Calculation 3 3 2" xfId="1947" xr:uid="{00000000-0005-0000-0000-000045100000}"/>
    <cellStyle name="Calculation 3 3 2 2" xfId="3552" xr:uid="{00000000-0005-0000-0000-000046100000}"/>
    <cellStyle name="Calculation 3 3 2 2 2" xfId="7614" xr:uid="{00000000-0005-0000-0000-000047100000}"/>
    <cellStyle name="Calculation 3 3 2 2 2 2" xfId="23549" xr:uid="{00000000-0005-0000-0000-000048100000}"/>
    <cellStyle name="Calculation 3 3 2 2 3" xfId="13888" xr:uid="{00000000-0005-0000-0000-000049100000}"/>
    <cellStyle name="Calculation 3 3 2 2 3 2" xfId="28720" xr:uid="{00000000-0005-0000-0000-00004A100000}"/>
    <cellStyle name="Calculation 3 3 2 2 4" xfId="21219" xr:uid="{00000000-0005-0000-0000-00004B100000}"/>
    <cellStyle name="Calculation 3 3 2 3" xfId="4926" xr:uid="{00000000-0005-0000-0000-00004C100000}"/>
    <cellStyle name="Calculation 3 3 2 3 2" xfId="8965" xr:uid="{00000000-0005-0000-0000-00004D100000}"/>
    <cellStyle name="Calculation 3 3 2 3 2 2" xfId="24431" xr:uid="{00000000-0005-0000-0000-00004E100000}"/>
    <cellStyle name="Calculation 3 3 2 3 3" xfId="15248" xr:uid="{00000000-0005-0000-0000-00004F100000}"/>
    <cellStyle name="Calculation 3 3 2 3 3 2" xfId="30080" xr:uid="{00000000-0005-0000-0000-000050100000}"/>
    <cellStyle name="Calculation 3 3 2 3 4" xfId="21961" xr:uid="{00000000-0005-0000-0000-000051100000}"/>
    <cellStyle name="Calculation 3 3 2 4" xfId="2916" xr:uid="{00000000-0005-0000-0000-000052100000}"/>
    <cellStyle name="Calculation 3 3 2 4 2" xfId="7000" xr:uid="{00000000-0005-0000-0000-000053100000}"/>
    <cellStyle name="Calculation 3 3 2 4 2 2" xfId="23174" xr:uid="{00000000-0005-0000-0000-000054100000}"/>
    <cellStyle name="Calculation 3 3 2 4 3" xfId="13254" xr:uid="{00000000-0005-0000-0000-000055100000}"/>
    <cellStyle name="Calculation 3 3 2 4 3 2" xfId="28086" xr:uid="{00000000-0005-0000-0000-000056100000}"/>
    <cellStyle name="Calculation 3 3 2 4 4" xfId="20842" xr:uid="{00000000-0005-0000-0000-000057100000}"/>
    <cellStyle name="Calculation 3 3 2 5" xfId="6077" xr:uid="{00000000-0005-0000-0000-000058100000}"/>
    <cellStyle name="Calculation 3 3 2 5 2" xfId="16264" xr:uid="{00000000-0005-0000-0000-000059100000}"/>
    <cellStyle name="Calculation 3 3 2 5 2 2" xfId="31096" xr:uid="{00000000-0005-0000-0000-00005A100000}"/>
    <cellStyle name="Calculation 3 3 2 5 3" xfId="22610" xr:uid="{00000000-0005-0000-0000-00005B100000}"/>
    <cellStyle name="Calculation 3 3 2 6" xfId="12334" xr:uid="{00000000-0005-0000-0000-00005C100000}"/>
    <cellStyle name="Calculation 3 3 2 6 2" xfId="27166" xr:uid="{00000000-0005-0000-0000-00005D100000}"/>
    <cellStyle name="Calculation 3 3 2 7" xfId="9931" xr:uid="{00000000-0005-0000-0000-00005E100000}"/>
    <cellStyle name="Calculation 3 3 2 7 2" xfId="20133" xr:uid="{00000000-0005-0000-0000-00005F100000}"/>
    <cellStyle name="Calculation 3 3 3" xfId="3470" xr:uid="{00000000-0005-0000-0000-000060100000}"/>
    <cellStyle name="Calculation 3 3 3 2" xfId="7533" xr:uid="{00000000-0005-0000-0000-000061100000}"/>
    <cellStyle name="Calculation 3 3 3 2 2" xfId="23500" xr:uid="{00000000-0005-0000-0000-000062100000}"/>
    <cellStyle name="Calculation 3 3 3 3" xfId="13807" xr:uid="{00000000-0005-0000-0000-000063100000}"/>
    <cellStyle name="Calculation 3 3 3 3 2" xfId="28639" xr:uid="{00000000-0005-0000-0000-000064100000}"/>
    <cellStyle name="Calculation 3 3 3 4" xfId="21175" xr:uid="{00000000-0005-0000-0000-000065100000}"/>
    <cellStyle name="Calculation 3 3 4" xfId="4506" xr:uid="{00000000-0005-0000-0000-000066100000}"/>
    <cellStyle name="Calculation 3 3 4 2" xfId="8545" xr:uid="{00000000-0005-0000-0000-000067100000}"/>
    <cellStyle name="Calculation 3 3 4 2 2" xfId="24171" xr:uid="{00000000-0005-0000-0000-000068100000}"/>
    <cellStyle name="Calculation 3 3 4 3" xfId="14833" xr:uid="{00000000-0005-0000-0000-000069100000}"/>
    <cellStyle name="Calculation 3 3 4 3 2" xfId="29665" xr:uid="{00000000-0005-0000-0000-00006A100000}"/>
    <cellStyle name="Calculation 3 3 4 4" xfId="21731" xr:uid="{00000000-0005-0000-0000-00006B100000}"/>
    <cellStyle name="Calculation 3 3 5" xfId="2496" xr:uid="{00000000-0005-0000-0000-00006C100000}"/>
    <cellStyle name="Calculation 3 3 5 2" xfId="6602" xr:uid="{00000000-0005-0000-0000-00006D100000}"/>
    <cellStyle name="Calculation 3 3 5 2 2" xfId="22940" xr:uid="{00000000-0005-0000-0000-00006E100000}"/>
    <cellStyle name="Calculation 3 3 5 3" xfId="12834" xr:uid="{00000000-0005-0000-0000-00006F100000}"/>
    <cellStyle name="Calculation 3 3 5 3 2" xfId="27666" xr:uid="{00000000-0005-0000-0000-000070100000}"/>
    <cellStyle name="Calculation 3 3 5 4" xfId="20586" xr:uid="{00000000-0005-0000-0000-000071100000}"/>
    <cellStyle name="Calculation 3 3 6" xfId="5619" xr:uid="{00000000-0005-0000-0000-000072100000}"/>
    <cellStyle name="Calculation 3 3 6 2" xfId="15854" xr:uid="{00000000-0005-0000-0000-000073100000}"/>
    <cellStyle name="Calculation 3 3 6 2 2" xfId="30686" xr:uid="{00000000-0005-0000-0000-000074100000}"/>
    <cellStyle name="Calculation 3 3 6 3" xfId="22315" xr:uid="{00000000-0005-0000-0000-000075100000}"/>
    <cellStyle name="Calculation 3 3 7" xfId="11863" xr:uid="{00000000-0005-0000-0000-000076100000}"/>
    <cellStyle name="Calculation 3 3 7 2" xfId="26695" xr:uid="{00000000-0005-0000-0000-000077100000}"/>
    <cellStyle name="Calculation 3 3 8" xfId="9536" xr:uid="{00000000-0005-0000-0000-000078100000}"/>
    <cellStyle name="Calculation 3 3 8 2" xfId="19838" xr:uid="{00000000-0005-0000-0000-000079100000}"/>
    <cellStyle name="Calculation 3 4" xfId="1409" xr:uid="{00000000-0005-0000-0000-00007A100000}"/>
    <cellStyle name="Calculation 3 4 2" xfId="1911" xr:uid="{00000000-0005-0000-0000-00007B100000}"/>
    <cellStyle name="Calculation 3 4 2 2" xfId="3557" xr:uid="{00000000-0005-0000-0000-00007C100000}"/>
    <cellStyle name="Calculation 3 4 2 2 2" xfId="7619" xr:uid="{00000000-0005-0000-0000-00007D100000}"/>
    <cellStyle name="Calculation 3 4 2 2 2 2" xfId="23551" xr:uid="{00000000-0005-0000-0000-00007E100000}"/>
    <cellStyle name="Calculation 3 4 2 2 3" xfId="13893" xr:uid="{00000000-0005-0000-0000-00007F100000}"/>
    <cellStyle name="Calculation 3 4 2 2 3 2" xfId="28725" xr:uid="{00000000-0005-0000-0000-000080100000}"/>
    <cellStyle name="Calculation 3 4 2 2 4" xfId="21221" xr:uid="{00000000-0005-0000-0000-000081100000}"/>
    <cellStyle name="Calculation 3 4 2 3" xfId="4889" xr:uid="{00000000-0005-0000-0000-000082100000}"/>
    <cellStyle name="Calculation 3 4 2 3 2" xfId="8928" xr:uid="{00000000-0005-0000-0000-000083100000}"/>
    <cellStyle name="Calculation 3 4 2 3 2 2" xfId="24394" xr:uid="{00000000-0005-0000-0000-000084100000}"/>
    <cellStyle name="Calculation 3 4 2 3 3" xfId="15212" xr:uid="{00000000-0005-0000-0000-000085100000}"/>
    <cellStyle name="Calculation 3 4 2 3 3 2" xfId="30044" xr:uid="{00000000-0005-0000-0000-000086100000}"/>
    <cellStyle name="Calculation 3 4 2 3 4" xfId="21926" xr:uid="{00000000-0005-0000-0000-000087100000}"/>
    <cellStyle name="Calculation 3 4 2 4" xfId="2879" xr:uid="{00000000-0005-0000-0000-000088100000}"/>
    <cellStyle name="Calculation 3 4 2 4 2" xfId="6964" xr:uid="{00000000-0005-0000-0000-000089100000}"/>
    <cellStyle name="Calculation 3 4 2 4 2 2" xfId="23139" xr:uid="{00000000-0005-0000-0000-00008A100000}"/>
    <cellStyle name="Calculation 3 4 2 4 3" xfId="13217" xr:uid="{00000000-0005-0000-0000-00008B100000}"/>
    <cellStyle name="Calculation 3 4 2 4 3 2" xfId="28049" xr:uid="{00000000-0005-0000-0000-00008C100000}"/>
    <cellStyle name="Calculation 3 4 2 4 4" xfId="20805" xr:uid="{00000000-0005-0000-0000-00008D100000}"/>
    <cellStyle name="Calculation 3 4 2 5" xfId="6042" xr:uid="{00000000-0005-0000-0000-00008E100000}"/>
    <cellStyle name="Calculation 3 4 2 5 2" xfId="16229" xr:uid="{00000000-0005-0000-0000-00008F100000}"/>
    <cellStyle name="Calculation 3 4 2 5 2 2" xfId="31061" xr:uid="{00000000-0005-0000-0000-000090100000}"/>
    <cellStyle name="Calculation 3 4 2 5 3" xfId="22575" xr:uid="{00000000-0005-0000-0000-000091100000}"/>
    <cellStyle name="Calculation 3 4 2 6" xfId="12299" xr:uid="{00000000-0005-0000-0000-000092100000}"/>
    <cellStyle name="Calculation 3 4 2 6 2" xfId="27131" xr:uid="{00000000-0005-0000-0000-000093100000}"/>
    <cellStyle name="Calculation 3 4 2 7" xfId="9895" xr:uid="{00000000-0005-0000-0000-000094100000}"/>
    <cellStyle name="Calculation 3 4 2 7 2" xfId="20098" xr:uid="{00000000-0005-0000-0000-000095100000}"/>
    <cellStyle name="Calculation 3 4 3" xfId="3964" xr:uid="{00000000-0005-0000-0000-000096100000}"/>
    <cellStyle name="Calculation 3 4 3 2" xfId="8014" xr:uid="{00000000-0005-0000-0000-000097100000}"/>
    <cellStyle name="Calculation 3 4 3 2 2" xfId="23807" xr:uid="{00000000-0005-0000-0000-000098100000}"/>
    <cellStyle name="Calculation 3 4 3 3" xfId="14297" xr:uid="{00000000-0005-0000-0000-000099100000}"/>
    <cellStyle name="Calculation 3 4 3 3 2" xfId="29129" xr:uid="{00000000-0005-0000-0000-00009A100000}"/>
    <cellStyle name="Calculation 3 4 3 4" xfId="21449" xr:uid="{00000000-0005-0000-0000-00009B100000}"/>
    <cellStyle name="Calculation 3 4 4" xfId="4469" xr:uid="{00000000-0005-0000-0000-00009C100000}"/>
    <cellStyle name="Calculation 3 4 4 2" xfId="8508" xr:uid="{00000000-0005-0000-0000-00009D100000}"/>
    <cellStyle name="Calculation 3 4 4 2 2" xfId="24134" xr:uid="{00000000-0005-0000-0000-00009E100000}"/>
    <cellStyle name="Calculation 3 4 4 3" xfId="14797" xr:uid="{00000000-0005-0000-0000-00009F100000}"/>
    <cellStyle name="Calculation 3 4 4 3 2" xfId="29629" xr:uid="{00000000-0005-0000-0000-0000A0100000}"/>
    <cellStyle name="Calculation 3 4 4 4" xfId="21696" xr:uid="{00000000-0005-0000-0000-0000A1100000}"/>
    <cellStyle name="Calculation 3 4 5" xfId="2459" xr:uid="{00000000-0005-0000-0000-0000A2100000}"/>
    <cellStyle name="Calculation 3 4 5 2" xfId="6565" xr:uid="{00000000-0005-0000-0000-0000A3100000}"/>
    <cellStyle name="Calculation 3 4 5 2 2" xfId="22903" xr:uid="{00000000-0005-0000-0000-0000A4100000}"/>
    <cellStyle name="Calculation 3 4 5 3" xfId="12798" xr:uid="{00000000-0005-0000-0000-0000A5100000}"/>
    <cellStyle name="Calculation 3 4 5 3 2" xfId="27630" xr:uid="{00000000-0005-0000-0000-0000A6100000}"/>
    <cellStyle name="Calculation 3 4 5 4" xfId="20551" xr:uid="{00000000-0005-0000-0000-0000A7100000}"/>
    <cellStyle name="Calculation 3 4 6" xfId="5583" xr:uid="{00000000-0005-0000-0000-0000A8100000}"/>
    <cellStyle name="Calculation 3 4 6 2" xfId="15818" xr:uid="{00000000-0005-0000-0000-0000A9100000}"/>
    <cellStyle name="Calculation 3 4 6 2 2" xfId="30650" xr:uid="{00000000-0005-0000-0000-0000AA100000}"/>
    <cellStyle name="Calculation 3 4 6 3" xfId="22279" xr:uid="{00000000-0005-0000-0000-0000AB100000}"/>
    <cellStyle name="Calculation 3 4 7" xfId="11828" xr:uid="{00000000-0005-0000-0000-0000AC100000}"/>
    <cellStyle name="Calculation 3 4 7 2" xfId="26660" xr:uid="{00000000-0005-0000-0000-0000AD100000}"/>
    <cellStyle name="Calculation 3 4 8" xfId="9500" xr:uid="{00000000-0005-0000-0000-0000AE100000}"/>
    <cellStyle name="Calculation 3 4 8 2" xfId="19803" xr:uid="{00000000-0005-0000-0000-0000AF100000}"/>
    <cellStyle name="Calculation 3 5" xfId="1431" xr:uid="{00000000-0005-0000-0000-0000B0100000}"/>
    <cellStyle name="Calculation 3 5 2" xfId="1932" xr:uid="{00000000-0005-0000-0000-0000B1100000}"/>
    <cellStyle name="Calculation 3 5 2 2" xfId="3935" xr:uid="{00000000-0005-0000-0000-0000B2100000}"/>
    <cellStyle name="Calculation 3 5 2 2 2" xfId="7985" xr:uid="{00000000-0005-0000-0000-0000B3100000}"/>
    <cellStyle name="Calculation 3 5 2 2 2 2" xfId="23787" xr:uid="{00000000-0005-0000-0000-0000B4100000}"/>
    <cellStyle name="Calculation 3 5 2 2 3" xfId="14268" xr:uid="{00000000-0005-0000-0000-0000B5100000}"/>
    <cellStyle name="Calculation 3 5 2 2 3 2" xfId="29100" xr:uid="{00000000-0005-0000-0000-0000B6100000}"/>
    <cellStyle name="Calculation 3 5 2 2 4" xfId="21429" xr:uid="{00000000-0005-0000-0000-0000B7100000}"/>
    <cellStyle name="Calculation 3 5 2 3" xfId="4911" xr:uid="{00000000-0005-0000-0000-0000B8100000}"/>
    <cellStyle name="Calculation 3 5 2 3 2" xfId="8950" xr:uid="{00000000-0005-0000-0000-0000B9100000}"/>
    <cellStyle name="Calculation 3 5 2 3 2 2" xfId="24416" xr:uid="{00000000-0005-0000-0000-0000BA100000}"/>
    <cellStyle name="Calculation 3 5 2 3 3" xfId="15233" xr:uid="{00000000-0005-0000-0000-0000BB100000}"/>
    <cellStyle name="Calculation 3 5 2 3 3 2" xfId="30065" xr:uid="{00000000-0005-0000-0000-0000BC100000}"/>
    <cellStyle name="Calculation 3 5 2 3 4" xfId="21946" xr:uid="{00000000-0005-0000-0000-0000BD100000}"/>
    <cellStyle name="Calculation 3 5 2 4" xfId="2901" xr:uid="{00000000-0005-0000-0000-0000BE100000}"/>
    <cellStyle name="Calculation 3 5 2 4 2" xfId="6985" xr:uid="{00000000-0005-0000-0000-0000BF100000}"/>
    <cellStyle name="Calculation 3 5 2 4 2 2" xfId="23159" xr:uid="{00000000-0005-0000-0000-0000C0100000}"/>
    <cellStyle name="Calculation 3 5 2 4 3" xfId="13239" xr:uid="{00000000-0005-0000-0000-0000C1100000}"/>
    <cellStyle name="Calculation 3 5 2 4 3 2" xfId="28071" xr:uid="{00000000-0005-0000-0000-0000C2100000}"/>
    <cellStyle name="Calculation 3 5 2 4 4" xfId="20827" xr:uid="{00000000-0005-0000-0000-0000C3100000}"/>
    <cellStyle name="Calculation 3 5 2 5" xfId="6062" xr:uid="{00000000-0005-0000-0000-0000C4100000}"/>
    <cellStyle name="Calculation 3 5 2 5 2" xfId="16249" xr:uid="{00000000-0005-0000-0000-0000C5100000}"/>
    <cellStyle name="Calculation 3 5 2 5 2 2" xfId="31081" xr:uid="{00000000-0005-0000-0000-0000C6100000}"/>
    <cellStyle name="Calculation 3 5 2 5 3" xfId="22595" xr:uid="{00000000-0005-0000-0000-0000C7100000}"/>
    <cellStyle name="Calculation 3 5 2 6" xfId="12319" xr:uid="{00000000-0005-0000-0000-0000C8100000}"/>
    <cellStyle name="Calculation 3 5 2 6 2" xfId="27151" xr:uid="{00000000-0005-0000-0000-0000C9100000}"/>
    <cellStyle name="Calculation 3 5 2 7" xfId="9916" xr:uid="{00000000-0005-0000-0000-0000CA100000}"/>
    <cellStyle name="Calculation 3 5 2 7 2" xfId="20118" xr:uid="{00000000-0005-0000-0000-0000CB100000}"/>
    <cellStyle name="Calculation 3 5 3" xfId="3606" xr:uid="{00000000-0005-0000-0000-0000CC100000}"/>
    <cellStyle name="Calculation 3 5 3 2" xfId="7667" xr:uid="{00000000-0005-0000-0000-0000CD100000}"/>
    <cellStyle name="Calculation 3 5 3 2 2" xfId="23577" xr:uid="{00000000-0005-0000-0000-0000CE100000}"/>
    <cellStyle name="Calculation 3 5 3 3" xfId="13942" xr:uid="{00000000-0005-0000-0000-0000CF100000}"/>
    <cellStyle name="Calculation 3 5 3 3 2" xfId="28774" xr:uid="{00000000-0005-0000-0000-0000D0100000}"/>
    <cellStyle name="Calculation 3 5 3 4" xfId="21247" xr:uid="{00000000-0005-0000-0000-0000D1100000}"/>
    <cellStyle name="Calculation 3 5 4" xfId="4491" xr:uid="{00000000-0005-0000-0000-0000D2100000}"/>
    <cellStyle name="Calculation 3 5 4 2" xfId="8530" xr:uid="{00000000-0005-0000-0000-0000D3100000}"/>
    <cellStyle name="Calculation 3 5 4 2 2" xfId="24156" xr:uid="{00000000-0005-0000-0000-0000D4100000}"/>
    <cellStyle name="Calculation 3 5 4 3" xfId="14818" xr:uid="{00000000-0005-0000-0000-0000D5100000}"/>
    <cellStyle name="Calculation 3 5 4 3 2" xfId="29650" xr:uid="{00000000-0005-0000-0000-0000D6100000}"/>
    <cellStyle name="Calculation 3 5 4 4" xfId="21716" xr:uid="{00000000-0005-0000-0000-0000D7100000}"/>
    <cellStyle name="Calculation 3 5 5" xfId="2481" xr:uid="{00000000-0005-0000-0000-0000D8100000}"/>
    <cellStyle name="Calculation 3 5 5 2" xfId="6587" xr:uid="{00000000-0005-0000-0000-0000D9100000}"/>
    <cellStyle name="Calculation 3 5 5 2 2" xfId="22925" xr:uid="{00000000-0005-0000-0000-0000DA100000}"/>
    <cellStyle name="Calculation 3 5 5 3" xfId="12819" xr:uid="{00000000-0005-0000-0000-0000DB100000}"/>
    <cellStyle name="Calculation 3 5 5 3 2" xfId="27651" xr:uid="{00000000-0005-0000-0000-0000DC100000}"/>
    <cellStyle name="Calculation 3 5 5 4" xfId="20571" xr:uid="{00000000-0005-0000-0000-0000DD100000}"/>
    <cellStyle name="Calculation 3 5 6" xfId="5604" xr:uid="{00000000-0005-0000-0000-0000DE100000}"/>
    <cellStyle name="Calculation 3 5 6 2" xfId="15839" xr:uid="{00000000-0005-0000-0000-0000DF100000}"/>
    <cellStyle name="Calculation 3 5 6 2 2" xfId="30671" xr:uid="{00000000-0005-0000-0000-0000E0100000}"/>
    <cellStyle name="Calculation 3 5 6 3" xfId="22300" xr:uid="{00000000-0005-0000-0000-0000E1100000}"/>
    <cellStyle name="Calculation 3 5 7" xfId="11848" xr:uid="{00000000-0005-0000-0000-0000E2100000}"/>
    <cellStyle name="Calculation 3 5 7 2" xfId="26680" xr:uid="{00000000-0005-0000-0000-0000E3100000}"/>
    <cellStyle name="Calculation 3 5 8" xfId="9521" xr:uid="{00000000-0005-0000-0000-0000E4100000}"/>
    <cellStyle name="Calculation 3 5 8 2" xfId="19823" xr:uid="{00000000-0005-0000-0000-0000E5100000}"/>
    <cellStyle name="Calculation 3 6" xfId="1723" xr:uid="{00000000-0005-0000-0000-0000E6100000}"/>
    <cellStyle name="Calculation 3 6 2" xfId="3940" xr:uid="{00000000-0005-0000-0000-0000E7100000}"/>
    <cellStyle name="Calculation 3 6 2 2" xfId="7990" xr:uid="{00000000-0005-0000-0000-0000E8100000}"/>
    <cellStyle name="Calculation 3 6 2 2 2" xfId="23791" xr:uid="{00000000-0005-0000-0000-0000E9100000}"/>
    <cellStyle name="Calculation 3 6 2 3" xfId="14273" xr:uid="{00000000-0005-0000-0000-0000EA100000}"/>
    <cellStyle name="Calculation 3 6 2 3 2" xfId="29105" xr:uid="{00000000-0005-0000-0000-0000EB100000}"/>
    <cellStyle name="Calculation 3 6 2 4" xfId="21433" xr:uid="{00000000-0005-0000-0000-0000EC100000}"/>
    <cellStyle name="Calculation 3 6 3" xfId="4716" xr:uid="{00000000-0005-0000-0000-0000ED100000}"/>
    <cellStyle name="Calculation 3 6 3 2" xfId="8755" xr:uid="{00000000-0005-0000-0000-0000EE100000}"/>
    <cellStyle name="Calculation 3 6 3 2 2" xfId="24285" xr:uid="{00000000-0005-0000-0000-0000EF100000}"/>
    <cellStyle name="Calculation 3 6 3 3" xfId="15040" xr:uid="{00000000-0005-0000-0000-0000F0100000}"/>
    <cellStyle name="Calculation 3 6 3 3 2" xfId="29872" xr:uid="{00000000-0005-0000-0000-0000F1100000}"/>
    <cellStyle name="Calculation 3 6 3 4" xfId="21823" xr:uid="{00000000-0005-0000-0000-0000F2100000}"/>
    <cellStyle name="Calculation 3 6 4" xfId="2706" xr:uid="{00000000-0005-0000-0000-0000F3100000}"/>
    <cellStyle name="Calculation 3 6 4 2" xfId="6797" xr:uid="{00000000-0005-0000-0000-0000F4100000}"/>
    <cellStyle name="Calculation 3 6 4 2 2" xfId="23036" xr:uid="{00000000-0005-0000-0000-0000F5100000}"/>
    <cellStyle name="Calculation 3 6 4 3" xfId="13044" xr:uid="{00000000-0005-0000-0000-0000F6100000}"/>
    <cellStyle name="Calculation 3 6 4 3 2" xfId="27876" xr:uid="{00000000-0005-0000-0000-0000F7100000}"/>
    <cellStyle name="Calculation 3 6 4 4" xfId="20696" xr:uid="{00000000-0005-0000-0000-0000F8100000}"/>
    <cellStyle name="Calculation 3 6 5" xfId="5855" xr:uid="{00000000-0005-0000-0000-0000F9100000}"/>
    <cellStyle name="Calculation 3 6 5 2" xfId="16047" xr:uid="{00000000-0005-0000-0000-0000FA100000}"/>
    <cellStyle name="Calculation 3 6 5 2 2" xfId="30879" xr:uid="{00000000-0005-0000-0000-0000FB100000}"/>
    <cellStyle name="Calculation 3 6 5 3" xfId="22452" xr:uid="{00000000-0005-0000-0000-0000FC100000}"/>
    <cellStyle name="Calculation 3 6 6" xfId="12117" xr:uid="{00000000-0005-0000-0000-0000FD100000}"/>
    <cellStyle name="Calculation 3 6 6 2" xfId="26949" xr:uid="{00000000-0005-0000-0000-0000FE100000}"/>
    <cellStyle name="Calculation 3 6 7" xfId="9728" xr:uid="{00000000-0005-0000-0000-0000FF100000}"/>
    <cellStyle name="Calculation 3 6 7 2" xfId="20026" xr:uid="{00000000-0005-0000-0000-000000110000}"/>
    <cellStyle name="Calculation 3 7" xfId="2228" xr:uid="{00000000-0005-0000-0000-000001110000}"/>
    <cellStyle name="Calculation 3 7 2" xfId="4145" xr:uid="{00000000-0005-0000-0000-000002110000}"/>
    <cellStyle name="Calculation 3 7 2 2" xfId="8189" xr:uid="{00000000-0005-0000-0000-000003110000}"/>
    <cellStyle name="Calculation 3 7 2 2 2" xfId="23918" xr:uid="{00000000-0005-0000-0000-000004110000}"/>
    <cellStyle name="Calculation 3 7 2 3" xfId="14477" xr:uid="{00000000-0005-0000-0000-000005110000}"/>
    <cellStyle name="Calculation 3 7 2 3 2" xfId="29309" xr:uid="{00000000-0005-0000-0000-000006110000}"/>
    <cellStyle name="Calculation 3 7 2 4" xfId="21545" xr:uid="{00000000-0005-0000-0000-000007110000}"/>
    <cellStyle name="Calculation 3 7 3" xfId="5196" xr:uid="{00000000-0005-0000-0000-000008110000}"/>
    <cellStyle name="Calculation 3 7 3 2" xfId="9235" xr:uid="{00000000-0005-0000-0000-000009110000}"/>
    <cellStyle name="Calculation 3 7 3 2 2" xfId="24573" xr:uid="{00000000-0005-0000-0000-00000A110000}"/>
    <cellStyle name="Calculation 3 7 3 3" xfId="15514" xr:uid="{00000000-0005-0000-0000-00000B110000}"/>
    <cellStyle name="Calculation 3 7 3 3 2" xfId="30346" xr:uid="{00000000-0005-0000-0000-00000C110000}"/>
    <cellStyle name="Calculation 3 7 3 4" xfId="22080" xr:uid="{00000000-0005-0000-0000-00000D110000}"/>
    <cellStyle name="Calculation 3 7 4" xfId="4226" xr:uid="{00000000-0005-0000-0000-00000E110000}"/>
    <cellStyle name="Calculation 3 7 4 2" xfId="8267" xr:uid="{00000000-0005-0000-0000-00000F110000}"/>
    <cellStyle name="Calculation 3 7 4 2 2" xfId="23962" xr:uid="{00000000-0005-0000-0000-000010110000}"/>
    <cellStyle name="Calculation 3 7 4 3" xfId="14558" xr:uid="{00000000-0005-0000-0000-000011110000}"/>
    <cellStyle name="Calculation 3 7 4 3 2" xfId="29390" xr:uid="{00000000-0005-0000-0000-000012110000}"/>
    <cellStyle name="Calculation 3 7 4 4" xfId="21587" xr:uid="{00000000-0005-0000-0000-000013110000}"/>
    <cellStyle name="Calculation 3 7 5" xfId="6342" xr:uid="{00000000-0005-0000-0000-000014110000}"/>
    <cellStyle name="Calculation 3 7 5 2" xfId="22744" xr:uid="{00000000-0005-0000-0000-000015110000}"/>
    <cellStyle name="Calculation 3 7 6" xfId="12596" xr:uid="{00000000-0005-0000-0000-000016110000}"/>
    <cellStyle name="Calculation 3 7 6 2" xfId="27428" xr:uid="{00000000-0005-0000-0000-000017110000}"/>
    <cellStyle name="Calculation 3 7 7" xfId="20423" xr:uid="{00000000-0005-0000-0000-000018110000}"/>
    <cellStyle name="Calculation 3 8" xfId="3991" xr:uid="{00000000-0005-0000-0000-000019110000}"/>
    <cellStyle name="Calculation 3 8 2" xfId="8038" xr:uid="{00000000-0005-0000-0000-00001A110000}"/>
    <cellStyle name="Calculation 3 8 2 2" xfId="23825" xr:uid="{00000000-0005-0000-0000-00001B110000}"/>
    <cellStyle name="Calculation 3 8 3" xfId="14324" xr:uid="{00000000-0005-0000-0000-00001C110000}"/>
    <cellStyle name="Calculation 3 8 3 2" xfId="29156" xr:uid="{00000000-0005-0000-0000-00001D110000}"/>
    <cellStyle name="Calculation 3 8 4" xfId="21464" xr:uid="{00000000-0005-0000-0000-00001E110000}"/>
    <cellStyle name="Calculation 3 9" xfId="3619" xr:uid="{00000000-0005-0000-0000-00001F110000}"/>
    <cellStyle name="Calculation 3 9 2" xfId="7679" xr:uid="{00000000-0005-0000-0000-000020110000}"/>
    <cellStyle name="Calculation 3 9 2 2" xfId="23589" xr:uid="{00000000-0005-0000-0000-000021110000}"/>
    <cellStyle name="Calculation 3 9 3" xfId="13954" xr:uid="{00000000-0005-0000-0000-000022110000}"/>
    <cellStyle name="Calculation 3 9 3 2" xfId="28786" xr:uid="{00000000-0005-0000-0000-000023110000}"/>
    <cellStyle name="Calculation 3 9 4" xfId="21253" xr:uid="{00000000-0005-0000-0000-000024110000}"/>
    <cellStyle name="Calculation 4" xfId="971" xr:uid="{00000000-0005-0000-0000-000025110000}"/>
    <cellStyle name="Calculation 4 10" xfId="2277" xr:uid="{00000000-0005-0000-0000-000026110000}"/>
    <cellStyle name="Calculation 4 10 2" xfId="6389" xr:uid="{00000000-0005-0000-0000-000027110000}"/>
    <cellStyle name="Calculation 4 10 2 2" xfId="22791" xr:uid="{00000000-0005-0000-0000-000028110000}"/>
    <cellStyle name="Calculation 4 10 3" xfId="12617" xr:uid="{00000000-0005-0000-0000-000029110000}"/>
    <cellStyle name="Calculation 4 10 3 2" xfId="27449" xr:uid="{00000000-0005-0000-0000-00002A110000}"/>
    <cellStyle name="Calculation 4 10 4" xfId="20443" xr:uid="{00000000-0005-0000-0000-00002B110000}"/>
    <cellStyle name="Calculation 4 11" xfId="5243" xr:uid="{00000000-0005-0000-0000-00002C110000}"/>
    <cellStyle name="Calculation 4 11 2" xfId="15559" xr:uid="{00000000-0005-0000-0000-00002D110000}"/>
    <cellStyle name="Calculation 4 11 2 2" xfId="30391" xr:uid="{00000000-0005-0000-0000-00002E110000}"/>
    <cellStyle name="Calculation 4 11 3" xfId="22100" xr:uid="{00000000-0005-0000-0000-00002F110000}"/>
    <cellStyle name="Calculation 4 12" xfId="5401" xr:uid="{00000000-0005-0000-0000-000030110000}"/>
    <cellStyle name="Calculation 4 12 2" xfId="15637" xr:uid="{00000000-0005-0000-0000-000031110000}"/>
    <cellStyle name="Calculation 4 12 2 2" xfId="30469" xr:uid="{00000000-0005-0000-0000-000032110000}"/>
    <cellStyle name="Calculation 4 12 3" xfId="22162" xr:uid="{00000000-0005-0000-0000-000033110000}"/>
    <cellStyle name="Calculation 4 13" xfId="9390" xr:uid="{00000000-0005-0000-0000-000034110000}"/>
    <cellStyle name="Calculation 4 13 2" xfId="24696" xr:uid="{00000000-0005-0000-0000-000035110000}"/>
    <cellStyle name="Calculation 4 14" xfId="6228" xr:uid="{00000000-0005-0000-0000-000036110000}"/>
    <cellStyle name="Calculation 4 14 2" xfId="18543" xr:uid="{00000000-0005-0000-0000-000037110000}"/>
    <cellStyle name="Calculation 4 2" xfId="1313" xr:uid="{00000000-0005-0000-0000-000038110000}"/>
    <cellStyle name="Calculation 4 2 2" xfId="1817" xr:uid="{00000000-0005-0000-0000-000039110000}"/>
    <cellStyle name="Calculation 4 2 2 2" xfId="4059" xr:uid="{00000000-0005-0000-0000-00003A110000}"/>
    <cellStyle name="Calculation 4 2 2 2 2" xfId="8106" xr:uid="{00000000-0005-0000-0000-00003B110000}"/>
    <cellStyle name="Calculation 4 2 2 2 2 2" xfId="23866" xr:uid="{00000000-0005-0000-0000-00003C110000}"/>
    <cellStyle name="Calculation 4 2 2 2 3" xfId="14391" xr:uid="{00000000-0005-0000-0000-00003D110000}"/>
    <cellStyle name="Calculation 4 2 2 2 3 2" xfId="29223" xr:uid="{00000000-0005-0000-0000-00003E110000}"/>
    <cellStyle name="Calculation 4 2 2 2 4" xfId="21500" xr:uid="{00000000-0005-0000-0000-00003F110000}"/>
    <cellStyle name="Calculation 4 2 2 3" xfId="4795" xr:uid="{00000000-0005-0000-0000-000040110000}"/>
    <cellStyle name="Calculation 4 2 2 3 2" xfId="8834" xr:uid="{00000000-0005-0000-0000-000041110000}"/>
    <cellStyle name="Calculation 4 2 2 3 2 2" xfId="24332" xr:uid="{00000000-0005-0000-0000-000042110000}"/>
    <cellStyle name="Calculation 4 2 2 3 3" xfId="15119" xr:uid="{00000000-0005-0000-0000-000043110000}"/>
    <cellStyle name="Calculation 4 2 2 3 3 2" xfId="29951" xr:uid="{00000000-0005-0000-0000-000044110000}"/>
    <cellStyle name="Calculation 4 2 2 3 4" xfId="21870" xr:uid="{00000000-0005-0000-0000-000045110000}"/>
    <cellStyle name="Calculation 4 2 2 4" xfId="2785" xr:uid="{00000000-0005-0000-0000-000046110000}"/>
    <cellStyle name="Calculation 4 2 2 4 2" xfId="6876" xr:uid="{00000000-0005-0000-0000-000047110000}"/>
    <cellStyle name="Calculation 4 2 2 4 2 2" xfId="23083" xr:uid="{00000000-0005-0000-0000-000048110000}"/>
    <cellStyle name="Calculation 4 2 2 4 3" xfId="13123" xr:uid="{00000000-0005-0000-0000-000049110000}"/>
    <cellStyle name="Calculation 4 2 2 4 3 2" xfId="27955" xr:uid="{00000000-0005-0000-0000-00004A110000}"/>
    <cellStyle name="Calculation 4 2 2 4 4" xfId="20743" xr:uid="{00000000-0005-0000-0000-00004B110000}"/>
    <cellStyle name="Calculation 4 2 2 5" xfId="5949" xr:uid="{00000000-0005-0000-0000-00004C110000}"/>
    <cellStyle name="Calculation 4 2 2 5 2" xfId="16141" xr:uid="{00000000-0005-0000-0000-00004D110000}"/>
    <cellStyle name="Calculation 4 2 2 5 2 2" xfId="30973" xr:uid="{00000000-0005-0000-0000-00004E110000}"/>
    <cellStyle name="Calculation 4 2 2 5 3" xfId="22514" xr:uid="{00000000-0005-0000-0000-00004F110000}"/>
    <cellStyle name="Calculation 4 2 2 6" xfId="12211" xr:uid="{00000000-0005-0000-0000-000050110000}"/>
    <cellStyle name="Calculation 4 2 2 6 2" xfId="27043" xr:uid="{00000000-0005-0000-0000-000051110000}"/>
    <cellStyle name="Calculation 4 2 2 7" xfId="9807" xr:uid="{00000000-0005-0000-0000-000052110000}"/>
    <cellStyle name="Calculation 4 2 2 7 2" xfId="20058" xr:uid="{00000000-0005-0000-0000-000053110000}"/>
    <cellStyle name="Calculation 4 2 3" xfId="3947" xr:uid="{00000000-0005-0000-0000-000054110000}"/>
    <cellStyle name="Calculation 4 2 3 2" xfId="7997" xr:uid="{00000000-0005-0000-0000-000055110000}"/>
    <cellStyle name="Calculation 4 2 3 2 2" xfId="23797" xr:uid="{00000000-0005-0000-0000-000056110000}"/>
    <cellStyle name="Calculation 4 2 3 3" xfId="14280" xr:uid="{00000000-0005-0000-0000-000057110000}"/>
    <cellStyle name="Calculation 4 2 3 3 2" xfId="29112" xr:uid="{00000000-0005-0000-0000-000058110000}"/>
    <cellStyle name="Calculation 4 2 3 4" xfId="21439" xr:uid="{00000000-0005-0000-0000-000059110000}"/>
    <cellStyle name="Calculation 4 2 4" xfId="4375" xr:uid="{00000000-0005-0000-0000-00005A110000}"/>
    <cellStyle name="Calculation 4 2 4 2" xfId="8414" xr:uid="{00000000-0005-0000-0000-00005B110000}"/>
    <cellStyle name="Calculation 4 2 4 2 2" xfId="24072" xr:uid="{00000000-0005-0000-0000-00005C110000}"/>
    <cellStyle name="Calculation 4 2 4 3" xfId="14704" xr:uid="{00000000-0005-0000-0000-00005D110000}"/>
    <cellStyle name="Calculation 4 2 4 3 2" xfId="29536" xr:uid="{00000000-0005-0000-0000-00005E110000}"/>
    <cellStyle name="Calculation 4 2 4 4" xfId="21640" xr:uid="{00000000-0005-0000-0000-00005F110000}"/>
    <cellStyle name="Calculation 4 2 5" xfId="2365" xr:uid="{00000000-0005-0000-0000-000060110000}"/>
    <cellStyle name="Calculation 4 2 5 2" xfId="6477" xr:uid="{00000000-0005-0000-0000-000061110000}"/>
    <cellStyle name="Calculation 4 2 5 2 2" xfId="22847" xr:uid="{00000000-0005-0000-0000-000062110000}"/>
    <cellStyle name="Calculation 4 2 5 3" xfId="12704" xr:uid="{00000000-0005-0000-0000-000063110000}"/>
    <cellStyle name="Calculation 4 2 5 3 2" xfId="27536" xr:uid="{00000000-0005-0000-0000-000064110000}"/>
    <cellStyle name="Calculation 4 2 5 4" xfId="20489" xr:uid="{00000000-0005-0000-0000-000065110000}"/>
    <cellStyle name="Calculation 4 2 6" xfId="5490" xr:uid="{00000000-0005-0000-0000-000066110000}"/>
    <cellStyle name="Calculation 4 2 6 2" xfId="15725" xr:uid="{00000000-0005-0000-0000-000067110000}"/>
    <cellStyle name="Calculation 4 2 6 2 2" xfId="30557" xr:uid="{00000000-0005-0000-0000-000068110000}"/>
    <cellStyle name="Calculation 4 2 6 3" xfId="22218" xr:uid="{00000000-0005-0000-0000-000069110000}"/>
    <cellStyle name="Calculation 4 2 7" xfId="11740" xr:uid="{00000000-0005-0000-0000-00006A110000}"/>
    <cellStyle name="Calculation 4 2 7 2" xfId="26572" xr:uid="{00000000-0005-0000-0000-00006B110000}"/>
    <cellStyle name="Calculation 4 2 8" xfId="9411" xr:uid="{00000000-0005-0000-0000-00006C110000}"/>
    <cellStyle name="Calculation 4 2 8 2" xfId="19715" xr:uid="{00000000-0005-0000-0000-00006D110000}"/>
    <cellStyle name="Calculation 4 3" xfId="1447" xr:uid="{00000000-0005-0000-0000-00006E110000}"/>
    <cellStyle name="Calculation 4 3 2" xfId="1948" xr:uid="{00000000-0005-0000-0000-00006F110000}"/>
    <cellStyle name="Calculation 4 3 2 2" xfId="3980" xr:uid="{00000000-0005-0000-0000-000070110000}"/>
    <cellStyle name="Calculation 4 3 2 2 2" xfId="8029" xr:uid="{00000000-0005-0000-0000-000071110000}"/>
    <cellStyle name="Calculation 4 3 2 2 2 2" xfId="23819" xr:uid="{00000000-0005-0000-0000-000072110000}"/>
    <cellStyle name="Calculation 4 3 2 2 3" xfId="14313" xr:uid="{00000000-0005-0000-0000-000073110000}"/>
    <cellStyle name="Calculation 4 3 2 2 3 2" xfId="29145" xr:uid="{00000000-0005-0000-0000-000074110000}"/>
    <cellStyle name="Calculation 4 3 2 2 4" xfId="21457" xr:uid="{00000000-0005-0000-0000-000075110000}"/>
    <cellStyle name="Calculation 4 3 2 3" xfId="4927" xr:uid="{00000000-0005-0000-0000-000076110000}"/>
    <cellStyle name="Calculation 4 3 2 3 2" xfId="8966" xr:uid="{00000000-0005-0000-0000-000077110000}"/>
    <cellStyle name="Calculation 4 3 2 3 2 2" xfId="24432" xr:uid="{00000000-0005-0000-0000-000078110000}"/>
    <cellStyle name="Calculation 4 3 2 3 3" xfId="15249" xr:uid="{00000000-0005-0000-0000-000079110000}"/>
    <cellStyle name="Calculation 4 3 2 3 3 2" xfId="30081" xr:uid="{00000000-0005-0000-0000-00007A110000}"/>
    <cellStyle name="Calculation 4 3 2 3 4" xfId="21962" xr:uid="{00000000-0005-0000-0000-00007B110000}"/>
    <cellStyle name="Calculation 4 3 2 4" xfId="2917" xr:uid="{00000000-0005-0000-0000-00007C110000}"/>
    <cellStyle name="Calculation 4 3 2 4 2" xfId="7001" xr:uid="{00000000-0005-0000-0000-00007D110000}"/>
    <cellStyle name="Calculation 4 3 2 4 2 2" xfId="23175" xr:uid="{00000000-0005-0000-0000-00007E110000}"/>
    <cellStyle name="Calculation 4 3 2 4 3" xfId="13255" xr:uid="{00000000-0005-0000-0000-00007F110000}"/>
    <cellStyle name="Calculation 4 3 2 4 3 2" xfId="28087" xr:uid="{00000000-0005-0000-0000-000080110000}"/>
    <cellStyle name="Calculation 4 3 2 4 4" xfId="20843" xr:uid="{00000000-0005-0000-0000-000081110000}"/>
    <cellStyle name="Calculation 4 3 2 5" xfId="6078" xr:uid="{00000000-0005-0000-0000-000082110000}"/>
    <cellStyle name="Calculation 4 3 2 5 2" xfId="16265" xr:uid="{00000000-0005-0000-0000-000083110000}"/>
    <cellStyle name="Calculation 4 3 2 5 2 2" xfId="31097" xr:uid="{00000000-0005-0000-0000-000084110000}"/>
    <cellStyle name="Calculation 4 3 2 5 3" xfId="22611" xr:uid="{00000000-0005-0000-0000-000085110000}"/>
    <cellStyle name="Calculation 4 3 2 6" xfId="12335" xr:uid="{00000000-0005-0000-0000-000086110000}"/>
    <cellStyle name="Calculation 4 3 2 6 2" xfId="27167" xr:uid="{00000000-0005-0000-0000-000087110000}"/>
    <cellStyle name="Calculation 4 3 2 7" xfId="9932" xr:uid="{00000000-0005-0000-0000-000088110000}"/>
    <cellStyle name="Calculation 4 3 2 7 2" xfId="20134" xr:uid="{00000000-0005-0000-0000-000089110000}"/>
    <cellStyle name="Calculation 4 3 3" xfId="4053" xr:uid="{00000000-0005-0000-0000-00008A110000}"/>
    <cellStyle name="Calculation 4 3 3 2" xfId="8100" xr:uid="{00000000-0005-0000-0000-00008B110000}"/>
    <cellStyle name="Calculation 4 3 3 2 2" xfId="23862" xr:uid="{00000000-0005-0000-0000-00008C110000}"/>
    <cellStyle name="Calculation 4 3 3 3" xfId="14385" xr:uid="{00000000-0005-0000-0000-00008D110000}"/>
    <cellStyle name="Calculation 4 3 3 3 2" xfId="29217" xr:uid="{00000000-0005-0000-0000-00008E110000}"/>
    <cellStyle name="Calculation 4 3 3 4" xfId="21496" xr:uid="{00000000-0005-0000-0000-00008F110000}"/>
    <cellStyle name="Calculation 4 3 4" xfId="4507" xr:uid="{00000000-0005-0000-0000-000090110000}"/>
    <cellStyle name="Calculation 4 3 4 2" xfId="8546" xr:uid="{00000000-0005-0000-0000-000091110000}"/>
    <cellStyle name="Calculation 4 3 4 2 2" xfId="24172" xr:uid="{00000000-0005-0000-0000-000092110000}"/>
    <cellStyle name="Calculation 4 3 4 3" xfId="14834" xr:uid="{00000000-0005-0000-0000-000093110000}"/>
    <cellStyle name="Calculation 4 3 4 3 2" xfId="29666" xr:uid="{00000000-0005-0000-0000-000094110000}"/>
    <cellStyle name="Calculation 4 3 4 4" xfId="21732" xr:uid="{00000000-0005-0000-0000-000095110000}"/>
    <cellStyle name="Calculation 4 3 5" xfId="2497" xr:uid="{00000000-0005-0000-0000-000096110000}"/>
    <cellStyle name="Calculation 4 3 5 2" xfId="6603" xr:uid="{00000000-0005-0000-0000-000097110000}"/>
    <cellStyle name="Calculation 4 3 5 2 2" xfId="22941" xr:uid="{00000000-0005-0000-0000-000098110000}"/>
    <cellStyle name="Calculation 4 3 5 3" xfId="12835" xr:uid="{00000000-0005-0000-0000-000099110000}"/>
    <cellStyle name="Calculation 4 3 5 3 2" xfId="27667" xr:uid="{00000000-0005-0000-0000-00009A110000}"/>
    <cellStyle name="Calculation 4 3 5 4" xfId="20587" xr:uid="{00000000-0005-0000-0000-00009B110000}"/>
    <cellStyle name="Calculation 4 3 6" xfId="5620" xr:uid="{00000000-0005-0000-0000-00009C110000}"/>
    <cellStyle name="Calculation 4 3 6 2" xfId="15855" xr:uid="{00000000-0005-0000-0000-00009D110000}"/>
    <cellStyle name="Calculation 4 3 6 2 2" xfId="30687" xr:uid="{00000000-0005-0000-0000-00009E110000}"/>
    <cellStyle name="Calculation 4 3 6 3" xfId="22316" xr:uid="{00000000-0005-0000-0000-00009F110000}"/>
    <cellStyle name="Calculation 4 3 7" xfId="11864" xr:uid="{00000000-0005-0000-0000-0000A0110000}"/>
    <cellStyle name="Calculation 4 3 7 2" xfId="26696" xr:uid="{00000000-0005-0000-0000-0000A1110000}"/>
    <cellStyle name="Calculation 4 3 8" xfId="9537" xr:uid="{00000000-0005-0000-0000-0000A2110000}"/>
    <cellStyle name="Calculation 4 3 8 2" xfId="19839" xr:uid="{00000000-0005-0000-0000-0000A3110000}"/>
    <cellStyle name="Calculation 4 4" xfId="1419" xr:uid="{00000000-0005-0000-0000-0000A4110000}"/>
    <cellStyle name="Calculation 4 4 2" xfId="1921" xr:uid="{00000000-0005-0000-0000-0000A5110000}"/>
    <cellStyle name="Calculation 4 4 2 2" xfId="3765" xr:uid="{00000000-0005-0000-0000-0000A6110000}"/>
    <cellStyle name="Calculation 4 4 2 2 2" xfId="7821" xr:uid="{00000000-0005-0000-0000-0000A7110000}"/>
    <cellStyle name="Calculation 4 4 2 2 2 2" xfId="23682" xr:uid="{00000000-0005-0000-0000-0000A8110000}"/>
    <cellStyle name="Calculation 4 4 2 2 3" xfId="14100" xr:uid="{00000000-0005-0000-0000-0000A9110000}"/>
    <cellStyle name="Calculation 4 4 2 2 3 2" xfId="28932" xr:uid="{00000000-0005-0000-0000-0000AA110000}"/>
    <cellStyle name="Calculation 4 4 2 2 4" xfId="21338" xr:uid="{00000000-0005-0000-0000-0000AB110000}"/>
    <cellStyle name="Calculation 4 4 2 3" xfId="4899" xr:uid="{00000000-0005-0000-0000-0000AC110000}"/>
    <cellStyle name="Calculation 4 4 2 3 2" xfId="8938" xr:uid="{00000000-0005-0000-0000-0000AD110000}"/>
    <cellStyle name="Calculation 4 4 2 3 2 2" xfId="24404" xr:uid="{00000000-0005-0000-0000-0000AE110000}"/>
    <cellStyle name="Calculation 4 4 2 3 3" xfId="15222" xr:uid="{00000000-0005-0000-0000-0000AF110000}"/>
    <cellStyle name="Calculation 4 4 2 3 3 2" xfId="30054" xr:uid="{00000000-0005-0000-0000-0000B0110000}"/>
    <cellStyle name="Calculation 4 4 2 3 4" xfId="21936" xr:uid="{00000000-0005-0000-0000-0000B1110000}"/>
    <cellStyle name="Calculation 4 4 2 4" xfId="2889" xr:uid="{00000000-0005-0000-0000-0000B2110000}"/>
    <cellStyle name="Calculation 4 4 2 4 2" xfId="6974" xr:uid="{00000000-0005-0000-0000-0000B3110000}"/>
    <cellStyle name="Calculation 4 4 2 4 2 2" xfId="23149" xr:uid="{00000000-0005-0000-0000-0000B4110000}"/>
    <cellStyle name="Calculation 4 4 2 4 3" xfId="13227" xr:uid="{00000000-0005-0000-0000-0000B5110000}"/>
    <cellStyle name="Calculation 4 4 2 4 3 2" xfId="28059" xr:uid="{00000000-0005-0000-0000-0000B6110000}"/>
    <cellStyle name="Calculation 4 4 2 4 4" xfId="20815" xr:uid="{00000000-0005-0000-0000-0000B7110000}"/>
    <cellStyle name="Calculation 4 4 2 5" xfId="6052" xr:uid="{00000000-0005-0000-0000-0000B8110000}"/>
    <cellStyle name="Calculation 4 4 2 5 2" xfId="16239" xr:uid="{00000000-0005-0000-0000-0000B9110000}"/>
    <cellStyle name="Calculation 4 4 2 5 2 2" xfId="31071" xr:uid="{00000000-0005-0000-0000-0000BA110000}"/>
    <cellStyle name="Calculation 4 4 2 5 3" xfId="22585" xr:uid="{00000000-0005-0000-0000-0000BB110000}"/>
    <cellStyle name="Calculation 4 4 2 6" xfId="12309" xr:uid="{00000000-0005-0000-0000-0000BC110000}"/>
    <cellStyle name="Calculation 4 4 2 6 2" xfId="27141" xr:uid="{00000000-0005-0000-0000-0000BD110000}"/>
    <cellStyle name="Calculation 4 4 2 7" xfId="9905" xr:uid="{00000000-0005-0000-0000-0000BE110000}"/>
    <cellStyle name="Calculation 4 4 2 7 2" xfId="20108" xr:uid="{00000000-0005-0000-0000-0000BF110000}"/>
    <cellStyle name="Calculation 4 4 3" xfId="3783" xr:uid="{00000000-0005-0000-0000-0000C0110000}"/>
    <cellStyle name="Calculation 4 4 3 2" xfId="7838" xr:uid="{00000000-0005-0000-0000-0000C1110000}"/>
    <cellStyle name="Calculation 4 4 3 2 2" xfId="23694" xr:uid="{00000000-0005-0000-0000-0000C2110000}"/>
    <cellStyle name="Calculation 4 4 3 3" xfId="14118" xr:uid="{00000000-0005-0000-0000-0000C3110000}"/>
    <cellStyle name="Calculation 4 4 3 3 2" xfId="28950" xr:uid="{00000000-0005-0000-0000-0000C4110000}"/>
    <cellStyle name="Calculation 4 4 3 4" xfId="21346" xr:uid="{00000000-0005-0000-0000-0000C5110000}"/>
    <cellStyle name="Calculation 4 4 4" xfId="4479" xr:uid="{00000000-0005-0000-0000-0000C6110000}"/>
    <cellStyle name="Calculation 4 4 4 2" xfId="8518" xr:uid="{00000000-0005-0000-0000-0000C7110000}"/>
    <cellStyle name="Calculation 4 4 4 2 2" xfId="24144" xr:uid="{00000000-0005-0000-0000-0000C8110000}"/>
    <cellStyle name="Calculation 4 4 4 3" xfId="14807" xr:uid="{00000000-0005-0000-0000-0000C9110000}"/>
    <cellStyle name="Calculation 4 4 4 3 2" xfId="29639" xr:uid="{00000000-0005-0000-0000-0000CA110000}"/>
    <cellStyle name="Calculation 4 4 4 4" xfId="21706" xr:uid="{00000000-0005-0000-0000-0000CB110000}"/>
    <cellStyle name="Calculation 4 4 5" xfId="2469" xr:uid="{00000000-0005-0000-0000-0000CC110000}"/>
    <cellStyle name="Calculation 4 4 5 2" xfId="6575" xr:uid="{00000000-0005-0000-0000-0000CD110000}"/>
    <cellStyle name="Calculation 4 4 5 2 2" xfId="22913" xr:uid="{00000000-0005-0000-0000-0000CE110000}"/>
    <cellStyle name="Calculation 4 4 5 3" xfId="12808" xr:uid="{00000000-0005-0000-0000-0000CF110000}"/>
    <cellStyle name="Calculation 4 4 5 3 2" xfId="27640" xr:uid="{00000000-0005-0000-0000-0000D0110000}"/>
    <cellStyle name="Calculation 4 4 5 4" xfId="20561" xr:uid="{00000000-0005-0000-0000-0000D1110000}"/>
    <cellStyle name="Calculation 4 4 6" xfId="5593" xr:uid="{00000000-0005-0000-0000-0000D2110000}"/>
    <cellStyle name="Calculation 4 4 6 2" xfId="15828" xr:uid="{00000000-0005-0000-0000-0000D3110000}"/>
    <cellStyle name="Calculation 4 4 6 2 2" xfId="30660" xr:uid="{00000000-0005-0000-0000-0000D4110000}"/>
    <cellStyle name="Calculation 4 4 6 3" xfId="22289" xr:uid="{00000000-0005-0000-0000-0000D5110000}"/>
    <cellStyle name="Calculation 4 4 7" xfId="11838" xr:uid="{00000000-0005-0000-0000-0000D6110000}"/>
    <cellStyle name="Calculation 4 4 7 2" xfId="26670" xr:uid="{00000000-0005-0000-0000-0000D7110000}"/>
    <cellStyle name="Calculation 4 4 8" xfId="9510" xr:uid="{00000000-0005-0000-0000-0000D8110000}"/>
    <cellStyle name="Calculation 4 4 8 2" xfId="19813" xr:uid="{00000000-0005-0000-0000-0000D9110000}"/>
    <cellStyle name="Calculation 4 5" xfId="1432" xr:uid="{00000000-0005-0000-0000-0000DA110000}"/>
    <cellStyle name="Calculation 4 5 2" xfId="1933" xr:uid="{00000000-0005-0000-0000-0000DB110000}"/>
    <cellStyle name="Calculation 4 5 2 2" xfId="4070" xr:uid="{00000000-0005-0000-0000-0000DC110000}"/>
    <cellStyle name="Calculation 4 5 2 2 2" xfId="8117" xr:uid="{00000000-0005-0000-0000-0000DD110000}"/>
    <cellStyle name="Calculation 4 5 2 2 2 2" xfId="23870" xr:uid="{00000000-0005-0000-0000-0000DE110000}"/>
    <cellStyle name="Calculation 4 5 2 2 3" xfId="14402" xr:uid="{00000000-0005-0000-0000-0000DF110000}"/>
    <cellStyle name="Calculation 4 5 2 2 3 2" xfId="29234" xr:uid="{00000000-0005-0000-0000-0000E0110000}"/>
    <cellStyle name="Calculation 4 5 2 2 4" xfId="21504" xr:uid="{00000000-0005-0000-0000-0000E1110000}"/>
    <cellStyle name="Calculation 4 5 2 3" xfId="4912" xr:uid="{00000000-0005-0000-0000-0000E2110000}"/>
    <cellStyle name="Calculation 4 5 2 3 2" xfId="8951" xr:uid="{00000000-0005-0000-0000-0000E3110000}"/>
    <cellStyle name="Calculation 4 5 2 3 2 2" xfId="24417" xr:uid="{00000000-0005-0000-0000-0000E4110000}"/>
    <cellStyle name="Calculation 4 5 2 3 3" xfId="15234" xr:uid="{00000000-0005-0000-0000-0000E5110000}"/>
    <cellStyle name="Calculation 4 5 2 3 3 2" xfId="30066" xr:uid="{00000000-0005-0000-0000-0000E6110000}"/>
    <cellStyle name="Calculation 4 5 2 3 4" xfId="21947" xr:uid="{00000000-0005-0000-0000-0000E7110000}"/>
    <cellStyle name="Calculation 4 5 2 4" xfId="2902" xr:uid="{00000000-0005-0000-0000-0000E8110000}"/>
    <cellStyle name="Calculation 4 5 2 4 2" xfId="6986" xr:uid="{00000000-0005-0000-0000-0000E9110000}"/>
    <cellStyle name="Calculation 4 5 2 4 2 2" xfId="23160" xr:uid="{00000000-0005-0000-0000-0000EA110000}"/>
    <cellStyle name="Calculation 4 5 2 4 3" xfId="13240" xr:uid="{00000000-0005-0000-0000-0000EB110000}"/>
    <cellStyle name="Calculation 4 5 2 4 3 2" xfId="28072" xr:uid="{00000000-0005-0000-0000-0000EC110000}"/>
    <cellStyle name="Calculation 4 5 2 4 4" xfId="20828" xr:uid="{00000000-0005-0000-0000-0000ED110000}"/>
    <cellStyle name="Calculation 4 5 2 5" xfId="6063" xr:uid="{00000000-0005-0000-0000-0000EE110000}"/>
    <cellStyle name="Calculation 4 5 2 5 2" xfId="16250" xr:uid="{00000000-0005-0000-0000-0000EF110000}"/>
    <cellStyle name="Calculation 4 5 2 5 2 2" xfId="31082" xr:uid="{00000000-0005-0000-0000-0000F0110000}"/>
    <cellStyle name="Calculation 4 5 2 5 3" xfId="22596" xr:uid="{00000000-0005-0000-0000-0000F1110000}"/>
    <cellStyle name="Calculation 4 5 2 6" xfId="12320" xr:uid="{00000000-0005-0000-0000-0000F2110000}"/>
    <cellStyle name="Calculation 4 5 2 6 2" xfId="27152" xr:uid="{00000000-0005-0000-0000-0000F3110000}"/>
    <cellStyle name="Calculation 4 5 2 7" xfId="9917" xr:uid="{00000000-0005-0000-0000-0000F4110000}"/>
    <cellStyle name="Calculation 4 5 2 7 2" xfId="20119" xr:uid="{00000000-0005-0000-0000-0000F5110000}"/>
    <cellStyle name="Calculation 4 5 3" xfId="3179" xr:uid="{00000000-0005-0000-0000-0000F6110000}"/>
    <cellStyle name="Calculation 4 5 3 2" xfId="7243" xr:uid="{00000000-0005-0000-0000-0000F7110000}"/>
    <cellStyle name="Calculation 4 5 3 2 2" xfId="23301" xr:uid="{00000000-0005-0000-0000-0000F8110000}"/>
    <cellStyle name="Calculation 4 5 3 3" xfId="13517" xr:uid="{00000000-0005-0000-0000-0000F9110000}"/>
    <cellStyle name="Calculation 4 5 3 3 2" xfId="28349" xr:uid="{00000000-0005-0000-0000-0000FA110000}"/>
    <cellStyle name="Calculation 4 5 3 4" xfId="20991" xr:uid="{00000000-0005-0000-0000-0000FB110000}"/>
    <cellStyle name="Calculation 4 5 4" xfId="4492" xr:uid="{00000000-0005-0000-0000-0000FC110000}"/>
    <cellStyle name="Calculation 4 5 4 2" xfId="8531" xr:uid="{00000000-0005-0000-0000-0000FD110000}"/>
    <cellStyle name="Calculation 4 5 4 2 2" xfId="24157" xr:uid="{00000000-0005-0000-0000-0000FE110000}"/>
    <cellStyle name="Calculation 4 5 4 3" xfId="14819" xr:uid="{00000000-0005-0000-0000-0000FF110000}"/>
    <cellStyle name="Calculation 4 5 4 3 2" xfId="29651" xr:uid="{00000000-0005-0000-0000-000000120000}"/>
    <cellStyle name="Calculation 4 5 4 4" xfId="21717" xr:uid="{00000000-0005-0000-0000-000001120000}"/>
    <cellStyle name="Calculation 4 5 5" xfId="2482" xr:uid="{00000000-0005-0000-0000-000002120000}"/>
    <cellStyle name="Calculation 4 5 5 2" xfId="6588" xr:uid="{00000000-0005-0000-0000-000003120000}"/>
    <cellStyle name="Calculation 4 5 5 2 2" xfId="22926" xr:uid="{00000000-0005-0000-0000-000004120000}"/>
    <cellStyle name="Calculation 4 5 5 3" xfId="12820" xr:uid="{00000000-0005-0000-0000-000005120000}"/>
    <cellStyle name="Calculation 4 5 5 3 2" xfId="27652" xr:uid="{00000000-0005-0000-0000-000006120000}"/>
    <cellStyle name="Calculation 4 5 5 4" xfId="20572" xr:uid="{00000000-0005-0000-0000-000007120000}"/>
    <cellStyle name="Calculation 4 5 6" xfId="5605" xr:uid="{00000000-0005-0000-0000-000008120000}"/>
    <cellStyle name="Calculation 4 5 6 2" xfId="15840" xr:uid="{00000000-0005-0000-0000-000009120000}"/>
    <cellStyle name="Calculation 4 5 6 2 2" xfId="30672" xr:uid="{00000000-0005-0000-0000-00000A120000}"/>
    <cellStyle name="Calculation 4 5 6 3" xfId="22301" xr:uid="{00000000-0005-0000-0000-00000B120000}"/>
    <cellStyle name="Calculation 4 5 7" xfId="11849" xr:uid="{00000000-0005-0000-0000-00000C120000}"/>
    <cellStyle name="Calculation 4 5 7 2" xfId="26681" xr:uid="{00000000-0005-0000-0000-00000D120000}"/>
    <cellStyle name="Calculation 4 5 8" xfId="9522" xr:uid="{00000000-0005-0000-0000-00000E120000}"/>
    <cellStyle name="Calculation 4 5 8 2" xfId="19824" xr:uid="{00000000-0005-0000-0000-00000F120000}"/>
    <cellStyle name="Calculation 4 6" xfId="1724" xr:uid="{00000000-0005-0000-0000-000010120000}"/>
    <cellStyle name="Calculation 4 6 2" xfId="3622" xr:uid="{00000000-0005-0000-0000-000011120000}"/>
    <cellStyle name="Calculation 4 6 2 2" xfId="7682" xr:uid="{00000000-0005-0000-0000-000012120000}"/>
    <cellStyle name="Calculation 4 6 2 2 2" xfId="23591" xr:uid="{00000000-0005-0000-0000-000013120000}"/>
    <cellStyle name="Calculation 4 6 2 3" xfId="13957" xr:uid="{00000000-0005-0000-0000-000014120000}"/>
    <cellStyle name="Calculation 4 6 2 3 2" xfId="28789" xr:uid="{00000000-0005-0000-0000-000015120000}"/>
    <cellStyle name="Calculation 4 6 2 4" xfId="21255" xr:uid="{00000000-0005-0000-0000-000016120000}"/>
    <cellStyle name="Calculation 4 6 3" xfId="4717" xr:uid="{00000000-0005-0000-0000-000017120000}"/>
    <cellStyle name="Calculation 4 6 3 2" xfId="8756" xr:uid="{00000000-0005-0000-0000-000018120000}"/>
    <cellStyle name="Calculation 4 6 3 2 2" xfId="24286" xr:uid="{00000000-0005-0000-0000-000019120000}"/>
    <cellStyle name="Calculation 4 6 3 3" xfId="15041" xr:uid="{00000000-0005-0000-0000-00001A120000}"/>
    <cellStyle name="Calculation 4 6 3 3 2" xfId="29873" xr:uid="{00000000-0005-0000-0000-00001B120000}"/>
    <cellStyle name="Calculation 4 6 3 4" xfId="21824" xr:uid="{00000000-0005-0000-0000-00001C120000}"/>
    <cellStyle name="Calculation 4 6 4" xfId="2707" xr:uid="{00000000-0005-0000-0000-00001D120000}"/>
    <cellStyle name="Calculation 4 6 4 2" xfId="6798" xr:uid="{00000000-0005-0000-0000-00001E120000}"/>
    <cellStyle name="Calculation 4 6 4 2 2" xfId="23037" xr:uid="{00000000-0005-0000-0000-00001F120000}"/>
    <cellStyle name="Calculation 4 6 4 3" xfId="13045" xr:uid="{00000000-0005-0000-0000-000020120000}"/>
    <cellStyle name="Calculation 4 6 4 3 2" xfId="27877" xr:uid="{00000000-0005-0000-0000-000021120000}"/>
    <cellStyle name="Calculation 4 6 4 4" xfId="20697" xr:uid="{00000000-0005-0000-0000-000022120000}"/>
    <cellStyle name="Calculation 4 6 5" xfId="5856" xr:uid="{00000000-0005-0000-0000-000023120000}"/>
    <cellStyle name="Calculation 4 6 5 2" xfId="16048" xr:uid="{00000000-0005-0000-0000-000024120000}"/>
    <cellStyle name="Calculation 4 6 5 2 2" xfId="30880" xr:uid="{00000000-0005-0000-0000-000025120000}"/>
    <cellStyle name="Calculation 4 6 5 3" xfId="22453" xr:uid="{00000000-0005-0000-0000-000026120000}"/>
    <cellStyle name="Calculation 4 6 6" xfId="12118" xr:uid="{00000000-0005-0000-0000-000027120000}"/>
    <cellStyle name="Calculation 4 6 6 2" xfId="26950" xr:uid="{00000000-0005-0000-0000-000028120000}"/>
    <cellStyle name="Calculation 4 6 7" xfId="9729" xr:uid="{00000000-0005-0000-0000-000029120000}"/>
    <cellStyle name="Calculation 4 6 7 2" xfId="20027" xr:uid="{00000000-0005-0000-0000-00002A120000}"/>
    <cellStyle name="Calculation 4 7" xfId="2227" xr:uid="{00000000-0005-0000-0000-00002B120000}"/>
    <cellStyle name="Calculation 4 7 2" xfId="3544" xr:uid="{00000000-0005-0000-0000-00002C120000}"/>
    <cellStyle name="Calculation 4 7 2 2" xfId="7606" xr:uid="{00000000-0005-0000-0000-00002D120000}"/>
    <cellStyle name="Calculation 4 7 2 2 2" xfId="23544" xr:uid="{00000000-0005-0000-0000-00002E120000}"/>
    <cellStyle name="Calculation 4 7 2 3" xfId="13880" xr:uid="{00000000-0005-0000-0000-00002F120000}"/>
    <cellStyle name="Calculation 4 7 2 3 2" xfId="28712" xr:uid="{00000000-0005-0000-0000-000030120000}"/>
    <cellStyle name="Calculation 4 7 2 4" xfId="21217" xr:uid="{00000000-0005-0000-0000-000031120000}"/>
    <cellStyle name="Calculation 4 7 3" xfId="5195" xr:uid="{00000000-0005-0000-0000-000032120000}"/>
    <cellStyle name="Calculation 4 7 3 2" xfId="9234" xr:uid="{00000000-0005-0000-0000-000033120000}"/>
    <cellStyle name="Calculation 4 7 3 2 2" xfId="24572" xr:uid="{00000000-0005-0000-0000-000034120000}"/>
    <cellStyle name="Calculation 4 7 3 3" xfId="15513" xr:uid="{00000000-0005-0000-0000-000035120000}"/>
    <cellStyle name="Calculation 4 7 3 3 2" xfId="30345" xr:uid="{00000000-0005-0000-0000-000036120000}"/>
    <cellStyle name="Calculation 4 7 3 4" xfId="22079" xr:uid="{00000000-0005-0000-0000-000037120000}"/>
    <cellStyle name="Calculation 4 7 4" xfId="4225" xr:uid="{00000000-0005-0000-0000-000038120000}"/>
    <cellStyle name="Calculation 4 7 4 2" xfId="8266" xr:uid="{00000000-0005-0000-0000-000039120000}"/>
    <cellStyle name="Calculation 4 7 4 2 2" xfId="23961" xr:uid="{00000000-0005-0000-0000-00003A120000}"/>
    <cellStyle name="Calculation 4 7 4 3" xfId="14557" xr:uid="{00000000-0005-0000-0000-00003B120000}"/>
    <cellStyle name="Calculation 4 7 4 3 2" xfId="29389" xr:uid="{00000000-0005-0000-0000-00003C120000}"/>
    <cellStyle name="Calculation 4 7 4 4" xfId="21586" xr:uid="{00000000-0005-0000-0000-00003D120000}"/>
    <cellStyle name="Calculation 4 7 5" xfId="6341" xr:uid="{00000000-0005-0000-0000-00003E120000}"/>
    <cellStyle name="Calculation 4 7 5 2" xfId="22743" xr:uid="{00000000-0005-0000-0000-00003F120000}"/>
    <cellStyle name="Calculation 4 7 6" xfId="12595" xr:uid="{00000000-0005-0000-0000-000040120000}"/>
    <cellStyle name="Calculation 4 7 6 2" xfId="27427" xr:uid="{00000000-0005-0000-0000-000041120000}"/>
    <cellStyle name="Calculation 4 7 7" xfId="20422" xr:uid="{00000000-0005-0000-0000-000042120000}"/>
    <cellStyle name="Calculation 4 8" xfId="3862" xr:uid="{00000000-0005-0000-0000-000043120000}"/>
    <cellStyle name="Calculation 4 8 2" xfId="7914" xr:uid="{00000000-0005-0000-0000-000044120000}"/>
    <cellStyle name="Calculation 4 8 2 2" xfId="23747" xr:uid="{00000000-0005-0000-0000-000045120000}"/>
    <cellStyle name="Calculation 4 8 3" xfId="14197" xr:uid="{00000000-0005-0000-0000-000046120000}"/>
    <cellStyle name="Calculation 4 8 3 2" xfId="29029" xr:uid="{00000000-0005-0000-0000-000047120000}"/>
    <cellStyle name="Calculation 4 8 4" xfId="21389" xr:uid="{00000000-0005-0000-0000-000048120000}"/>
    <cellStyle name="Calculation 4 9" xfId="3194" xr:uid="{00000000-0005-0000-0000-000049120000}"/>
    <cellStyle name="Calculation 4 9 2" xfId="7258" xr:uid="{00000000-0005-0000-0000-00004A120000}"/>
    <cellStyle name="Calculation 4 9 2 2" xfId="23311" xr:uid="{00000000-0005-0000-0000-00004B120000}"/>
    <cellStyle name="Calculation 4 9 3" xfId="13532" xr:uid="{00000000-0005-0000-0000-00004C120000}"/>
    <cellStyle name="Calculation 4 9 3 2" xfId="28364" xr:uid="{00000000-0005-0000-0000-00004D120000}"/>
    <cellStyle name="Calculation 4 9 4" xfId="21001" xr:uid="{00000000-0005-0000-0000-00004E120000}"/>
    <cellStyle name="Calculation 5" xfId="972" xr:uid="{00000000-0005-0000-0000-00004F120000}"/>
    <cellStyle name="Calculation 5 10" xfId="2278" xr:uid="{00000000-0005-0000-0000-000050120000}"/>
    <cellStyle name="Calculation 5 10 2" xfId="6390" xr:uid="{00000000-0005-0000-0000-000051120000}"/>
    <cellStyle name="Calculation 5 10 2 2" xfId="22792" xr:uid="{00000000-0005-0000-0000-000052120000}"/>
    <cellStyle name="Calculation 5 10 3" xfId="12618" xr:uid="{00000000-0005-0000-0000-000053120000}"/>
    <cellStyle name="Calculation 5 10 3 2" xfId="27450" xr:uid="{00000000-0005-0000-0000-000054120000}"/>
    <cellStyle name="Calculation 5 10 4" xfId="20444" xr:uid="{00000000-0005-0000-0000-000055120000}"/>
    <cellStyle name="Calculation 5 11" xfId="5244" xr:uid="{00000000-0005-0000-0000-000056120000}"/>
    <cellStyle name="Calculation 5 11 2" xfId="15560" xr:uid="{00000000-0005-0000-0000-000057120000}"/>
    <cellStyle name="Calculation 5 11 2 2" xfId="30392" xr:uid="{00000000-0005-0000-0000-000058120000}"/>
    <cellStyle name="Calculation 5 11 3" xfId="22101" xr:uid="{00000000-0005-0000-0000-000059120000}"/>
    <cellStyle name="Calculation 5 12" xfId="5402" xr:uid="{00000000-0005-0000-0000-00005A120000}"/>
    <cellStyle name="Calculation 5 12 2" xfId="15638" xr:uid="{00000000-0005-0000-0000-00005B120000}"/>
    <cellStyle name="Calculation 5 12 2 2" xfId="30470" xr:uid="{00000000-0005-0000-0000-00005C120000}"/>
    <cellStyle name="Calculation 5 12 3" xfId="22163" xr:uid="{00000000-0005-0000-0000-00005D120000}"/>
    <cellStyle name="Calculation 5 13" xfId="9389" xr:uid="{00000000-0005-0000-0000-00005E120000}"/>
    <cellStyle name="Calculation 5 13 2" xfId="24695" xr:uid="{00000000-0005-0000-0000-00005F120000}"/>
    <cellStyle name="Calculation 5 14" xfId="5758" xr:uid="{00000000-0005-0000-0000-000060120000}"/>
    <cellStyle name="Calculation 5 14 2" xfId="18379" xr:uid="{00000000-0005-0000-0000-000061120000}"/>
    <cellStyle name="Calculation 5 2" xfId="1314" xr:uid="{00000000-0005-0000-0000-000062120000}"/>
    <cellStyle name="Calculation 5 2 2" xfId="1818" xr:uid="{00000000-0005-0000-0000-000063120000}"/>
    <cellStyle name="Calculation 5 2 2 2" xfId="3515" xr:uid="{00000000-0005-0000-0000-000064120000}"/>
    <cellStyle name="Calculation 5 2 2 2 2" xfId="7577" xr:uid="{00000000-0005-0000-0000-000065120000}"/>
    <cellStyle name="Calculation 5 2 2 2 2 2" xfId="23527" xr:uid="{00000000-0005-0000-0000-000066120000}"/>
    <cellStyle name="Calculation 5 2 2 2 3" xfId="13852" xr:uid="{00000000-0005-0000-0000-000067120000}"/>
    <cellStyle name="Calculation 5 2 2 2 3 2" xfId="28684" xr:uid="{00000000-0005-0000-0000-000068120000}"/>
    <cellStyle name="Calculation 5 2 2 2 4" xfId="21202" xr:uid="{00000000-0005-0000-0000-000069120000}"/>
    <cellStyle name="Calculation 5 2 2 3" xfId="4796" xr:uid="{00000000-0005-0000-0000-00006A120000}"/>
    <cellStyle name="Calculation 5 2 2 3 2" xfId="8835" xr:uid="{00000000-0005-0000-0000-00006B120000}"/>
    <cellStyle name="Calculation 5 2 2 3 2 2" xfId="24333" xr:uid="{00000000-0005-0000-0000-00006C120000}"/>
    <cellStyle name="Calculation 5 2 2 3 3" xfId="15120" xr:uid="{00000000-0005-0000-0000-00006D120000}"/>
    <cellStyle name="Calculation 5 2 2 3 3 2" xfId="29952" xr:uid="{00000000-0005-0000-0000-00006E120000}"/>
    <cellStyle name="Calculation 5 2 2 3 4" xfId="21871" xr:uid="{00000000-0005-0000-0000-00006F120000}"/>
    <cellStyle name="Calculation 5 2 2 4" xfId="2786" xr:uid="{00000000-0005-0000-0000-000070120000}"/>
    <cellStyle name="Calculation 5 2 2 4 2" xfId="6877" xr:uid="{00000000-0005-0000-0000-000071120000}"/>
    <cellStyle name="Calculation 5 2 2 4 2 2" xfId="23084" xr:uid="{00000000-0005-0000-0000-000072120000}"/>
    <cellStyle name="Calculation 5 2 2 4 3" xfId="13124" xr:uid="{00000000-0005-0000-0000-000073120000}"/>
    <cellStyle name="Calculation 5 2 2 4 3 2" xfId="27956" xr:uid="{00000000-0005-0000-0000-000074120000}"/>
    <cellStyle name="Calculation 5 2 2 4 4" xfId="20744" xr:uid="{00000000-0005-0000-0000-000075120000}"/>
    <cellStyle name="Calculation 5 2 2 5" xfId="5950" xr:uid="{00000000-0005-0000-0000-000076120000}"/>
    <cellStyle name="Calculation 5 2 2 5 2" xfId="16142" xr:uid="{00000000-0005-0000-0000-000077120000}"/>
    <cellStyle name="Calculation 5 2 2 5 2 2" xfId="30974" xr:uid="{00000000-0005-0000-0000-000078120000}"/>
    <cellStyle name="Calculation 5 2 2 5 3" xfId="22515" xr:uid="{00000000-0005-0000-0000-000079120000}"/>
    <cellStyle name="Calculation 5 2 2 6" xfId="12212" xr:uid="{00000000-0005-0000-0000-00007A120000}"/>
    <cellStyle name="Calculation 5 2 2 6 2" xfId="27044" xr:uid="{00000000-0005-0000-0000-00007B120000}"/>
    <cellStyle name="Calculation 5 2 2 7" xfId="9808" xr:uid="{00000000-0005-0000-0000-00007C120000}"/>
    <cellStyle name="Calculation 5 2 2 7 2" xfId="20059" xr:uid="{00000000-0005-0000-0000-00007D120000}"/>
    <cellStyle name="Calculation 5 2 3" xfId="3464" xr:uid="{00000000-0005-0000-0000-00007E120000}"/>
    <cellStyle name="Calculation 5 2 3 2" xfId="7527" xr:uid="{00000000-0005-0000-0000-00007F120000}"/>
    <cellStyle name="Calculation 5 2 3 2 2" xfId="23494" xr:uid="{00000000-0005-0000-0000-000080120000}"/>
    <cellStyle name="Calculation 5 2 3 3" xfId="13801" xr:uid="{00000000-0005-0000-0000-000081120000}"/>
    <cellStyle name="Calculation 5 2 3 3 2" xfId="28633" xr:uid="{00000000-0005-0000-0000-000082120000}"/>
    <cellStyle name="Calculation 5 2 3 4" xfId="21169" xr:uid="{00000000-0005-0000-0000-000083120000}"/>
    <cellStyle name="Calculation 5 2 4" xfId="4376" xr:uid="{00000000-0005-0000-0000-000084120000}"/>
    <cellStyle name="Calculation 5 2 4 2" xfId="8415" xr:uid="{00000000-0005-0000-0000-000085120000}"/>
    <cellStyle name="Calculation 5 2 4 2 2" xfId="24073" xr:uid="{00000000-0005-0000-0000-000086120000}"/>
    <cellStyle name="Calculation 5 2 4 3" xfId="14705" xr:uid="{00000000-0005-0000-0000-000087120000}"/>
    <cellStyle name="Calculation 5 2 4 3 2" xfId="29537" xr:uid="{00000000-0005-0000-0000-000088120000}"/>
    <cellStyle name="Calculation 5 2 4 4" xfId="21641" xr:uid="{00000000-0005-0000-0000-000089120000}"/>
    <cellStyle name="Calculation 5 2 5" xfId="2366" xr:uid="{00000000-0005-0000-0000-00008A120000}"/>
    <cellStyle name="Calculation 5 2 5 2" xfId="6478" xr:uid="{00000000-0005-0000-0000-00008B120000}"/>
    <cellStyle name="Calculation 5 2 5 2 2" xfId="22848" xr:uid="{00000000-0005-0000-0000-00008C120000}"/>
    <cellStyle name="Calculation 5 2 5 3" xfId="12705" xr:uid="{00000000-0005-0000-0000-00008D120000}"/>
    <cellStyle name="Calculation 5 2 5 3 2" xfId="27537" xr:uid="{00000000-0005-0000-0000-00008E120000}"/>
    <cellStyle name="Calculation 5 2 5 4" xfId="20490" xr:uid="{00000000-0005-0000-0000-00008F120000}"/>
    <cellStyle name="Calculation 5 2 6" xfId="5491" xr:uid="{00000000-0005-0000-0000-000090120000}"/>
    <cellStyle name="Calculation 5 2 6 2" xfId="15726" xr:uid="{00000000-0005-0000-0000-000091120000}"/>
    <cellStyle name="Calculation 5 2 6 2 2" xfId="30558" xr:uid="{00000000-0005-0000-0000-000092120000}"/>
    <cellStyle name="Calculation 5 2 6 3" xfId="22219" xr:uid="{00000000-0005-0000-0000-000093120000}"/>
    <cellStyle name="Calculation 5 2 7" xfId="11741" xr:uid="{00000000-0005-0000-0000-000094120000}"/>
    <cellStyle name="Calculation 5 2 7 2" xfId="26573" xr:uid="{00000000-0005-0000-0000-000095120000}"/>
    <cellStyle name="Calculation 5 2 8" xfId="9412" xr:uid="{00000000-0005-0000-0000-000096120000}"/>
    <cellStyle name="Calculation 5 2 8 2" xfId="19716" xr:uid="{00000000-0005-0000-0000-000097120000}"/>
    <cellStyle name="Calculation 5 3" xfId="1448" xr:uid="{00000000-0005-0000-0000-000098120000}"/>
    <cellStyle name="Calculation 5 3 2" xfId="1949" xr:uid="{00000000-0005-0000-0000-000099120000}"/>
    <cellStyle name="Calculation 5 3 2 2" xfId="3951" xr:uid="{00000000-0005-0000-0000-00009A120000}"/>
    <cellStyle name="Calculation 5 3 2 2 2" xfId="8001" xr:uid="{00000000-0005-0000-0000-00009B120000}"/>
    <cellStyle name="Calculation 5 3 2 2 2 2" xfId="23801" xr:uid="{00000000-0005-0000-0000-00009C120000}"/>
    <cellStyle name="Calculation 5 3 2 2 3" xfId="14284" xr:uid="{00000000-0005-0000-0000-00009D120000}"/>
    <cellStyle name="Calculation 5 3 2 2 3 2" xfId="29116" xr:uid="{00000000-0005-0000-0000-00009E120000}"/>
    <cellStyle name="Calculation 5 3 2 2 4" xfId="21443" xr:uid="{00000000-0005-0000-0000-00009F120000}"/>
    <cellStyle name="Calculation 5 3 2 3" xfId="4928" xr:uid="{00000000-0005-0000-0000-0000A0120000}"/>
    <cellStyle name="Calculation 5 3 2 3 2" xfId="8967" xr:uid="{00000000-0005-0000-0000-0000A1120000}"/>
    <cellStyle name="Calculation 5 3 2 3 2 2" xfId="24433" xr:uid="{00000000-0005-0000-0000-0000A2120000}"/>
    <cellStyle name="Calculation 5 3 2 3 3" xfId="15250" xr:uid="{00000000-0005-0000-0000-0000A3120000}"/>
    <cellStyle name="Calculation 5 3 2 3 3 2" xfId="30082" xr:uid="{00000000-0005-0000-0000-0000A4120000}"/>
    <cellStyle name="Calculation 5 3 2 3 4" xfId="21963" xr:uid="{00000000-0005-0000-0000-0000A5120000}"/>
    <cellStyle name="Calculation 5 3 2 4" xfId="2918" xr:uid="{00000000-0005-0000-0000-0000A6120000}"/>
    <cellStyle name="Calculation 5 3 2 4 2" xfId="7002" xr:uid="{00000000-0005-0000-0000-0000A7120000}"/>
    <cellStyle name="Calculation 5 3 2 4 2 2" xfId="23176" xr:uid="{00000000-0005-0000-0000-0000A8120000}"/>
    <cellStyle name="Calculation 5 3 2 4 3" xfId="13256" xr:uid="{00000000-0005-0000-0000-0000A9120000}"/>
    <cellStyle name="Calculation 5 3 2 4 3 2" xfId="28088" xr:uid="{00000000-0005-0000-0000-0000AA120000}"/>
    <cellStyle name="Calculation 5 3 2 4 4" xfId="20844" xr:uid="{00000000-0005-0000-0000-0000AB120000}"/>
    <cellStyle name="Calculation 5 3 2 5" xfId="6079" xr:uid="{00000000-0005-0000-0000-0000AC120000}"/>
    <cellStyle name="Calculation 5 3 2 5 2" xfId="16266" xr:uid="{00000000-0005-0000-0000-0000AD120000}"/>
    <cellStyle name="Calculation 5 3 2 5 2 2" xfId="31098" xr:uid="{00000000-0005-0000-0000-0000AE120000}"/>
    <cellStyle name="Calculation 5 3 2 5 3" xfId="22612" xr:uid="{00000000-0005-0000-0000-0000AF120000}"/>
    <cellStyle name="Calculation 5 3 2 6" xfId="12336" xr:uid="{00000000-0005-0000-0000-0000B0120000}"/>
    <cellStyle name="Calculation 5 3 2 6 2" xfId="27168" xr:uid="{00000000-0005-0000-0000-0000B1120000}"/>
    <cellStyle name="Calculation 5 3 2 7" xfId="9933" xr:uid="{00000000-0005-0000-0000-0000B2120000}"/>
    <cellStyle name="Calculation 5 3 2 7 2" xfId="20135" xr:uid="{00000000-0005-0000-0000-0000B3120000}"/>
    <cellStyle name="Calculation 5 3 3" xfId="3452" xr:uid="{00000000-0005-0000-0000-0000B4120000}"/>
    <cellStyle name="Calculation 5 3 3 2" xfId="7515" xr:uid="{00000000-0005-0000-0000-0000B5120000}"/>
    <cellStyle name="Calculation 5 3 3 2 2" xfId="23486" xr:uid="{00000000-0005-0000-0000-0000B6120000}"/>
    <cellStyle name="Calculation 5 3 3 3" xfId="13789" xr:uid="{00000000-0005-0000-0000-0000B7120000}"/>
    <cellStyle name="Calculation 5 3 3 3 2" xfId="28621" xr:uid="{00000000-0005-0000-0000-0000B8120000}"/>
    <cellStyle name="Calculation 5 3 3 4" xfId="21161" xr:uid="{00000000-0005-0000-0000-0000B9120000}"/>
    <cellStyle name="Calculation 5 3 4" xfId="4508" xr:uid="{00000000-0005-0000-0000-0000BA120000}"/>
    <cellStyle name="Calculation 5 3 4 2" xfId="8547" xr:uid="{00000000-0005-0000-0000-0000BB120000}"/>
    <cellStyle name="Calculation 5 3 4 2 2" xfId="24173" xr:uid="{00000000-0005-0000-0000-0000BC120000}"/>
    <cellStyle name="Calculation 5 3 4 3" xfId="14835" xr:uid="{00000000-0005-0000-0000-0000BD120000}"/>
    <cellStyle name="Calculation 5 3 4 3 2" xfId="29667" xr:uid="{00000000-0005-0000-0000-0000BE120000}"/>
    <cellStyle name="Calculation 5 3 4 4" xfId="21733" xr:uid="{00000000-0005-0000-0000-0000BF120000}"/>
    <cellStyle name="Calculation 5 3 5" xfId="2498" xr:uid="{00000000-0005-0000-0000-0000C0120000}"/>
    <cellStyle name="Calculation 5 3 5 2" xfId="6604" xr:uid="{00000000-0005-0000-0000-0000C1120000}"/>
    <cellStyle name="Calculation 5 3 5 2 2" xfId="22942" xr:uid="{00000000-0005-0000-0000-0000C2120000}"/>
    <cellStyle name="Calculation 5 3 5 3" xfId="12836" xr:uid="{00000000-0005-0000-0000-0000C3120000}"/>
    <cellStyle name="Calculation 5 3 5 3 2" xfId="27668" xr:uid="{00000000-0005-0000-0000-0000C4120000}"/>
    <cellStyle name="Calculation 5 3 5 4" xfId="20588" xr:uid="{00000000-0005-0000-0000-0000C5120000}"/>
    <cellStyle name="Calculation 5 3 6" xfId="5621" xr:uid="{00000000-0005-0000-0000-0000C6120000}"/>
    <cellStyle name="Calculation 5 3 6 2" xfId="15856" xr:uid="{00000000-0005-0000-0000-0000C7120000}"/>
    <cellStyle name="Calculation 5 3 6 2 2" xfId="30688" xr:uid="{00000000-0005-0000-0000-0000C8120000}"/>
    <cellStyle name="Calculation 5 3 6 3" xfId="22317" xr:uid="{00000000-0005-0000-0000-0000C9120000}"/>
    <cellStyle name="Calculation 5 3 7" xfId="11865" xr:uid="{00000000-0005-0000-0000-0000CA120000}"/>
    <cellStyle name="Calculation 5 3 7 2" xfId="26697" xr:uid="{00000000-0005-0000-0000-0000CB120000}"/>
    <cellStyle name="Calculation 5 3 8" xfId="9538" xr:uid="{00000000-0005-0000-0000-0000CC120000}"/>
    <cellStyle name="Calculation 5 3 8 2" xfId="19840" xr:uid="{00000000-0005-0000-0000-0000CD120000}"/>
    <cellStyle name="Calculation 5 4" xfId="1507" xr:uid="{00000000-0005-0000-0000-0000CE120000}"/>
    <cellStyle name="Calculation 5 4 2" xfId="2004" xr:uid="{00000000-0005-0000-0000-0000CF120000}"/>
    <cellStyle name="Calculation 5 4 2 2" xfId="3652" xr:uid="{00000000-0005-0000-0000-0000D0120000}"/>
    <cellStyle name="Calculation 5 4 2 2 2" xfId="7711" xr:uid="{00000000-0005-0000-0000-0000D1120000}"/>
    <cellStyle name="Calculation 5 4 2 2 2 2" xfId="23609" xr:uid="{00000000-0005-0000-0000-0000D2120000}"/>
    <cellStyle name="Calculation 5 4 2 2 3" xfId="13987" xr:uid="{00000000-0005-0000-0000-0000D3120000}"/>
    <cellStyle name="Calculation 5 4 2 2 3 2" xfId="28819" xr:uid="{00000000-0005-0000-0000-0000D4120000}"/>
    <cellStyle name="Calculation 5 4 2 2 4" xfId="21274" xr:uid="{00000000-0005-0000-0000-0000D5120000}"/>
    <cellStyle name="Calculation 5 4 2 3" xfId="4972" xr:uid="{00000000-0005-0000-0000-0000D6120000}"/>
    <cellStyle name="Calculation 5 4 2 3 2" xfId="9011" xr:uid="{00000000-0005-0000-0000-0000D7120000}"/>
    <cellStyle name="Calculation 5 4 2 3 2 2" xfId="24477" xr:uid="{00000000-0005-0000-0000-0000D8120000}"/>
    <cellStyle name="Calculation 5 4 2 3 3" xfId="15294" xr:uid="{00000000-0005-0000-0000-0000D9120000}"/>
    <cellStyle name="Calculation 5 4 2 3 3 2" xfId="30126" xr:uid="{00000000-0005-0000-0000-0000DA120000}"/>
    <cellStyle name="Calculation 5 4 2 3 4" xfId="22003" xr:uid="{00000000-0005-0000-0000-0000DB120000}"/>
    <cellStyle name="Calculation 5 4 2 4" xfId="2962" xr:uid="{00000000-0005-0000-0000-0000DC120000}"/>
    <cellStyle name="Calculation 5 4 2 4 2" xfId="7042" xr:uid="{00000000-0005-0000-0000-0000DD120000}"/>
    <cellStyle name="Calculation 5 4 2 4 2 2" xfId="23216" xr:uid="{00000000-0005-0000-0000-0000DE120000}"/>
    <cellStyle name="Calculation 5 4 2 4 3" xfId="13300" xr:uid="{00000000-0005-0000-0000-0000DF120000}"/>
    <cellStyle name="Calculation 5 4 2 4 3 2" xfId="28132" xr:uid="{00000000-0005-0000-0000-0000E0120000}"/>
    <cellStyle name="Calculation 5 4 2 4 4" xfId="20888" xr:uid="{00000000-0005-0000-0000-0000E1120000}"/>
    <cellStyle name="Calculation 5 4 2 5" xfId="6134" xr:uid="{00000000-0005-0000-0000-0000E2120000}"/>
    <cellStyle name="Calculation 5 4 2 5 2" xfId="16321" xr:uid="{00000000-0005-0000-0000-0000E3120000}"/>
    <cellStyle name="Calculation 5 4 2 5 2 2" xfId="31153" xr:uid="{00000000-0005-0000-0000-0000E4120000}"/>
    <cellStyle name="Calculation 5 4 2 5 3" xfId="22667" xr:uid="{00000000-0005-0000-0000-0000E5120000}"/>
    <cellStyle name="Calculation 5 4 2 6" xfId="12391" xr:uid="{00000000-0005-0000-0000-0000E6120000}"/>
    <cellStyle name="Calculation 5 4 2 6 2" xfId="27223" xr:uid="{00000000-0005-0000-0000-0000E7120000}"/>
    <cellStyle name="Calculation 5 4 2 7" xfId="9973" xr:uid="{00000000-0005-0000-0000-0000E8120000}"/>
    <cellStyle name="Calculation 5 4 2 7 2" xfId="20171" xr:uid="{00000000-0005-0000-0000-0000E9120000}"/>
    <cellStyle name="Calculation 5 4 3" xfId="3178" xr:uid="{00000000-0005-0000-0000-0000EA120000}"/>
    <cellStyle name="Calculation 5 4 3 2" xfId="7242" xr:uid="{00000000-0005-0000-0000-0000EB120000}"/>
    <cellStyle name="Calculation 5 4 3 2 2" xfId="23300" xr:uid="{00000000-0005-0000-0000-0000EC120000}"/>
    <cellStyle name="Calculation 5 4 3 3" xfId="13516" xr:uid="{00000000-0005-0000-0000-0000ED120000}"/>
    <cellStyle name="Calculation 5 4 3 3 2" xfId="28348" xr:uid="{00000000-0005-0000-0000-0000EE120000}"/>
    <cellStyle name="Calculation 5 4 3 4" xfId="20990" xr:uid="{00000000-0005-0000-0000-0000EF120000}"/>
    <cellStyle name="Calculation 5 4 4" xfId="4552" xr:uid="{00000000-0005-0000-0000-0000F0120000}"/>
    <cellStyle name="Calculation 5 4 4 2" xfId="8591" xr:uid="{00000000-0005-0000-0000-0000F1120000}"/>
    <cellStyle name="Calculation 5 4 4 2 2" xfId="24217" xr:uid="{00000000-0005-0000-0000-0000F2120000}"/>
    <cellStyle name="Calculation 5 4 4 3" xfId="14879" xr:uid="{00000000-0005-0000-0000-0000F3120000}"/>
    <cellStyle name="Calculation 5 4 4 3 2" xfId="29711" xr:uid="{00000000-0005-0000-0000-0000F4120000}"/>
    <cellStyle name="Calculation 5 4 4 4" xfId="21773" xr:uid="{00000000-0005-0000-0000-0000F5120000}"/>
    <cellStyle name="Calculation 5 4 5" xfId="2542" xr:uid="{00000000-0005-0000-0000-0000F6120000}"/>
    <cellStyle name="Calculation 5 4 5 2" xfId="6648" xr:uid="{00000000-0005-0000-0000-0000F7120000}"/>
    <cellStyle name="Calculation 5 4 5 2 2" xfId="22986" xr:uid="{00000000-0005-0000-0000-0000F8120000}"/>
    <cellStyle name="Calculation 5 4 5 3" xfId="12880" xr:uid="{00000000-0005-0000-0000-0000F9120000}"/>
    <cellStyle name="Calculation 5 4 5 3 2" xfId="27712" xr:uid="{00000000-0005-0000-0000-0000FA120000}"/>
    <cellStyle name="Calculation 5 4 5 4" xfId="20628" xr:uid="{00000000-0005-0000-0000-0000FB120000}"/>
    <cellStyle name="Calculation 5 4 6" xfId="5665" xr:uid="{00000000-0005-0000-0000-0000FC120000}"/>
    <cellStyle name="Calculation 5 4 6 2" xfId="15900" xr:uid="{00000000-0005-0000-0000-0000FD120000}"/>
    <cellStyle name="Calculation 5 4 6 2 2" xfId="30732" xr:uid="{00000000-0005-0000-0000-0000FE120000}"/>
    <cellStyle name="Calculation 5 4 6 3" xfId="22361" xr:uid="{00000000-0005-0000-0000-0000FF120000}"/>
    <cellStyle name="Calculation 5 4 7" xfId="11920" xr:uid="{00000000-0005-0000-0000-000000130000}"/>
    <cellStyle name="Calculation 5 4 7 2" xfId="26752" xr:uid="{00000000-0005-0000-0000-000001130000}"/>
    <cellStyle name="Calculation 5 4 8" xfId="9578" xr:uid="{00000000-0005-0000-0000-000002130000}"/>
    <cellStyle name="Calculation 5 4 8 2" xfId="19880" xr:uid="{00000000-0005-0000-0000-000003130000}"/>
    <cellStyle name="Calculation 5 5" xfId="1433" xr:uid="{00000000-0005-0000-0000-000004130000}"/>
    <cellStyle name="Calculation 5 5 2" xfId="1934" xr:uid="{00000000-0005-0000-0000-000005130000}"/>
    <cellStyle name="Calculation 5 5 2 2" xfId="3121" xr:uid="{00000000-0005-0000-0000-000006130000}"/>
    <cellStyle name="Calculation 5 5 2 2 2" xfId="7186" xr:uid="{00000000-0005-0000-0000-000007130000}"/>
    <cellStyle name="Calculation 5 5 2 2 2 2" xfId="23260" xr:uid="{00000000-0005-0000-0000-000008130000}"/>
    <cellStyle name="Calculation 5 5 2 2 3" xfId="13459" xr:uid="{00000000-0005-0000-0000-000009130000}"/>
    <cellStyle name="Calculation 5 5 2 2 3 2" xfId="28291" xr:uid="{00000000-0005-0000-0000-00000A130000}"/>
    <cellStyle name="Calculation 5 5 2 2 4" xfId="20950" xr:uid="{00000000-0005-0000-0000-00000B130000}"/>
    <cellStyle name="Calculation 5 5 2 3" xfId="4913" xr:uid="{00000000-0005-0000-0000-00000C130000}"/>
    <cellStyle name="Calculation 5 5 2 3 2" xfId="8952" xr:uid="{00000000-0005-0000-0000-00000D130000}"/>
    <cellStyle name="Calculation 5 5 2 3 2 2" xfId="24418" xr:uid="{00000000-0005-0000-0000-00000E130000}"/>
    <cellStyle name="Calculation 5 5 2 3 3" xfId="15235" xr:uid="{00000000-0005-0000-0000-00000F130000}"/>
    <cellStyle name="Calculation 5 5 2 3 3 2" xfId="30067" xr:uid="{00000000-0005-0000-0000-000010130000}"/>
    <cellStyle name="Calculation 5 5 2 3 4" xfId="21948" xr:uid="{00000000-0005-0000-0000-000011130000}"/>
    <cellStyle name="Calculation 5 5 2 4" xfId="2903" xr:uid="{00000000-0005-0000-0000-000012130000}"/>
    <cellStyle name="Calculation 5 5 2 4 2" xfId="6987" xr:uid="{00000000-0005-0000-0000-000013130000}"/>
    <cellStyle name="Calculation 5 5 2 4 2 2" xfId="23161" xr:uid="{00000000-0005-0000-0000-000014130000}"/>
    <cellStyle name="Calculation 5 5 2 4 3" xfId="13241" xr:uid="{00000000-0005-0000-0000-000015130000}"/>
    <cellStyle name="Calculation 5 5 2 4 3 2" xfId="28073" xr:uid="{00000000-0005-0000-0000-000016130000}"/>
    <cellStyle name="Calculation 5 5 2 4 4" xfId="20829" xr:uid="{00000000-0005-0000-0000-000017130000}"/>
    <cellStyle name="Calculation 5 5 2 5" xfId="6064" xr:uid="{00000000-0005-0000-0000-000018130000}"/>
    <cellStyle name="Calculation 5 5 2 5 2" xfId="16251" xr:uid="{00000000-0005-0000-0000-000019130000}"/>
    <cellStyle name="Calculation 5 5 2 5 2 2" xfId="31083" xr:uid="{00000000-0005-0000-0000-00001A130000}"/>
    <cellStyle name="Calculation 5 5 2 5 3" xfId="22597" xr:uid="{00000000-0005-0000-0000-00001B130000}"/>
    <cellStyle name="Calculation 5 5 2 6" xfId="12321" xr:uid="{00000000-0005-0000-0000-00001C130000}"/>
    <cellStyle name="Calculation 5 5 2 6 2" xfId="27153" xr:uid="{00000000-0005-0000-0000-00001D130000}"/>
    <cellStyle name="Calculation 5 5 2 7" xfId="9918" xr:uid="{00000000-0005-0000-0000-00001E130000}"/>
    <cellStyle name="Calculation 5 5 2 7 2" xfId="20120" xr:uid="{00000000-0005-0000-0000-00001F130000}"/>
    <cellStyle name="Calculation 5 5 3" xfId="3431" xr:uid="{00000000-0005-0000-0000-000020130000}"/>
    <cellStyle name="Calculation 5 5 3 2" xfId="7494" xr:uid="{00000000-0005-0000-0000-000021130000}"/>
    <cellStyle name="Calculation 5 5 3 2 2" xfId="23471" xr:uid="{00000000-0005-0000-0000-000022130000}"/>
    <cellStyle name="Calculation 5 5 3 3" xfId="13768" xr:uid="{00000000-0005-0000-0000-000023130000}"/>
    <cellStyle name="Calculation 5 5 3 3 2" xfId="28600" xr:uid="{00000000-0005-0000-0000-000024130000}"/>
    <cellStyle name="Calculation 5 5 3 4" xfId="21147" xr:uid="{00000000-0005-0000-0000-000025130000}"/>
    <cellStyle name="Calculation 5 5 4" xfId="4493" xr:uid="{00000000-0005-0000-0000-000026130000}"/>
    <cellStyle name="Calculation 5 5 4 2" xfId="8532" xr:uid="{00000000-0005-0000-0000-000027130000}"/>
    <cellStyle name="Calculation 5 5 4 2 2" xfId="24158" xr:uid="{00000000-0005-0000-0000-000028130000}"/>
    <cellStyle name="Calculation 5 5 4 3" xfId="14820" xr:uid="{00000000-0005-0000-0000-000029130000}"/>
    <cellStyle name="Calculation 5 5 4 3 2" xfId="29652" xr:uid="{00000000-0005-0000-0000-00002A130000}"/>
    <cellStyle name="Calculation 5 5 4 4" xfId="21718" xr:uid="{00000000-0005-0000-0000-00002B130000}"/>
    <cellStyle name="Calculation 5 5 5" xfId="2483" xr:uid="{00000000-0005-0000-0000-00002C130000}"/>
    <cellStyle name="Calculation 5 5 5 2" xfId="6589" xr:uid="{00000000-0005-0000-0000-00002D130000}"/>
    <cellStyle name="Calculation 5 5 5 2 2" xfId="22927" xr:uid="{00000000-0005-0000-0000-00002E130000}"/>
    <cellStyle name="Calculation 5 5 5 3" xfId="12821" xr:uid="{00000000-0005-0000-0000-00002F130000}"/>
    <cellStyle name="Calculation 5 5 5 3 2" xfId="27653" xr:uid="{00000000-0005-0000-0000-000030130000}"/>
    <cellStyle name="Calculation 5 5 5 4" xfId="20573" xr:uid="{00000000-0005-0000-0000-000031130000}"/>
    <cellStyle name="Calculation 5 5 6" xfId="5606" xr:uid="{00000000-0005-0000-0000-000032130000}"/>
    <cellStyle name="Calculation 5 5 6 2" xfId="15841" xr:uid="{00000000-0005-0000-0000-000033130000}"/>
    <cellStyle name="Calculation 5 5 6 2 2" xfId="30673" xr:uid="{00000000-0005-0000-0000-000034130000}"/>
    <cellStyle name="Calculation 5 5 6 3" xfId="22302" xr:uid="{00000000-0005-0000-0000-000035130000}"/>
    <cellStyle name="Calculation 5 5 7" xfId="11850" xr:uid="{00000000-0005-0000-0000-000036130000}"/>
    <cellStyle name="Calculation 5 5 7 2" xfId="26682" xr:uid="{00000000-0005-0000-0000-000037130000}"/>
    <cellStyle name="Calculation 5 5 8" xfId="9523" xr:uid="{00000000-0005-0000-0000-000038130000}"/>
    <cellStyle name="Calculation 5 5 8 2" xfId="19825" xr:uid="{00000000-0005-0000-0000-000039130000}"/>
    <cellStyle name="Calculation 5 6" xfId="1725" xr:uid="{00000000-0005-0000-0000-00003A130000}"/>
    <cellStyle name="Calculation 5 6 2" xfId="4054" xr:uid="{00000000-0005-0000-0000-00003B130000}"/>
    <cellStyle name="Calculation 5 6 2 2" xfId="8101" xr:uid="{00000000-0005-0000-0000-00003C130000}"/>
    <cellStyle name="Calculation 5 6 2 2 2" xfId="23863" xr:uid="{00000000-0005-0000-0000-00003D130000}"/>
    <cellStyle name="Calculation 5 6 2 3" xfId="14386" xr:uid="{00000000-0005-0000-0000-00003E130000}"/>
    <cellStyle name="Calculation 5 6 2 3 2" xfId="29218" xr:uid="{00000000-0005-0000-0000-00003F130000}"/>
    <cellStyle name="Calculation 5 6 2 4" xfId="21497" xr:uid="{00000000-0005-0000-0000-000040130000}"/>
    <cellStyle name="Calculation 5 6 3" xfId="4718" xr:uid="{00000000-0005-0000-0000-000041130000}"/>
    <cellStyle name="Calculation 5 6 3 2" xfId="8757" xr:uid="{00000000-0005-0000-0000-000042130000}"/>
    <cellStyle name="Calculation 5 6 3 2 2" xfId="24287" xr:uid="{00000000-0005-0000-0000-000043130000}"/>
    <cellStyle name="Calculation 5 6 3 3" xfId="15042" xr:uid="{00000000-0005-0000-0000-000044130000}"/>
    <cellStyle name="Calculation 5 6 3 3 2" xfId="29874" xr:uid="{00000000-0005-0000-0000-000045130000}"/>
    <cellStyle name="Calculation 5 6 3 4" xfId="21825" xr:uid="{00000000-0005-0000-0000-000046130000}"/>
    <cellStyle name="Calculation 5 6 4" xfId="2708" xr:uid="{00000000-0005-0000-0000-000047130000}"/>
    <cellStyle name="Calculation 5 6 4 2" xfId="6799" xr:uid="{00000000-0005-0000-0000-000048130000}"/>
    <cellStyle name="Calculation 5 6 4 2 2" xfId="23038" xr:uid="{00000000-0005-0000-0000-000049130000}"/>
    <cellStyle name="Calculation 5 6 4 3" xfId="13046" xr:uid="{00000000-0005-0000-0000-00004A130000}"/>
    <cellStyle name="Calculation 5 6 4 3 2" xfId="27878" xr:uid="{00000000-0005-0000-0000-00004B130000}"/>
    <cellStyle name="Calculation 5 6 4 4" xfId="20698" xr:uid="{00000000-0005-0000-0000-00004C130000}"/>
    <cellStyle name="Calculation 5 6 5" xfId="5857" xr:uid="{00000000-0005-0000-0000-00004D130000}"/>
    <cellStyle name="Calculation 5 6 5 2" xfId="16049" xr:uid="{00000000-0005-0000-0000-00004E130000}"/>
    <cellStyle name="Calculation 5 6 5 2 2" xfId="30881" xr:uid="{00000000-0005-0000-0000-00004F130000}"/>
    <cellStyle name="Calculation 5 6 5 3" xfId="22454" xr:uid="{00000000-0005-0000-0000-000050130000}"/>
    <cellStyle name="Calculation 5 6 6" xfId="12119" xr:uid="{00000000-0005-0000-0000-000051130000}"/>
    <cellStyle name="Calculation 5 6 6 2" xfId="26951" xr:uid="{00000000-0005-0000-0000-000052130000}"/>
    <cellStyle name="Calculation 5 6 7" xfId="9730" xr:uid="{00000000-0005-0000-0000-000053130000}"/>
    <cellStyle name="Calculation 5 6 7 2" xfId="20028" xr:uid="{00000000-0005-0000-0000-000054130000}"/>
    <cellStyle name="Calculation 5 7" xfId="2226" xr:uid="{00000000-0005-0000-0000-000055130000}"/>
    <cellStyle name="Calculation 5 7 2" xfId="4141" xr:uid="{00000000-0005-0000-0000-000056130000}"/>
    <cellStyle name="Calculation 5 7 2 2" xfId="8185" xr:uid="{00000000-0005-0000-0000-000057130000}"/>
    <cellStyle name="Calculation 5 7 2 2 2" xfId="23914" xr:uid="{00000000-0005-0000-0000-000058130000}"/>
    <cellStyle name="Calculation 5 7 2 3" xfId="14473" xr:uid="{00000000-0005-0000-0000-000059130000}"/>
    <cellStyle name="Calculation 5 7 2 3 2" xfId="29305" xr:uid="{00000000-0005-0000-0000-00005A130000}"/>
    <cellStyle name="Calculation 5 7 2 4" xfId="21541" xr:uid="{00000000-0005-0000-0000-00005B130000}"/>
    <cellStyle name="Calculation 5 7 3" xfId="5194" xr:uid="{00000000-0005-0000-0000-00005C130000}"/>
    <cellStyle name="Calculation 5 7 3 2" xfId="9233" xr:uid="{00000000-0005-0000-0000-00005D130000}"/>
    <cellStyle name="Calculation 5 7 3 2 2" xfId="24571" xr:uid="{00000000-0005-0000-0000-00005E130000}"/>
    <cellStyle name="Calculation 5 7 3 3" xfId="15512" xr:uid="{00000000-0005-0000-0000-00005F130000}"/>
    <cellStyle name="Calculation 5 7 3 3 2" xfId="30344" xr:uid="{00000000-0005-0000-0000-000060130000}"/>
    <cellStyle name="Calculation 5 7 3 4" xfId="22078" xr:uid="{00000000-0005-0000-0000-000061130000}"/>
    <cellStyle name="Calculation 5 7 4" xfId="4224" xr:uid="{00000000-0005-0000-0000-000062130000}"/>
    <cellStyle name="Calculation 5 7 4 2" xfId="8265" xr:uid="{00000000-0005-0000-0000-000063130000}"/>
    <cellStyle name="Calculation 5 7 4 2 2" xfId="23960" xr:uid="{00000000-0005-0000-0000-000064130000}"/>
    <cellStyle name="Calculation 5 7 4 3" xfId="14556" xr:uid="{00000000-0005-0000-0000-000065130000}"/>
    <cellStyle name="Calculation 5 7 4 3 2" xfId="29388" xr:uid="{00000000-0005-0000-0000-000066130000}"/>
    <cellStyle name="Calculation 5 7 4 4" xfId="21585" xr:uid="{00000000-0005-0000-0000-000067130000}"/>
    <cellStyle name="Calculation 5 7 5" xfId="6340" xr:uid="{00000000-0005-0000-0000-000068130000}"/>
    <cellStyle name="Calculation 5 7 5 2" xfId="22742" xr:uid="{00000000-0005-0000-0000-000069130000}"/>
    <cellStyle name="Calculation 5 7 6" xfId="12594" xr:uid="{00000000-0005-0000-0000-00006A130000}"/>
    <cellStyle name="Calculation 5 7 6 2" xfId="27426" xr:uid="{00000000-0005-0000-0000-00006B130000}"/>
    <cellStyle name="Calculation 5 7 7" xfId="20421" xr:uid="{00000000-0005-0000-0000-00006C130000}"/>
    <cellStyle name="Calculation 5 8" xfId="3560" xr:uid="{00000000-0005-0000-0000-00006D130000}"/>
    <cellStyle name="Calculation 5 8 2" xfId="7622" xr:uid="{00000000-0005-0000-0000-00006E130000}"/>
    <cellStyle name="Calculation 5 8 2 2" xfId="23552" xr:uid="{00000000-0005-0000-0000-00006F130000}"/>
    <cellStyle name="Calculation 5 8 3" xfId="13896" xr:uid="{00000000-0005-0000-0000-000070130000}"/>
    <cellStyle name="Calculation 5 8 3 2" xfId="28728" xr:uid="{00000000-0005-0000-0000-000071130000}"/>
    <cellStyle name="Calculation 5 8 4" xfId="21222" xr:uid="{00000000-0005-0000-0000-000072130000}"/>
    <cellStyle name="Calculation 5 9" xfId="3136" xr:uid="{00000000-0005-0000-0000-000073130000}"/>
    <cellStyle name="Calculation 5 9 2" xfId="7200" xr:uid="{00000000-0005-0000-0000-000074130000}"/>
    <cellStyle name="Calculation 5 9 2 2" xfId="23272" xr:uid="{00000000-0005-0000-0000-000075130000}"/>
    <cellStyle name="Calculation 5 9 3" xfId="13474" xr:uid="{00000000-0005-0000-0000-000076130000}"/>
    <cellStyle name="Calculation 5 9 3 2" xfId="28306" xr:uid="{00000000-0005-0000-0000-000077130000}"/>
    <cellStyle name="Calculation 5 9 4" xfId="20963" xr:uid="{00000000-0005-0000-0000-000078130000}"/>
    <cellStyle name="Calculation 6" xfId="973" xr:uid="{00000000-0005-0000-0000-000079130000}"/>
    <cellStyle name="Calculation 6 10" xfId="2279" xr:uid="{00000000-0005-0000-0000-00007A130000}"/>
    <cellStyle name="Calculation 6 10 2" xfId="6391" xr:uid="{00000000-0005-0000-0000-00007B130000}"/>
    <cellStyle name="Calculation 6 10 2 2" xfId="22793" xr:uid="{00000000-0005-0000-0000-00007C130000}"/>
    <cellStyle name="Calculation 6 10 3" xfId="12619" xr:uid="{00000000-0005-0000-0000-00007D130000}"/>
    <cellStyle name="Calculation 6 10 3 2" xfId="27451" xr:uid="{00000000-0005-0000-0000-00007E130000}"/>
    <cellStyle name="Calculation 6 10 4" xfId="20445" xr:uid="{00000000-0005-0000-0000-00007F130000}"/>
    <cellStyle name="Calculation 6 11" xfId="5245" xr:uid="{00000000-0005-0000-0000-000080130000}"/>
    <cellStyle name="Calculation 6 11 2" xfId="15561" xr:uid="{00000000-0005-0000-0000-000081130000}"/>
    <cellStyle name="Calculation 6 11 2 2" xfId="30393" xr:uid="{00000000-0005-0000-0000-000082130000}"/>
    <cellStyle name="Calculation 6 11 3" xfId="22102" xr:uid="{00000000-0005-0000-0000-000083130000}"/>
    <cellStyle name="Calculation 6 12" xfId="5403" xr:uid="{00000000-0005-0000-0000-000084130000}"/>
    <cellStyle name="Calculation 6 12 2" xfId="15639" xr:uid="{00000000-0005-0000-0000-000085130000}"/>
    <cellStyle name="Calculation 6 12 2 2" xfId="30471" xr:uid="{00000000-0005-0000-0000-000086130000}"/>
    <cellStyle name="Calculation 6 12 3" xfId="22164" xr:uid="{00000000-0005-0000-0000-000087130000}"/>
    <cellStyle name="Calculation 6 13" xfId="9388" xr:uid="{00000000-0005-0000-0000-000088130000}"/>
    <cellStyle name="Calculation 6 13 2" xfId="24694" xr:uid="{00000000-0005-0000-0000-000089130000}"/>
    <cellStyle name="Calculation 6 14" xfId="6694" xr:uid="{00000000-0005-0000-0000-00008A130000}"/>
    <cellStyle name="Calculation 6 14 2" xfId="18705" xr:uid="{00000000-0005-0000-0000-00008B130000}"/>
    <cellStyle name="Calculation 6 2" xfId="1315" xr:uid="{00000000-0005-0000-0000-00008C130000}"/>
    <cellStyle name="Calculation 6 2 2" xfId="1819" xr:uid="{00000000-0005-0000-0000-00008D130000}"/>
    <cellStyle name="Calculation 6 2 2 2" xfId="4104" xr:uid="{00000000-0005-0000-0000-00008E130000}"/>
    <cellStyle name="Calculation 6 2 2 2 2" xfId="8150" xr:uid="{00000000-0005-0000-0000-00008F130000}"/>
    <cellStyle name="Calculation 6 2 2 2 2 2" xfId="23893" xr:uid="{00000000-0005-0000-0000-000090130000}"/>
    <cellStyle name="Calculation 6 2 2 2 3" xfId="14436" xr:uid="{00000000-0005-0000-0000-000091130000}"/>
    <cellStyle name="Calculation 6 2 2 2 3 2" xfId="29268" xr:uid="{00000000-0005-0000-0000-000092130000}"/>
    <cellStyle name="Calculation 6 2 2 2 4" xfId="21523" xr:uid="{00000000-0005-0000-0000-000093130000}"/>
    <cellStyle name="Calculation 6 2 2 3" xfId="4797" xr:uid="{00000000-0005-0000-0000-000094130000}"/>
    <cellStyle name="Calculation 6 2 2 3 2" xfId="8836" xr:uid="{00000000-0005-0000-0000-000095130000}"/>
    <cellStyle name="Calculation 6 2 2 3 2 2" xfId="24334" xr:uid="{00000000-0005-0000-0000-000096130000}"/>
    <cellStyle name="Calculation 6 2 2 3 3" xfId="15121" xr:uid="{00000000-0005-0000-0000-000097130000}"/>
    <cellStyle name="Calculation 6 2 2 3 3 2" xfId="29953" xr:uid="{00000000-0005-0000-0000-000098130000}"/>
    <cellStyle name="Calculation 6 2 2 3 4" xfId="21872" xr:uid="{00000000-0005-0000-0000-000099130000}"/>
    <cellStyle name="Calculation 6 2 2 4" xfId="2787" xr:uid="{00000000-0005-0000-0000-00009A130000}"/>
    <cellStyle name="Calculation 6 2 2 4 2" xfId="6878" xr:uid="{00000000-0005-0000-0000-00009B130000}"/>
    <cellStyle name="Calculation 6 2 2 4 2 2" xfId="23085" xr:uid="{00000000-0005-0000-0000-00009C130000}"/>
    <cellStyle name="Calculation 6 2 2 4 3" xfId="13125" xr:uid="{00000000-0005-0000-0000-00009D130000}"/>
    <cellStyle name="Calculation 6 2 2 4 3 2" xfId="27957" xr:uid="{00000000-0005-0000-0000-00009E130000}"/>
    <cellStyle name="Calculation 6 2 2 4 4" xfId="20745" xr:uid="{00000000-0005-0000-0000-00009F130000}"/>
    <cellStyle name="Calculation 6 2 2 5" xfId="5951" xr:uid="{00000000-0005-0000-0000-0000A0130000}"/>
    <cellStyle name="Calculation 6 2 2 5 2" xfId="16143" xr:uid="{00000000-0005-0000-0000-0000A1130000}"/>
    <cellStyle name="Calculation 6 2 2 5 2 2" xfId="30975" xr:uid="{00000000-0005-0000-0000-0000A2130000}"/>
    <cellStyle name="Calculation 6 2 2 5 3" xfId="22516" xr:uid="{00000000-0005-0000-0000-0000A3130000}"/>
    <cellStyle name="Calculation 6 2 2 6" xfId="12213" xr:uid="{00000000-0005-0000-0000-0000A4130000}"/>
    <cellStyle name="Calculation 6 2 2 6 2" xfId="27045" xr:uid="{00000000-0005-0000-0000-0000A5130000}"/>
    <cellStyle name="Calculation 6 2 2 7" xfId="9809" xr:uid="{00000000-0005-0000-0000-0000A6130000}"/>
    <cellStyle name="Calculation 6 2 2 7 2" xfId="20060" xr:uid="{00000000-0005-0000-0000-0000A7130000}"/>
    <cellStyle name="Calculation 6 2 3" xfId="3944" xr:uid="{00000000-0005-0000-0000-0000A8130000}"/>
    <cellStyle name="Calculation 6 2 3 2" xfId="7994" xr:uid="{00000000-0005-0000-0000-0000A9130000}"/>
    <cellStyle name="Calculation 6 2 3 2 2" xfId="23795" xr:uid="{00000000-0005-0000-0000-0000AA130000}"/>
    <cellStyle name="Calculation 6 2 3 3" xfId="14277" xr:uid="{00000000-0005-0000-0000-0000AB130000}"/>
    <cellStyle name="Calculation 6 2 3 3 2" xfId="29109" xr:uid="{00000000-0005-0000-0000-0000AC130000}"/>
    <cellStyle name="Calculation 6 2 3 4" xfId="21437" xr:uid="{00000000-0005-0000-0000-0000AD130000}"/>
    <cellStyle name="Calculation 6 2 4" xfId="4377" xr:uid="{00000000-0005-0000-0000-0000AE130000}"/>
    <cellStyle name="Calculation 6 2 4 2" xfId="8416" xr:uid="{00000000-0005-0000-0000-0000AF130000}"/>
    <cellStyle name="Calculation 6 2 4 2 2" xfId="24074" xr:uid="{00000000-0005-0000-0000-0000B0130000}"/>
    <cellStyle name="Calculation 6 2 4 3" xfId="14706" xr:uid="{00000000-0005-0000-0000-0000B1130000}"/>
    <cellStyle name="Calculation 6 2 4 3 2" xfId="29538" xr:uid="{00000000-0005-0000-0000-0000B2130000}"/>
    <cellStyle name="Calculation 6 2 4 4" xfId="21642" xr:uid="{00000000-0005-0000-0000-0000B3130000}"/>
    <cellStyle name="Calculation 6 2 5" xfId="2367" xr:uid="{00000000-0005-0000-0000-0000B4130000}"/>
    <cellStyle name="Calculation 6 2 5 2" xfId="6479" xr:uid="{00000000-0005-0000-0000-0000B5130000}"/>
    <cellStyle name="Calculation 6 2 5 2 2" xfId="22849" xr:uid="{00000000-0005-0000-0000-0000B6130000}"/>
    <cellStyle name="Calculation 6 2 5 3" xfId="12706" xr:uid="{00000000-0005-0000-0000-0000B7130000}"/>
    <cellStyle name="Calculation 6 2 5 3 2" xfId="27538" xr:uid="{00000000-0005-0000-0000-0000B8130000}"/>
    <cellStyle name="Calculation 6 2 5 4" xfId="20491" xr:uid="{00000000-0005-0000-0000-0000B9130000}"/>
    <cellStyle name="Calculation 6 2 6" xfId="5492" xr:uid="{00000000-0005-0000-0000-0000BA130000}"/>
    <cellStyle name="Calculation 6 2 6 2" xfId="15727" xr:uid="{00000000-0005-0000-0000-0000BB130000}"/>
    <cellStyle name="Calculation 6 2 6 2 2" xfId="30559" xr:uid="{00000000-0005-0000-0000-0000BC130000}"/>
    <cellStyle name="Calculation 6 2 6 3" xfId="22220" xr:uid="{00000000-0005-0000-0000-0000BD130000}"/>
    <cellStyle name="Calculation 6 2 7" xfId="11742" xr:uid="{00000000-0005-0000-0000-0000BE130000}"/>
    <cellStyle name="Calculation 6 2 7 2" xfId="26574" xr:uid="{00000000-0005-0000-0000-0000BF130000}"/>
    <cellStyle name="Calculation 6 2 8" xfId="9413" xr:uid="{00000000-0005-0000-0000-0000C0130000}"/>
    <cellStyle name="Calculation 6 2 8 2" xfId="19717" xr:uid="{00000000-0005-0000-0000-0000C1130000}"/>
    <cellStyle name="Calculation 6 3" xfId="1449" xr:uid="{00000000-0005-0000-0000-0000C2130000}"/>
    <cellStyle name="Calculation 6 3 2" xfId="1950" xr:uid="{00000000-0005-0000-0000-0000C3130000}"/>
    <cellStyle name="Calculation 6 3 2 2" xfId="3480" xr:uid="{00000000-0005-0000-0000-0000C4130000}"/>
    <cellStyle name="Calculation 6 3 2 2 2" xfId="7542" xr:uid="{00000000-0005-0000-0000-0000C5130000}"/>
    <cellStyle name="Calculation 6 3 2 2 2 2" xfId="23506" xr:uid="{00000000-0005-0000-0000-0000C6130000}"/>
    <cellStyle name="Calculation 6 3 2 2 3" xfId="13817" xr:uid="{00000000-0005-0000-0000-0000C7130000}"/>
    <cellStyle name="Calculation 6 3 2 2 3 2" xfId="28649" xr:uid="{00000000-0005-0000-0000-0000C8130000}"/>
    <cellStyle name="Calculation 6 3 2 2 4" xfId="21182" xr:uid="{00000000-0005-0000-0000-0000C9130000}"/>
    <cellStyle name="Calculation 6 3 2 3" xfId="4929" xr:uid="{00000000-0005-0000-0000-0000CA130000}"/>
    <cellStyle name="Calculation 6 3 2 3 2" xfId="8968" xr:uid="{00000000-0005-0000-0000-0000CB130000}"/>
    <cellStyle name="Calculation 6 3 2 3 2 2" xfId="24434" xr:uid="{00000000-0005-0000-0000-0000CC130000}"/>
    <cellStyle name="Calculation 6 3 2 3 3" xfId="15251" xr:uid="{00000000-0005-0000-0000-0000CD130000}"/>
    <cellStyle name="Calculation 6 3 2 3 3 2" xfId="30083" xr:uid="{00000000-0005-0000-0000-0000CE130000}"/>
    <cellStyle name="Calculation 6 3 2 3 4" xfId="21964" xr:uid="{00000000-0005-0000-0000-0000CF130000}"/>
    <cellStyle name="Calculation 6 3 2 4" xfId="2919" xr:uid="{00000000-0005-0000-0000-0000D0130000}"/>
    <cellStyle name="Calculation 6 3 2 4 2" xfId="7003" xr:uid="{00000000-0005-0000-0000-0000D1130000}"/>
    <cellStyle name="Calculation 6 3 2 4 2 2" xfId="23177" xr:uid="{00000000-0005-0000-0000-0000D2130000}"/>
    <cellStyle name="Calculation 6 3 2 4 3" xfId="13257" xr:uid="{00000000-0005-0000-0000-0000D3130000}"/>
    <cellStyle name="Calculation 6 3 2 4 3 2" xfId="28089" xr:uid="{00000000-0005-0000-0000-0000D4130000}"/>
    <cellStyle name="Calculation 6 3 2 4 4" xfId="20845" xr:uid="{00000000-0005-0000-0000-0000D5130000}"/>
    <cellStyle name="Calculation 6 3 2 5" xfId="6080" xr:uid="{00000000-0005-0000-0000-0000D6130000}"/>
    <cellStyle name="Calculation 6 3 2 5 2" xfId="16267" xr:uid="{00000000-0005-0000-0000-0000D7130000}"/>
    <cellStyle name="Calculation 6 3 2 5 2 2" xfId="31099" xr:uid="{00000000-0005-0000-0000-0000D8130000}"/>
    <cellStyle name="Calculation 6 3 2 5 3" xfId="22613" xr:uid="{00000000-0005-0000-0000-0000D9130000}"/>
    <cellStyle name="Calculation 6 3 2 6" xfId="12337" xr:uid="{00000000-0005-0000-0000-0000DA130000}"/>
    <cellStyle name="Calculation 6 3 2 6 2" xfId="27169" xr:uid="{00000000-0005-0000-0000-0000DB130000}"/>
    <cellStyle name="Calculation 6 3 2 7" xfId="9934" xr:uid="{00000000-0005-0000-0000-0000DC130000}"/>
    <cellStyle name="Calculation 6 3 2 7 2" xfId="20136" xr:uid="{00000000-0005-0000-0000-0000DD130000}"/>
    <cellStyle name="Calculation 6 3 3" xfId="4089" xr:uid="{00000000-0005-0000-0000-0000DE130000}"/>
    <cellStyle name="Calculation 6 3 3 2" xfId="8135" xr:uid="{00000000-0005-0000-0000-0000DF130000}"/>
    <cellStyle name="Calculation 6 3 3 2 2" xfId="23883" xr:uid="{00000000-0005-0000-0000-0000E0130000}"/>
    <cellStyle name="Calculation 6 3 3 3" xfId="14421" xr:uid="{00000000-0005-0000-0000-0000E1130000}"/>
    <cellStyle name="Calculation 6 3 3 3 2" xfId="29253" xr:uid="{00000000-0005-0000-0000-0000E2130000}"/>
    <cellStyle name="Calculation 6 3 3 4" xfId="21513" xr:uid="{00000000-0005-0000-0000-0000E3130000}"/>
    <cellStyle name="Calculation 6 3 4" xfId="4509" xr:uid="{00000000-0005-0000-0000-0000E4130000}"/>
    <cellStyle name="Calculation 6 3 4 2" xfId="8548" xr:uid="{00000000-0005-0000-0000-0000E5130000}"/>
    <cellStyle name="Calculation 6 3 4 2 2" xfId="24174" xr:uid="{00000000-0005-0000-0000-0000E6130000}"/>
    <cellStyle name="Calculation 6 3 4 3" xfId="14836" xr:uid="{00000000-0005-0000-0000-0000E7130000}"/>
    <cellStyle name="Calculation 6 3 4 3 2" xfId="29668" xr:uid="{00000000-0005-0000-0000-0000E8130000}"/>
    <cellStyle name="Calculation 6 3 4 4" xfId="21734" xr:uid="{00000000-0005-0000-0000-0000E9130000}"/>
    <cellStyle name="Calculation 6 3 5" xfId="2499" xr:uid="{00000000-0005-0000-0000-0000EA130000}"/>
    <cellStyle name="Calculation 6 3 5 2" xfId="6605" xr:uid="{00000000-0005-0000-0000-0000EB130000}"/>
    <cellStyle name="Calculation 6 3 5 2 2" xfId="22943" xr:uid="{00000000-0005-0000-0000-0000EC130000}"/>
    <cellStyle name="Calculation 6 3 5 3" xfId="12837" xr:uid="{00000000-0005-0000-0000-0000ED130000}"/>
    <cellStyle name="Calculation 6 3 5 3 2" xfId="27669" xr:uid="{00000000-0005-0000-0000-0000EE130000}"/>
    <cellStyle name="Calculation 6 3 5 4" xfId="20589" xr:uid="{00000000-0005-0000-0000-0000EF130000}"/>
    <cellStyle name="Calculation 6 3 6" xfId="5622" xr:uid="{00000000-0005-0000-0000-0000F0130000}"/>
    <cellStyle name="Calculation 6 3 6 2" xfId="15857" xr:uid="{00000000-0005-0000-0000-0000F1130000}"/>
    <cellStyle name="Calculation 6 3 6 2 2" xfId="30689" xr:uid="{00000000-0005-0000-0000-0000F2130000}"/>
    <cellStyle name="Calculation 6 3 6 3" xfId="22318" xr:uid="{00000000-0005-0000-0000-0000F3130000}"/>
    <cellStyle name="Calculation 6 3 7" xfId="11866" xr:uid="{00000000-0005-0000-0000-0000F4130000}"/>
    <cellStyle name="Calculation 6 3 7 2" xfId="26698" xr:uid="{00000000-0005-0000-0000-0000F5130000}"/>
    <cellStyle name="Calculation 6 3 8" xfId="9539" xr:uid="{00000000-0005-0000-0000-0000F6130000}"/>
    <cellStyle name="Calculation 6 3 8 2" xfId="19841" xr:uid="{00000000-0005-0000-0000-0000F7130000}"/>
    <cellStyle name="Calculation 6 4" xfId="1408" xr:uid="{00000000-0005-0000-0000-0000F8130000}"/>
    <cellStyle name="Calculation 6 4 2" xfId="1910" xr:uid="{00000000-0005-0000-0000-0000F9130000}"/>
    <cellStyle name="Calculation 6 4 2 2" xfId="3957" xr:uid="{00000000-0005-0000-0000-0000FA130000}"/>
    <cellStyle name="Calculation 6 4 2 2 2" xfId="8007" xr:uid="{00000000-0005-0000-0000-0000FB130000}"/>
    <cellStyle name="Calculation 6 4 2 2 2 2" xfId="23803" xr:uid="{00000000-0005-0000-0000-0000FC130000}"/>
    <cellStyle name="Calculation 6 4 2 2 3" xfId="14290" xr:uid="{00000000-0005-0000-0000-0000FD130000}"/>
    <cellStyle name="Calculation 6 4 2 2 3 2" xfId="29122" xr:uid="{00000000-0005-0000-0000-0000FE130000}"/>
    <cellStyle name="Calculation 6 4 2 2 4" xfId="21445" xr:uid="{00000000-0005-0000-0000-0000FF130000}"/>
    <cellStyle name="Calculation 6 4 2 3" xfId="4888" xr:uid="{00000000-0005-0000-0000-000000140000}"/>
    <cellStyle name="Calculation 6 4 2 3 2" xfId="8927" xr:uid="{00000000-0005-0000-0000-000001140000}"/>
    <cellStyle name="Calculation 6 4 2 3 2 2" xfId="24393" xr:uid="{00000000-0005-0000-0000-000002140000}"/>
    <cellStyle name="Calculation 6 4 2 3 3" xfId="15211" xr:uid="{00000000-0005-0000-0000-000003140000}"/>
    <cellStyle name="Calculation 6 4 2 3 3 2" xfId="30043" xr:uid="{00000000-0005-0000-0000-000004140000}"/>
    <cellStyle name="Calculation 6 4 2 3 4" xfId="21925" xr:uid="{00000000-0005-0000-0000-000005140000}"/>
    <cellStyle name="Calculation 6 4 2 4" xfId="2878" xr:uid="{00000000-0005-0000-0000-000006140000}"/>
    <cellStyle name="Calculation 6 4 2 4 2" xfId="6963" xr:uid="{00000000-0005-0000-0000-000007140000}"/>
    <cellStyle name="Calculation 6 4 2 4 2 2" xfId="23138" xr:uid="{00000000-0005-0000-0000-000008140000}"/>
    <cellStyle name="Calculation 6 4 2 4 3" xfId="13216" xr:uid="{00000000-0005-0000-0000-000009140000}"/>
    <cellStyle name="Calculation 6 4 2 4 3 2" xfId="28048" xr:uid="{00000000-0005-0000-0000-00000A140000}"/>
    <cellStyle name="Calculation 6 4 2 4 4" xfId="20804" xr:uid="{00000000-0005-0000-0000-00000B140000}"/>
    <cellStyle name="Calculation 6 4 2 5" xfId="6041" xr:uid="{00000000-0005-0000-0000-00000C140000}"/>
    <cellStyle name="Calculation 6 4 2 5 2" xfId="16228" xr:uid="{00000000-0005-0000-0000-00000D140000}"/>
    <cellStyle name="Calculation 6 4 2 5 2 2" xfId="31060" xr:uid="{00000000-0005-0000-0000-00000E140000}"/>
    <cellStyle name="Calculation 6 4 2 5 3" xfId="22574" xr:uid="{00000000-0005-0000-0000-00000F140000}"/>
    <cellStyle name="Calculation 6 4 2 6" xfId="12298" xr:uid="{00000000-0005-0000-0000-000010140000}"/>
    <cellStyle name="Calculation 6 4 2 6 2" xfId="27130" xr:uid="{00000000-0005-0000-0000-000011140000}"/>
    <cellStyle name="Calculation 6 4 2 7" xfId="9894" xr:uid="{00000000-0005-0000-0000-000012140000}"/>
    <cellStyle name="Calculation 6 4 2 7 2" xfId="20097" xr:uid="{00000000-0005-0000-0000-000013140000}"/>
    <cellStyle name="Calculation 6 4 3" xfId="4039" xr:uid="{00000000-0005-0000-0000-000014140000}"/>
    <cellStyle name="Calculation 6 4 3 2" xfId="8086" xr:uid="{00000000-0005-0000-0000-000015140000}"/>
    <cellStyle name="Calculation 6 4 3 2 2" xfId="23852" xr:uid="{00000000-0005-0000-0000-000016140000}"/>
    <cellStyle name="Calculation 6 4 3 3" xfId="14371" xr:uid="{00000000-0005-0000-0000-000017140000}"/>
    <cellStyle name="Calculation 6 4 3 3 2" xfId="29203" xr:uid="{00000000-0005-0000-0000-000018140000}"/>
    <cellStyle name="Calculation 6 4 3 4" xfId="21486" xr:uid="{00000000-0005-0000-0000-000019140000}"/>
    <cellStyle name="Calculation 6 4 4" xfId="4468" xr:uid="{00000000-0005-0000-0000-00001A140000}"/>
    <cellStyle name="Calculation 6 4 4 2" xfId="8507" xr:uid="{00000000-0005-0000-0000-00001B140000}"/>
    <cellStyle name="Calculation 6 4 4 2 2" xfId="24133" xr:uid="{00000000-0005-0000-0000-00001C140000}"/>
    <cellStyle name="Calculation 6 4 4 3" xfId="14796" xr:uid="{00000000-0005-0000-0000-00001D140000}"/>
    <cellStyle name="Calculation 6 4 4 3 2" xfId="29628" xr:uid="{00000000-0005-0000-0000-00001E140000}"/>
    <cellStyle name="Calculation 6 4 4 4" xfId="21695" xr:uid="{00000000-0005-0000-0000-00001F140000}"/>
    <cellStyle name="Calculation 6 4 5" xfId="2458" xr:uid="{00000000-0005-0000-0000-000020140000}"/>
    <cellStyle name="Calculation 6 4 5 2" xfId="6564" xr:uid="{00000000-0005-0000-0000-000021140000}"/>
    <cellStyle name="Calculation 6 4 5 2 2" xfId="22902" xr:uid="{00000000-0005-0000-0000-000022140000}"/>
    <cellStyle name="Calculation 6 4 5 3" xfId="12797" xr:uid="{00000000-0005-0000-0000-000023140000}"/>
    <cellStyle name="Calculation 6 4 5 3 2" xfId="27629" xr:uid="{00000000-0005-0000-0000-000024140000}"/>
    <cellStyle name="Calculation 6 4 5 4" xfId="20550" xr:uid="{00000000-0005-0000-0000-000025140000}"/>
    <cellStyle name="Calculation 6 4 6" xfId="5582" xr:uid="{00000000-0005-0000-0000-000026140000}"/>
    <cellStyle name="Calculation 6 4 6 2" xfId="15817" xr:uid="{00000000-0005-0000-0000-000027140000}"/>
    <cellStyle name="Calculation 6 4 6 2 2" xfId="30649" xr:uid="{00000000-0005-0000-0000-000028140000}"/>
    <cellStyle name="Calculation 6 4 6 3" xfId="22278" xr:uid="{00000000-0005-0000-0000-000029140000}"/>
    <cellStyle name="Calculation 6 4 7" xfId="11827" xr:uid="{00000000-0005-0000-0000-00002A140000}"/>
    <cellStyle name="Calculation 6 4 7 2" xfId="26659" xr:uid="{00000000-0005-0000-0000-00002B140000}"/>
    <cellStyle name="Calculation 6 4 8" xfId="9499" xr:uid="{00000000-0005-0000-0000-00002C140000}"/>
    <cellStyle name="Calculation 6 4 8 2" xfId="19802" xr:uid="{00000000-0005-0000-0000-00002D140000}"/>
    <cellStyle name="Calculation 6 5" xfId="1434" xr:uid="{00000000-0005-0000-0000-00002E140000}"/>
    <cellStyle name="Calculation 6 5 2" xfId="1935" xr:uid="{00000000-0005-0000-0000-00002F140000}"/>
    <cellStyle name="Calculation 6 5 2 2" xfId="3436" xr:uid="{00000000-0005-0000-0000-000030140000}"/>
    <cellStyle name="Calculation 6 5 2 2 2" xfId="7499" xr:uid="{00000000-0005-0000-0000-000031140000}"/>
    <cellStyle name="Calculation 6 5 2 2 2 2" xfId="23475" xr:uid="{00000000-0005-0000-0000-000032140000}"/>
    <cellStyle name="Calculation 6 5 2 2 3" xfId="13773" xr:uid="{00000000-0005-0000-0000-000033140000}"/>
    <cellStyle name="Calculation 6 5 2 2 3 2" xfId="28605" xr:uid="{00000000-0005-0000-0000-000034140000}"/>
    <cellStyle name="Calculation 6 5 2 2 4" xfId="21151" xr:uid="{00000000-0005-0000-0000-000035140000}"/>
    <cellStyle name="Calculation 6 5 2 3" xfId="4914" xr:uid="{00000000-0005-0000-0000-000036140000}"/>
    <cellStyle name="Calculation 6 5 2 3 2" xfId="8953" xr:uid="{00000000-0005-0000-0000-000037140000}"/>
    <cellStyle name="Calculation 6 5 2 3 2 2" xfId="24419" xr:uid="{00000000-0005-0000-0000-000038140000}"/>
    <cellStyle name="Calculation 6 5 2 3 3" xfId="15236" xr:uid="{00000000-0005-0000-0000-000039140000}"/>
    <cellStyle name="Calculation 6 5 2 3 3 2" xfId="30068" xr:uid="{00000000-0005-0000-0000-00003A140000}"/>
    <cellStyle name="Calculation 6 5 2 3 4" xfId="21949" xr:uid="{00000000-0005-0000-0000-00003B140000}"/>
    <cellStyle name="Calculation 6 5 2 4" xfId="2904" xr:uid="{00000000-0005-0000-0000-00003C140000}"/>
    <cellStyle name="Calculation 6 5 2 4 2" xfId="6988" xr:uid="{00000000-0005-0000-0000-00003D140000}"/>
    <cellStyle name="Calculation 6 5 2 4 2 2" xfId="23162" xr:uid="{00000000-0005-0000-0000-00003E140000}"/>
    <cellStyle name="Calculation 6 5 2 4 3" xfId="13242" xr:uid="{00000000-0005-0000-0000-00003F140000}"/>
    <cellStyle name="Calculation 6 5 2 4 3 2" xfId="28074" xr:uid="{00000000-0005-0000-0000-000040140000}"/>
    <cellStyle name="Calculation 6 5 2 4 4" xfId="20830" xr:uid="{00000000-0005-0000-0000-000041140000}"/>
    <cellStyle name="Calculation 6 5 2 5" xfId="6065" xr:uid="{00000000-0005-0000-0000-000042140000}"/>
    <cellStyle name="Calculation 6 5 2 5 2" xfId="16252" xr:uid="{00000000-0005-0000-0000-000043140000}"/>
    <cellStyle name="Calculation 6 5 2 5 2 2" xfId="31084" xr:uid="{00000000-0005-0000-0000-000044140000}"/>
    <cellStyle name="Calculation 6 5 2 5 3" xfId="22598" xr:uid="{00000000-0005-0000-0000-000045140000}"/>
    <cellStyle name="Calculation 6 5 2 6" xfId="12322" xr:uid="{00000000-0005-0000-0000-000046140000}"/>
    <cellStyle name="Calculation 6 5 2 6 2" xfId="27154" xr:uid="{00000000-0005-0000-0000-000047140000}"/>
    <cellStyle name="Calculation 6 5 2 7" xfId="9919" xr:uid="{00000000-0005-0000-0000-000048140000}"/>
    <cellStyle name="Calculation 6 5 2 7 2" xfId="20121" xr:uid="{00000000-0005-0000-0000-000049140000}"/>
    <cellStyle name="Calculation 6 5 3" xfId="3748" xr:uid="{00000000-0005-0000-0000-00004A140000}"/>
    <cellStyle name="Calculation 6 5 3 2" xfId="7804" xr:uid="{00000000-0005-0000-0000-00004B140000}"/>
    <cellStyle name="Calculation 6 5 3 2 2" xfId="23675" xr:uid="{00000000-0005-0000-0000-00004C140000}"/>
    <cellStyle name="Calculation 6 5 3 3" xfId="14083" xr:uid="{00000000-0005-0000-0000-00004D140000}"/>
    <cellStyle name="Calculation 6 5 3 3 2" xfId="28915" xr:uid="{00000000-0005-0000-0000-00004E140000}"/>
    <cellStyle name="Calculation 6 5 3 4" xfId="21331" xr:uid="{00000000-0005-0000-0000-00004F140000}"/>
    <cellStyle name="Calculation 6 5 4" xfId="4494" xr:uid="{00000000-0005-0000-0000-000050140000}"/>
    <cellStyle name="Calculation 6 5 4 2" xfId="8533" xr:uid="{00000000-0005-0000-0000-000051140000}"/>
    <cellStyle name="Calculation 6 5 4 2 2" xfId="24159" xr:uid="{00000000-0005-0000-0000-000052140000}"/>
    <cellStyle name="Calculation 6 5 4 3" xfId="14821" xr:uid="{00000000-0005-0000-0000-000053140000}"/>
    <cellStyle name="Calculation 6 5 4 3 2" xfId="29653" xr:uid="{00000000-0005-0000-0000-000054140000}"/>
    <cellStyle name="Calculation 6 5 4 4" xfId="21719" xr:uid="{00000000-0005-0000-0000-000055140000}"/>
    <cellStyle name="Calculation 6 5 5" xfId="2484" xr:uid="{00000000-0005-0000-0000-000056140000}"/>
    <cellStyle name="Calculation 6 5 5 2" xfId="6590" xr:uid="{00000000-0005-0000-0000-000057140000}"/>
    <cellStyle name="Calculation 6 5 5 2 2" xfId="22928" xr:uid="{00000000-0005-0000-0000-000058140000}"/>
    <cellStyle name="Calculation 6 5 5 3" xfId="12822" xr:uid="{00000000-0005-0000-0000-000059140000}"/>
    <cellStyle name="Calculation 6 5 5 3 2" xfId="27654" xr:uid="{00000000-0005-0000-0000-00005A140000}"/>
    <cellStyle name="Calculation 6 5 5 4" xfId="20574" xr:uid="{00000000-0005-0000-0000-00005B140000}"/>
    <cellStyle name="Calculation 6 5 6" xfId="5607" xr:uid="{00000000-0005-0000-0000-00005C140000}"/>
    <cellStyle name="Calculation 6 5 6 2" xfId="15842" xr:uid="{00000000-0005-0000-0000-00005D140000}"/>
    <cellStyle name="Calculation 6 5 6 2 2" xfId="30674" xr:uid="{00000000-0005-0000-0000-00005E140000}"/>
    <cellStyle name="Calculation 6 5 6 3" xfId="22303" xr:uid="{00000000-0005-0000-0000-00005F140000}"/>
    <cellStyle name="Calculation 6 5 7" xfId="11851" xr:uid="{00000000-0005-0000-0000-000060140000}"/>
    <cellStyle name="Calculation 6 5 7 2" xfId="26683" xr:uid="{00000000-0005-0000-0000-000061140000}"/>
    <cellStyle name="Calculation 6 5 8" xfId="9524" xr:uid="{00000000-0005-0000-0000-000062140000}"/>
    <cellStyle name="Calculation 6 5 8 2" xfId="19826" xr:uid="{00000000-0005-0000-0000-000063140000}"/>
    <cellStyle name="Calculation 6 6" xfId="1726" xr:uid="{00000000-0005-0000-0000-000064140000}"/>
    <cellStyle name="Calculation 6 6 2" xfId="3727" xr:uid="{00000000-0005-0000-0000-000065140000}"/>
    <cellStyle name="Calculation 6 6 2 2" xfId="7783" xr:uid="{00000000-0005-0000-0000-000066140000}"/>
    <cellStyle name="Calculation 6 6 2 2 2" xfId="23660" xr:uid="{00000000-0005-0000-0000-000067140000}"/>
    <cellStyle name="Calculation 6 6 2 3" xfId="14062" xr:uid="{00000000-0005-0000-0000-000068140000}"/>
    <cellStyle name="Calculation 6 6 2 3 2" xfId="28894" xr:uid="{00000000-0005-0000-0000-000069140000}"/>
    <cellStyle name="Calculation 6 6 2 4" xfId="21320" xr:uid="{00000000-0005-0000-0000-00006A140000}"/>
    <cellStyle name="Calculation 6 6 3" xfId="4719" xr:uid="{00000000-0005-0000-0000-00006B140000}"/>
    <cellStyle name="Calculation 6 6 3 2" xfId="8758" xr:uid="{00000000-0005-0000-0000-00006C140000}"/>
    <cellStyle name="Calculation 6 6 3 2 2" xfId="24288" xr:uid="{00000000-0005-0000-0000-00006D140000}"/>
    <cellStyle name="Calculation 6 6 3 3" xfId="15043" xr:uid="{00000000-0005-0000-0000-00006E140000}"/>
    <cellStyle name="Calculation 6 6 3 3 2" xfId="29875" xr:uid="{00000000-0005-0000-0000-00006F140000}"/>
    <cellStyle name="Calculation 6 6 3 4" xfId="21826" xr:uid="{00000000-0005-0000-0000-000070140000}"/>
    <cellStyle name="Calculation 6 6 4" xfId="2709" xr:uid="{00000000-0005-0000-0000-000071140000}"/>
    <cellStyle name="Calculation 6 6 4 2" xfId="6800" xr:uid="{00000000-0005-0000-0000-000072140000}"/>
    <cellStyle name="Calculation 6 6 4 2 2" xfId="23039" xr:uid="{00000000-0005-0000-0000-000073140000}"/>
    <cellStyle name="Calculation 6 6 4 3" xfId="13047" xr:uid="{00000000-0005-0000-0000-000074140000}"/>
    <cellStyle name="Calculation 6 6 4 3 2" xfId="27879" xr:uid="{00000000-0005-0000-0000-000075140000}"/>
    <cellStyle name="Calculation 6 6 4 4" xfId="20699" xr:uid="{00000000-0005-0000-0000-000076140000}"/>
    <cellStyle name="Calculation 6 6 5" xfId="5858" xr:uid="{00000000-0005-0000-0000-000077140000}"/>
    <cellStyle name="Calculation 6 6 5 2" xfId="16050" xr:uid="{00000000-0005-0000-0000-000078140000}"/>
    <cellStyle name="Calculation 6 6 5 2 2" xfId="30882" xr:uid="{00000000-0005-0000-0000-000079140000}"/>
    <cellStyle name="Calculation 6 6 5 3" xfId="22455" xr:uid="{00000000-0005-0000-0000-00007A140000}"/>
    <cellStyle name="Calculation 6 6 6" xfId="12120" xr:uid="{00000000-0005-0000-0000-00007B140000}"/>
    <cellStyle name="Calculation 6 6 6 2" xfId="26952" xr:uid="{00000000-0005-0000-0000-00007C140000}"/>
    <cellStyle name="Calculation 6 6 7" xfId="9731" xr:uid="{00000000-0005-0000-0000-00007D140000}"/>
    <cellStyle name="Calculation 6 6 7 2" xfId="20029" xr:uid="{00000000-0005-0000-0000-00007E140000}"/>
    <cellStyle name="Calculation 6 7" xfId="2225" xr:uid="{00000000-0005-0000-0000-00007F140000}"/>
    <cellStyle name="Calculation 6 7 2" xfId="3501" xr:uid="{00000000-0005-0000-0000-000080140000}"/>
    <cellStyle name="Calculation 6 7 2 2" xfId="7563" xr:uid="{00000000-0005-0000-0000-000081140000}"/>
    <cellStyle name="Calculation 6 7 2 2 2" xfId="23517" xr:uid="{00000000-0005-0000-0000-000082140000}"/>
    <cellStyle name="Calculation 6 7 2 3" xfId="13838" xr:uid="{00000000-0005-0000-0000-000083140000}"/>
    <cellStyle name="Calculation 6 7 2 3 2" xfId="28670" xr:uid="{00000000-0005-0000-0000-000084140000}"/>
    <cellStyle name="Calculation 6 7 2 4" xfId="21192" xr:uid="{00000000-0005-0000-0000-000085140000}"/>
    <cellStyle name="Calculation 6 7 3" xfId="5193" xr:uid="{00000000-0005-0000-0000-000086140000}"/>
    <cellStyle name="Calculation 6 7 3 2" xfId="9232" xr:uid="{00000000-0005-0000-0000-000087140000}"/>
    <cellStyle name="Calculation 6 7 3 2 2" xfId="24570" xr:uid="{00000000-0005-0000-0000-000088140000}"/>
    <cellStyle name="Calculation 6 7 3 3" xfId="15511" xr:uid="{00000000-0005-0000-0000-000089140000}"/>
    <cellStyle name="Calculation 6 7 3 3 2" xfId="30343" xr:uid="{00000000-0005-0000-0000-00008A140000}"/>
    <cellStyle name="Calculation 6 7 3 4" xfId="22077" xr:uid="{00000000-0005-0000-0000-00008B140000}"/>
    <cellStyle name="Calculation 6 7 4" xfId="4223" xr:uid="{00000000-0005-0000-0000-00008C140000}"/>
    <cellStyle name="Calculation 6 7 4 2" xfId="8264" xr:uid="{00000000-0005-0000-0000-00008D140000}"/>
    <cellStyle name="Calculation 6 7 4 2 2" xfId="23959" xr:uid="{00000000-0005-0000-0000-00008E140000}"/>
    <cellStyle name="Calculation 6 7 4 3" xfId="14555" xr:uid="{00000000-0005-0000-0000-00008F140000}"/>
    <cellStyle name="Calculation 6 7 4 3 2" xfId="29387" xr:uid="{00000000-0005-0000-0000-000090140000}"/>
    <cellStyle name="Calculation 6 7 4 4" xfId="21584" xr:uid="{00000000-0005-0000-0000-000091140000}"/>
    <cellStyle name="Calculation 6 7 5" xfId="6339" xr:uid="{00000000-0005-0000-0000-000092140000}"/>
    <cellStyle name="Calculation 6 7 5 2" xfId="22741" xr:uid="{00000000-0005-0000-0000-000093140000}"/>
    <cellStyle name="Calculation 6 7 6" xfId="12593" xr:uid="{00000000-0005-0000-0000-000094140000}"/>
    <cellStyle name="Calculation 6 7 6 2" xfId="27425" xr:uid="{00000000-0005-0000-0000-000095140000}"/>
    <cellStyle name="Calculation 6 7 7" xfId="20420" xr:uid="{00000000-0005-0000-0000-000096140000}"/>
    <cellStyle name="Calculation 6 8" xfId="3978" xr:uid="{00000000-0005-0000-0000-000097140000}"/>
    <cellStyle name="Calculation 6 8 2" xfId="8027" xr:uid="{00000000-0005-0000-0000-000098140000}"/>
    <cellStyle name="Calculation 6 8 2 2" xfId="23817" xr:uid="{00000000-0005-0000-0000-000099140000}"/>
    <cellStyle name="Calculation 6 8 3" xfId="14311" xr:uid="{00000000-0005-0000-0000-00009A140000}"/>
    <cellStyle name="Calculation 6 8 3 2" xfId="29143" xr:uid="{00000000-0005-0000-0000-00009B140000}"/>
    <cellStyle name="Calculation 6 8 4" xfId="21455" xr:uid="{00000000-0005-0000-0000-00009C140000}"/>
    <cellStyle name="Calculation 6 9" xfId="3354" xr:uid="{00000000-0005-0000-0000-00009D140000}"/>
    <cellStyle name="Calculation 6 9 2" xfId="7417" xr:uid="{00000000-0005-0000-0000-00009E140000}"/>
    <cellStyle name="Calculation 6 9 2 2" xfId="23419" xr:uid="{00000000-0005-0000-0000-00009F140000}"/>
    <cellStyle name="Calculation 6 9 3" xfId="13691" xr:uid="{00000000-0005-0000-0000-0000A0140000}"/>
    <cellStyle name="Calculation 6 9 3 2" xfId="28523" xr:uid="{00000000-0005-0000-0000-0000A1140000}"/>
    <cellStyle name="Calculation 6 9 4" xfId="21104" xr:uid="{00000000-0005-0000-0000-0000A2140000}"/>
    <cellStyle name="Calculation 7" xfId="974" xr:uid="{00000000-0005-0000-0000-0000A3140000}"/>
    <cellStyle name="Calculation 7 10" xfId="2280" xr:uid="{00000000-0005-0000-0000-0000A4140000}"/>
    <cellStyle name="Calculation 7 10 2" xfId="6392" xr:uid="{00000000-0005-0000-0000-0000A5140000}"/>
    <cellStyle name="Calculation 7 10 2 2" xfId="22794" xr:uid="{00000000-0005-0000-0000-0000A6140000}"/>
    <cellStyle name="Calculation 7 10 3" xfId="12620" xr:uid="{00000000-0005-0000-0000-0000A7140000}"/>
    <cellStyle name="Calculation 7 10 3 2" xfId="27452" xr:uid="{00000000-0005-0000-0000-0000A8140000}"/>
    <cellStyle name="Calculation 7 10 4" xfId="20446" xr:uid="{00000000-0005-0000-0000-0000A9140000}"/>
    <cellStyle name="Calculation 7 11" xfId="5246" xr:uid="{00000000-0005-0000-0000-0000AA140000}"/>
    <cellStyle name="Calculation 7 11 2" xfId="15562" xr:uid="{00000000-0005-0000-0000-0000AB140000}"/>
    <cellStyle name="Calculation 7 11 2 2" xfId="30394" xr:uid="{00000000-0005-0000-0000-0000AC140000}"/>
    <cellStyle name="Calculation 7 11 3" xfId="22103" xr:uid="{00000000-0005-0000-0000-0000AD140000}"/>
    <cellStyle name="Calculation 7 12" xfId="5404" xr:uid="{00000000-0005-0000-0000-0000AE140000}"/>
    <cellStyle name="Calculation 7 12 2" xfId="15640" xr:uid="{00000000-0005-0000-0000-0000AF140000}"/>
    <cellStyle name="Calculation 7 12 2 2" xfId="30472" xr:uid="{00000000-0005-0000-0000-0000B0140000}"/>
    <cellStyle name="Calculation 7 12 3" xfId="22165" xr:uid="{00000000-0005-0000-0000-0000B1140000}"/>
    <cellStyle name="Calculation 7 13" xfId="9387" xr:uid="{00000000-0005-0000-0000-0000B2140000}"/>
    <cellStyle name="Calculation 7 13 2" xfId="24693" xr:uid="{00000000-0005-0000-0000-0000B3140000}"/>
    <cellStyle name="Calculation 7 14" xfId="7088" xr:uid="{00000000-0005-0000-0000-0000B4140000}"/>
    <cellStyle name="Calculation 7 14 2" xfId="18869" xr:uid="{00000000-0005-0000-0000-0000B5140000}"/>
    <cellStyle name="Calculation 7 2" xfId="1316" xr:uid="{00000000-0005-0000-0000-0000B6140000}"/>
    <cellStyle name="Calculation 7 2 2" xfId="1820" xr:uid="{00000000-0005-0000-0000-0000B7140000}"/>
    <cellStyle name="Calculation 7 2 2 2" xfId="4040" xr:uid="{00000000-0005-0000-0000-0000B8140000}"/>
    <cellStyle name="Calculation 7 2 2 2 2" xfId="8087" xr:uid="{00000000-0005-0000-0000-0000B9140000}"/>
    <cellStyle name="Calculation 7 2 2 2 2 2" xfId="23853" xr:uid="{00000000-0005-0000-0000-0000BA140000}"/>
    <cellStyle name="Calculation 7 2 2 2 3" xfId="14372" xr:uid="{00000000-0005-0000-0000-0000BB140000}"/>
    <cellStyle name="Calculation 7 2 2 2 3 2" xfId="29204" xr:uid="{00000000-0005-0000-0000-0000BC140000}"/>
    <cellStyle name="Calculation 7 2 2 2 4" xfId="21487" xr:uid="{00000000-0005-0000-0000-0000BD140000}"/>
    <cellStyle name="Calculation 7 2 2 3" xfId="4798" xr:uid="{00000000-0005-0000-0000-0000BE140000}"/>
    <cellStyle name="Calculation 7 2 2 3 2" xfId="8837" xr:uid="{00000000-0005-0000-0000-0000BF140000}"/>
    <cellStyle name="Calculation 7 2 2 3 2 2" xfId="24335" xr:uid="{00000000-0005-0000-0000-0000C0140000}"/>
    <cellStyle name="Calculation 7 2 2 3 3" xfId="15122" xr:uid="{00000000-0005-0000-0000-0000C1140000}"/>
    <cellStyle name="Calculation 7 2 2 3 3 2" xfId="29954" xr:uid="{00000000-0005-0000-0000-0000C2140000}"/>
    <cellStyle name="Calculation 7 2 2 3 4" xfId="21873" xr:uid="{00000000-0005-0000-0000-0000C3140000}"/>
    <cellStyle name="Calculation 7 2 2 4" xfId="2788" xr:uid="{00000000-0005-0000-0000-0000C4140000}"/>
    <cellStyle name="Calculation 7 2 2 4 2" xfId="6879" xr:uid="{00000000-0005-0000-0000-0000C5140000}"/>
    <cellStyle name="Calculation 7 2 2 4 2 2" xfId="23086" xr:uid="{00000000-0005-0000-0000-0000C6140000}"/>
    <cellStyle name="Calculation 7 2 2 4 3" xfId="13126" xr:uid="{00000000-0005-0000-0000-0000C7140000}"/>
    <cellStyle name="Calculation 7 2 2 4 3 2" xfId="27958" xr:uid="{00000000-0005-0000-0000-0000C8140000}"/>
    <cellStyle name="Calculation 7 2 2 4 4" xfId="20746" xr:uid="{00000000-0005-0000-0000-0000C9140000}"/>
    <cellStyle name="Calculation 7 2 2 5" xfId="5952" xr:uid="{00000000-0005-0000-0000-0000CA140000}"/>
    <cellStyle name="Calculation 7 2 2 5 2" xfId="16144" xr:uid="{00000000-0005-0000-0000-0000CB140000}"/>
    <cellStyle name="Calculation 7 2 2 5 2 2" xfId="30976" xr:uid="{00000000-0005-0000-0000-0000CC140000}"/>
    <cellStyle name="Calculation 7 2 2 5 3" xfId="22517" xr:uid="{00000000-0005-0000-0000-0000CD140000}"/>
    <cellStyle name="Calculation 7 2 2 6" xfId="12214" xr:uid="{00000000-0005-0000-0000-0000CE140000}"/>
    <cellStyle name="Calculation 7 2 2 6 2" xfId="27046" xr:uid="{00000000-0005-0000-0000-0000CF140000}"/>
    <cellStyle name="Calculation 7 2 2 7" xfId="9810" xr:uid="{00000000-0005-0000-0000-0000D0140000}"/>
    <cellStyle name="Calculation 7 2 2 7 2" xfId="20061" xr:uid="{00000000-0005-0000-0000-0000D1140000}"/>
    <cellStyle name="Calculation 7 2 3" xfId="3248" xr:uid="{00000000-0005-0000-0000-0000D2140000}"/>
    <cellStyle name="Calculation 7 2 3 2" xfId="7312" xr:uid="{00000000-0005-0000-0000-0000D3140000}"/>
    <cellStyle name="Calculation 7 2 3 2 2" xfId="23351" xr:uid="{00000000-0005-0000-0000-0000D4140000}"/>
    <cellStyle name="Calculation 7 2 3 3" xfId="13585" xr:uid="{00000000-0005-0000-0000-0000D5140000}"/>
    <cellStyle name="Calculation 7 2 3 3 2" xfId="28417" xr:uid="{00000000-0005-0000-0000-0000D6140000}"/>
    <cellStyle name="Calculation 7 2 3 4" xfId="21038" xr:uid="{00000000-0005-0000-0000-0000D7140000}"/>
    <cellStyle name="Calculation 7 2 4" xfId="4378" xr:uid="{00000000-0005-0000-0000-0000D8140000}"/>
    <cellStyle name="Calculation 7 2 4 2" xfId="8417" xr:uid="{00000000-0005-0000-0000-0000D9140000}"/>
    <cellStyle name="Calculation 7 2 4 2 2" xfId="24075" xr:uid="{00000000-0005-0000-0000-0000DA140000}"/>
    <cellStyle name="Calculation 7 2 4 3" xfId="14707" xr:uid="{00000000-0005-0000-0000-0000DB140000}"/>
    <cellStyle name="Calculation 7 2 4 3 2" xfId="29539" xr:uid="{00000000-0005-0000-0000-0000DC140000}"/>
    <cellStyle name="Calculation 7 2 4 4" xfId="21643" xr:uid="{00000000-0005-0000-0000-0000DD140000}"/>
    <cellStyle name="Calculation 7 2 5" xfId="2368" xr:uid="{00000000-0005-0000-0000-0000DE140000}"/>
    <cellStyle name="Calculation 7 2 5 2" xfId="6480" xr:uid="{00000000-0005-0000-0000-0000DF140000}"/>
    <cellStyle name="Calculation 7 2 5 2 2" xfId="22850" xr:uid="{00000000-0005-0000-0000-0000E0140000}"/>
    <cellStyle name="Calculation 7 2 5 3" xfId="12707" xr:uid="{00000000-0005-0000-0000-0000E1140000}"/>
    <cellStyle name="Calculation 7 2 5 3 2" xfId="27539" xr:uid="{00000000-0005-0000-0000-0000E2140000}"/>
    <cellStyle name="Calculation 7 2 5 4" xfId="20492" xr:uid="{00000000-0005-0000-0000-0000E3140000}"/>
    <cellStyle name="Calculation 7 2 6" xfId="5493" xr:uid="{00000000-0005-0000-0000-0000E4140000}"/>
    <cellStyle name="Calculation 7 2 6 2" xfId="15728" xr:uid="{00000000-0005-0000-0000-0000E5140000}"/>
    <cellStyle name="Calculation 7 2 6 2 2" xfId="30560" xr:uid="{00000000-0005-0000-0000-0000E6140000}"/>
    <cellStyle name="Calculation 7 2 6 3" xfId="22221" xr:uid="{00000000-0005-0000-0000-0000E7140000}"/>
    <cellStyle name="Calculation 7 2 7" xfId="11743" xr:uid="{00000000-0005-0000-0000-0000E8140000}"/>
    <cellStyle name="Calculation 7 2 7 2" xfId="26575" xr:uid="{00000000-0005-0000-0000-0000E9140000}"/>
    <cellStyle name="Calculation 7 2 8" xfId="9414" xr:uid="{00000000-0005-0000-0000-0000EA140000}"/>
    <cellStyle name="Calculation 7 2 8 2" xfId="19718" xr:uid="{00000000-0005-0000-0000-0000EB140000}"/>
    <cellStyle name="Calculation 7 3" xfId="1450" xr:uid="{00000000-0005-0000-0000-0000EC140000}"/>
    <cellStyle name="Calculation 7 3 2" xfId="1951" xr:uid="{00000000-0005-0000-0000-0000ED140000}"/>
    <cellStyle name="Calculation 7 3 2 2" xfId="4100" xr:uid="{00000000-0005-0000-0000-0000EE140000}"/>
    <cellStyle name="Calculation 7 3 2 2 2" xfId="8146" xr:uid="{00000000-0005-0000-0000-0000EF140000}"/>
    <cellStyle name="Calculation 7 3 2 2 2 2" xfId="23891" xr:uid="{00000000-0005-0000-0000-0000F0140000}"/>
    <cellStyle name="Calculation 7 3 2 2 3" xfId="14432" xr:uid="{00000000-0005-0000-0000-0000F1140000}"/>
    <cellStyle name="Calculation 7 3 2 2 3 2" xfId="29264" xr:uid="{00000000-0005-0000-0000-0000F2140000}"/>
    <cellStyle name="Calculation 7 3 2 2 4" xfId="21521" xr:uid="{00000000-0005-0000-0000-0000F3140000}"/>
    <cellStyle name="Calculation 7 3 2 3" xfId="4930" xr:uid="{00000000-0005-0000-0000-0000F4140000}"/>
    <cellStyle name="Calculation 7 3 2 3 2" xfId="8969" xr:uid="{00000000-0005-0000-0000-0000F5140000}"/>
    <cellStyle name="Calculation 7 3 2 3 2 2" xfId="24435" xr:uid="{00000000-0005-0000-0000-0000F6140000}"/>
    <cellStyle name="Calculation 7 3 2 3 3" xfId="15252" xr:uid="{00000000-0005-0000-0000-0000F7140000}"/>
    <cellStyle name="Calculation 7 3 2 3 3 2" xfId="30084" xr:uid="{00000000-0005-0000-0000-0000F8140000}"/>
    <cellStyle name="Calculation 7 3 2 3 4" xfId="21965" xr:uid="{00000000-0005-0000-0000-0000F9140000}"/>
    <cellStyle name="Calculation 7 3 2 4" xfId="2920" xr:uid="{00000000-0005-0000-0000-0000FA140000}"/>
    <cellStyle name="Calculation 7 3 2 4 2" xfId="7004" xr:uid="{00000000-0005-0000-0000-0000FB140000}"/>
    <cellStyle name="Calculation 7 3 2 4 2 2" xfId="23178" xr:uid="{00000000-0005-0000-0000-0000FC140000}"/>
    <cellStyle name="Calculation 7 3 2 4 3" xfId="13258" xr:uid="{00000000-0005-0000-0000-0000FD140000}"/>
    <cellStyle name="Calculation 7 3 2 4 3 2" xfId="28090" xr:uid="{00000000-0005-0000-0000-0000FE140000}"/>
    <cellStyle name="Calculation 7 3 2 4 4" xfId="20846" xr:uid="{00000000-0005-0000-0000-0000FF140000}"/>
    <cellStyle name="Calculation 7 3 2 5" xfId="6081" xr:uid="{00000000-0005-0000-0000-000000150000}"/>
    <cellStyle name="Calculation 7 3 2 5 2" xfId="16268" xr:uid="{00000000-0005-0000-0000-000001150000}"/>
    <cellStyle name="Calculation 7 3 2 5 2 2" xfId="31100" xr:uid="{00000000-0005-0000-0000-000002150000}"/>
    <cellStyle name="Calculation 7 3 2 5 3" xfId="22614" xr:uid="{00000000-0005-0000-0000-000003150000}"/>
    <cellStyle name="Calculation 7 3 2 6" xfId="12338" xr:uid="{00000000-0005-0000-0000-000004150000}"/>
    <cellStyle name="Calculation 7 3 2 6 2" xfId="27170" xr:uid="{00000000-0005-0000-0000-000005150000}"/>
    <cellStyle name="Calculation 7 3 2 7" xfId="9935" xr:uid="{00000000-0005-0000-0000-000006150000}"/>
    <cellStyle name="Calculation 7 3 2 7 2" xfId="20137" xr:uid="{00000000-0005-0000-0000-000007150000}"/>
    <cellStyle name="Calculation 7 3 3" xfId="3981" xr:uid="{00000000-0005-0000-0000-000008150000}"/>
    <cellStyle name="Calculation 7 3 3 2" xfId="8030" xr:uid="{00000000-0005-0000-0000-000009150000}"/>
    <cellStyle name="Calculation 7 3 3 2 2" xfId="23820" xr:uid="{00000000-0005-0000-0000-00000A150000}"/>
    <cellStyle name="Calculation 7 3 3 3" xfId="14314" xr:uid="{00000000-0005-0000-0000-00000B150000}"/>
    <cellStyle name="Calculation 7 3 3 3 2" xfId="29146" xr:uid="{00000000-0005-0000-0000-00000C150000}"/>
    <cellStyle name="Calculation 7 3 3 4" xfId="21458" xr:uid="{00000000-0005-0000-0000-00000D150000}"/>
    <cellStyle name="Calculation 7 3 4" xfId="4510" xr:uid="{00000000-0005-0000-0000-00000E150000}"/>
    <cellStyle name="Calculation 7 3 4 2" xfId="8549" xr:uid="{00000000-0005-0000-0000-00000F150000}"/>
    <cellStyle name="Calculation 7 3 4 2 2" xfId="24175" xr:uid="{00000000-0005-0000-0000-000010150000}"/>
    <cellStyle name="Calculation 7 3 4 3" xfId="14837" xr:uid="{00000000-0005-0000-0000-000011150000}"/>
    <cellStyle name="Calculation 7 3 4 3 2" xfId="29669" xr:uid="{00000000-0005-0000-0000-000012150000}"/>
    <cellStyle name="Calculation 7 3 4 4" xfId="21735" xr:uid="{00000000-0005-0000-0000-000013150000}"/>
    <cellStyle name="Calculation 7 3 5" xfId="2500" xr:uid="{00000000-0005-0000-0000-000014150000}"/>
    <cellStyle name="Calculation 7 3 5 2" xfId="6606" xr:uid="{00000000-0005-0000-0000-000015150000}"/>
    <cellStyle name="Calculation 7 3 5 2 2" xfId="22944" xr:uid="{00000000-0005-0000-0000-000016150000}"/>
    <cellStyle name="Calculation 7 3 5 3" xfId="12838" xr:uid="{00000000-0005-0000-0000-000017150000}"/>
    <cellStyle name="Calculation 7 3 5 3 2" xfId="27670" xr:uid="{00000000-0005-0000-0000-000018150000}"/>
    <cellStyle name="Calculation 7 3 5 4" xfId="20590" xr:uid="{00000000-0005-0000-0000-000019150000}"/>
    <cellStyle name="Calculation 7 3 6" xfId="5623" xr:uid="{00000000-0005-0000-0000-00001A150000}"/>
    <cellStyle name="Calculation 7 3 6 2" xfId="15858" xr:uid="{00000000-0005-0000-0000-00001B150000}"/>
    <cellStyle name="Calculation 7 3 6 2 2" xfId="30690" xr:uid="{00000000-0005-0000-0000-00001C150000}"/>
    <cellStyle name="Calculation 7 3 6 3" xfId="22319" xr:uid="{00000000-0005-0000-0000-00001D150000}"/>
    <cellStyle name="Calculation 7 3 7" xfId="11867" xr:uid="{00000000-0005-0000-0000-00001E150000}"/>
    <cellStyle name="Calculation 7 3 7 2" xfId="26699" xr:uid="{00000000-0005-0000-0000-00001F150000}"/>
    <cellStyle name="Calculation 7 3 8" xfId="9540" xr:uid="{00000000-0005-0000-0000-000020150000}"/>
    <cellStyle name="Calculation 7 3 8 2" xfId="19842" xr:uid="{00000000-0005-0000-0000-000021150000}"/>
    <cellStyle name="Calculation 7 4" xfId="1407" xr:uid="{00000000-0005-0000-0000-000022150000}"/>
    <cellStyle name="Calculation 7 4 2" xfId="1909" xr:uid="{00000000-0005-0000-0000-000023150000}"/>
    <cellStyle name="Calculation 7 4 2 2" xfId="3520" xr:uid="{00000000-0005-0000-0000-000024150000}"/>
    <cellStyle name="Calculation 7 4 2 2 2" xfId="7582" xr:uid="{00000000-0005-0000-0000-000025150000}"/>
    <cellStyle name="Calculation 7 4 2 2 2 2" xfId="23530" xr:uid="{00000000-0005-0000-0000-000026150000}"/>
    <cellStyle name="Calculation 7 4 2 2 3" xfId="13857" xr:uid="{00000000-0005-0000-0000-000027150000}"/>
    <cellStyle name="Calculation 7 4 2 2 3 2" xfId="28689" xr:uid="{00000000-0005-0000-0000-000028150000}"/>
    <cellStyle name="Calculation 7 4 2 2 4" xfId="21205" xr:uid="{00000000-0005-0000-0000-000029150000}"/>
    <cellStyle name="Calculation 7 4 2 3" xfId="4887" xr:uid="{00000000-0005-0000-0000-00002A150000}"/>
    <cellStyle name="Calculation 7 4 2 3 2" xfId="8926" xr:uid="{00000000-0005-0000-0000-00002B150000}"/>
    <cellStyle name="Calculation 7 4 2 3 2 2" xfId="24392" xr:uid="{00000000-0005-0000-0000-00002C150000}"/>
    <cellStyle name="Calculation 7 4 2 3 3" xfId="15210" xr:uid="{00000000-0005-0000-0000-00002D150000}"/>
    <cellStyle name="Calculation 7 4 2 3 3 2" xfId="30042" xr:uid="{00000000-0005-0000-0000-00002E150000}"/>
    <cellStyle name="Calculation 7 4 2 3 4" xfId="21924" xr:uid="{00000000-0005-0000-0000-00002F150000}"/>
    <cellStyle name="Calculation 7 4 2 4" xfId="2877" xr:uid="{00000000-0005-0000-0000-000030150000}"/>
    <cellStyle name="Calculation 7 4 2 4 2" xfId="6962" xr:uid="{00000000-0005-0000-0000-000031150000}"/>
    <cellStyle name="Calculation 7 4 2 4 2 2" xfId="23137" xr:uid="{00000000-0005-0000-0000-000032150000}"/>
    <cellStyle name="Calculation 7 4 2 4 3" xfId="13215" xr:uid="{00000000-0005-0000-0000-000033150000}"/>
    <cellStyle name="Calculation 7 4 2 4 3 2" xfId="28047" xr:uid="{00000000-0005-0000-0000-000034150000}"/>
    <cellStyle name="Calculation 7 4 2 4 4" xfId="20803" xr:uid="{00000000-0005-0000-0000-000035150000}"/>
    <cellStyle name="Calculation 7 4 2 5" xfId="6040" xr:uid="{00000000-0005-0000-0000-000036150000}"/>
    <cellStyle name="Calculation 7 4 2 5 2" xfId="16227" xr:uid="{00000000-0005-0000-0000-000037150000}"/>
    <cellStyle name="Calculation 7 4 2 5 2 2" xfId="31059" xr:uid="{00000000-0005-0000-0000-000038150000}"/>
    <cellStyle name="Calculation 7 4 2 5 3" xfId="22573" xr:uid="{00000000-0005-0000-0000-000039150000}"/>
    <cellStyle name="Calculation 7 4 2 6" xfId="12297" xr:uid="{00000000-0005-0000-0000-00003A150000}"/>
    <cellStyle name="Calculation 7 4 2 6 2" xfId="27129" xr:uid="{00000000-0005-0000-0000-00003B150000}"/>
    <cellStyle name="Calculation 7 4 2 7" xfId="9893" xr:uid="{00000000-0005-0000-0000-00003C150000}"/>
    <cellStyle name="Calculation 7 4 2 7 2" xfId="20096" xr:uid="{00000000-0005-0000-0000-00003D150000}"/>
    <cellStyle name="Calculation 7 4 3" xfId="3568" xr:uid="{00000000-0005-0000-0000-00003E150000}"/>
    <cellStyle name="Calculation 7 4 3 2" xfId="7630" xr:uid="{00000000-0005-0000-0000-00003F150000}"/>
    <cellStyle name="Calculation 7 4 3 2 2" xfId="23556" xr:uid="{00000000-0005-0000-0000-000040150000}"/>
    <cellStyle name="Calculation 7 4 3 3" xfId="13904" xr:uid="{00000000-0005-0000-0000-000041150000}"/>
    <cellStyle name="Calculation 7 4 3 3 2" xfId="28736" xr:uid="{00000000-0005-0000-0000-000042150000}"/>
    <cellStyle name="Calculation 7 4 3 4" xfId="21226" xr:uid="{00000000-0005-0000-0000-000043150000}"/>
    <cellStyle name="Calculation 7 4 4" xfId="4467" xr:uid="{00000000-0005-0000-0000-000044150000}"/>
    <cellStyle name="Calculation 7 4 4 2" xfId="8506" xr:uid="{00000000-0005-0000-0000-000045150000}"/>
    <cellStyle name="Calculation 7 4 4 2 2" xfId="24132" xr:uid="{00000000-0005-0000-0000-000046150000}"/>
    <cellStyle name="Calculation 7 4 4 3" xfId="14795" xr:uid="{00000000-0005-0000-0000-000047150000}"/>
    <cellStyle name="Calculation 7 4 4 3 2" xfId="29627" xr:uid="{00000000-0005-0000-0000-000048150000}"/>
    <cellStyle name="Calculation 7 4 4 4" xfId="21694" xr:uid="{00000000-0005-0000-0000-000049150000}"/>
    <cellStyle name="Calculation 7 4 5" xfId="2457" xr:uid="{00000000-0005-0000-0000-00004A150000}"/>
    <cellStyle name="Calculation 7 4 5 2" xfId="6563" xr:uid="{00000000-0005-0000-0000-00004B150000}"/>
    <cellStyle name="Calculation 7 4 5 2 2" xfId="22901" xr:uid="{00000000-0005-0000-0000-00004C150000}"/>
    <cellStyle name="Calculation 7 4 5 3" xfId="12796" xr:uid="{00000000-0005-0000-0000-00004D150000}"/>
    <cellStyle name="Calculation 7 4 5 3 2" xfId="27628" xr:uid="{00000000-0005-0000-0000-00004E150000}"/>
    <cellStyle name="Calculation 7 4 5 4" xfId="20549" xr:uid="{00000000-0005-0000-0000-00004F150000}"/>
    <cellStyle name="Calculation 7 4 6" xfId="5581" xr:uid="{00000000-0005-0000-0000-000050150000}"/>
    <cellStyle name="Calculation 7 4 6 2" xfId="15816" xr:uid="{00000000-0005-0000-0000-000051150000}"/>
    <cellStyle name="Calculation 7 4 6 2 2" xfId="30648" xr:uid="{00000000-0005-0000-0000-000052150000}"/>
    <cellStyle name="Calculation 7 4 6 3" xfId="22277" xr:uid="{00000000-0005-0000-0000-000053150000}"/>
    <cellStyle name="Calculation 7 4 7" xfId="11826" xr:uid="{00000000-0005-0000-0000-000054150000}"/>
    <cellStyle name="Calculation 7 4 7 2" xfId="26658" xr:uid="{00000000-0005-0000-0000-000055150000}"/>
    <cellStyle name="Calculation 7 4 8" xfId="9498" xr:uid="{00000000-0005-0000-0000-000056150000}"/>
    <cellStyle name="Calculation 7 4 8 2" xfId="19801" xr:uid="{00000000-0005-0000-0000-000057150000}"/>
    <cellStyle name="Calculation 7 5" xfId="1435" xr:uid="{00000000-0005-0000-0000-000058150000}"/>
    <cellStyle name="Calculation 7 5 2" xfId="1936" xr:uid="{00000000-0005-0000-0000-000059150000}"/>
    <cellStyle name="Calculation 7 5 2 2" xfId="3895" xr:uid="{00000000-0005-0000-0000-00005A150000}"/>
    <cellStyle name="Calculation 7 5 2 2 2" xfId="7946" xr:uid="{00000000-0005-0000-0000-00005B150000}"/>
    <cellStyle name="Calculation 7 5 2 2 2 2" xfId="23766" xr:uid="{00000000-0005-0000-0000-00005C150000}"/>
    <cellStyle name="Calculation 7 5 2 2 3" xfId="14228" xr:uid="{00000000-0005-0000-0000-00005D150000}"/>
    <cellStyle name="Calculation 7 5 2 2 3 2" xfId="29060" xr:uid="{00000000-0005-0000-0000-00005E150000}"/>
    <cellStyle name="Calculation 7 5 2 2 4" xfId="21407" xr:uid="{00000000-0005-0000-0000-00005F150000}"/>
    <cellStyle name="Calculation 7 5 2 3" xfId="4915" xr:uid="{00000000-0005-0000-0000-000060150000}"/>
    <cellStyle name="Calculation 7 5 2 3 2" xfId="8954" xr:uid="{00000000-0005-0000-0000-000061150000}"/>
    <cellStyle name="Calculation 7 5 2 3 2 2" xfId="24420" xr:uid="{00000000-0005-0000-0000-000062150000}"/>
    <cellStyle name="Calculation 7 5 2 3 3" xfId="15237" xr:uid="{00000000-0005-0000-0000-000063150000}"/>
    <cellStyle name="Calculation 7 5 2 3 3 2" xfId="30069" xr:uid="{00000000-0005-0000-0000-000064150000}"/>
    <cellStyle name="Calculation 7 5 2 3 4" xfId="21950" xr:uid="{00000000-0005-0000-0000-000065150000}"/>
    <cellStyle name="Calculation 7 5 2 4" xfId="2905" xr:uid="{00000000-0005-0000-0000-000066150000}"/>
    <cellStyle name="Calculation 7 5 2 4 2" xfId="6989" xr:uid="{00000000-0005-0000-0000-000067150000}"/>
    <cellStyle name="Calculation 7 5 2 4 2 2" xfId="23163" xr:uid="{00000000-0005-0000-0000-000068150000}"/>
    <cellStyle name="Calculation 7 5 2 4 3" xfId="13243" xr:uid="{00000000-0005-0000-0000-000069150000}"/>
    <cellStyle name="Calculation 7 5 2 4 3 2" xfId="28075" xr:uid="{00000000-0005-0000-0000-00006A150000}"/>
    <cellStyle name="Calculation 7 5 2 4 4" xfId="20831" xr:uid="{00000000-0005-0000-0000-00006B150000}"/>
    <cellStyle name="Calculation 7 5 2 5" xfId="6066" xr:uid="{00000000-0005-0000-0000-00006C150000}"/>
    <cellStyle name="Calculation 7 5 2 5 2" xfId="16253" xr:uid="{00000000-0005-0000-0000-00006D150000}"/>
    <cellStyle name="Calculation 7 5 2 5 2 2" xfId="31085" xr:uid="{00000000-0005-0000-0000-00006E150000}"/>
    <cellStyle name="Calculation 7 5 2 5 3" xfId="22599" xr:uid="{00000000-0005-0000-0000-00006F150000}"/>
    <cellStyle name="Calculation 7 5 2 6" xfId="12323" xr:uid="{00000000-0005-0000-0000-000070150000}"/>
    <cellStyle name="Calculation 7 5 2 6 2" xfId="27155" xr:uid="{00000000-0005-0000-0000-000071150000}"/>
    <cellStyle name="Calculation 7 5 2 7" xfId="9920" xr:uid="{00000000-0005-0000-0000-000072150000}"/>
    <cellStyle name="Calculation 7 5 2 7 2" xfId="20122" xr:uid="{00000000-0005-0000-0000-000073150000}"/>
    <cellStyle name="Calculation 7 5 3" xfId="3877" xr:uid="{00000000-0005-0000-0000-000074150000}"/>
    <cellStyle name="Calculation 7 5 3 2" xfId="7929" xr:uid="{00000000-0005-0000-0000-000075150000}"/>
    <cellStyle name="Calculation 7 5 3 2 2" xfId="23756" xr:uid="{00000000-0005-0000-0000-000076150000}"/>
    <cellStyle name="Calculation 7 5 3 3" xfId="14212" xr:uid="{00000000-0005-0000-0000-000077150000}"/>
    <cellStyle name="Calculation 7 5 3 3 2" xfId="29044" xr:uid="{00000000-0005-0000-0000-000078150000}"/>
    <cellStyle name="Calculation 7 5 3 4" xfId="21398" xr:uid="{00000000-0005-0000-0000-000079150000}"/>
    <cellStyle name="Calculation 7 5 4" xfId="4495" xr:uid="{00000000-0005-0000-0000-00007A150000}"/>
    <cellStyle name="Calculation 7 5 4 2" xfId="8534" xr:uid="{00000000-0005-0000-0000-00007B150000}"/>
    <cellStyle name="Calculation 7 5 4 2 2" xfId="24160" xr:uid="{00000000-0005-0000-0000-00007C150000}"/>
    <cellStyle name="Calculation 7 5 4 3" xfId="14822" xr:uid="{00000000-0005-0000-0000-00007D150000}"/>
    <cellStyle name="Calculation 7 5 4 3 2" xfId="29654" xr:uid="{00000000-0005-0000-0000-00007E150000}"/>
    <cellStyle name="Calculation 7 5 4 4" xfId="21720" xr:uid="{00000000-0005-0000-0000-00007F150000}"/>
    <cellStyle name="Calculation 7 5 5" xfId="2485" xr:uid="{00000000-0005-0000-0000-000080150000}"/>
    <cellStyle name="Calculation 7 5 5 2" xfId="6591" xr:uid="{00000000-0005-0000-0000-000081150000}"/>
    <cellStyle name="Calculation 7 5 5 2 2" xfId="22929" xr:uid="{00000000-0005-0000-0000-000082150000}"/>
    <cellStyle name="Calculation 7 5 5 3" xfId="12823" xr:uid="{00000000-0005-0000-0000-000083150000}"/>
    <cellStyle name="Calculation 7 5 5 3 2" xfId="27655" xr:uid="{00000000-0005-0000-0000-000084150000}"/>
    <cellStyle name="Calculation 7 5 5 4" xfId="20575" xr:uid="{00000000-0005-0000-0000-000085150000}"/>
    <cellStyle name="Calculation 7 5 6" xfId="5608" xr:uid="{00000000-0005-0000-0000-000086150000}"/>
    <cellStyle name="Calculation 7 5 6 2" xfId="15843" xr:uid="{00000000-0005-0000-0000-000087150000}"/>
    <cellStyle name="Calculation 7 5 6 2 2" xfId="30675" xr:uid="{00000000-0005-0000-0000-000088150000}"/>
    <cellStyle name="Calculation 7 5 6 3" xfId="22304" xr:uid="{00000000-0005-0000-0000-000089150000}"/>
    <cellStyle name="Calculation 7 5 7" xfId="11852" xr:uid="{00000000-0005-0000-0000-00008A150000}"/>
    <cellStyle name="Calculation 7 5 7 2" xfId="26684" xr:uid="{00000000-0005-0000-0000-00008B150000}"/>
    <cellStyle name="Calculation 7 5 8" xfId="9525" xr:uid="{00000000-0005-0000-0000-00008C150000}"/>
    <cellStyle name="Calculation 7 5 8 2" xfId="19827" xr:uid="{00000000-0005-0000-0000-00008D150000}"/>
    <cellStyle name="Calculation 7 6" xfId="1727" xr:uid="{00000000-0005-0000-0000-00008E150000}"/>
    <cellStyle name="Calculation 7 6 2" xfId="3590" xr:uid="{00000000-0005-0000-0000-00008F150000}"/>
    <cellStyle name="Calculation 7 6 2 2" xfId="7652" xr:uid="{00000000-0005-0000-0000-000090150000}"/>
    <cellStyle name="Calculation 7 6 2 2 2" xfId="23568" xr:uid="{00000000-0005-0000-0000-000091150000}"/>
    <cellStyle name="Calculation 7 6 2 3" xfId="13926" xr:uid="{00000000-0005-0000-0000-000092150000}"/>
    <cellStyle name="Calculation 7 6 2 3 2" xfId="28758" xr:uid="{00000000-0005-0000-0000-000093150000}"/>
    <cellStyle name="Calculation 7 6 2 4" xfId="21237" xr:uid="{00000000-0005-0000-0000-000094150000}"/>
    <cellStyle name="Calculation 7 6 3" xfId="4720" xr:uid="{00000000-0005-0000-0000-000095150000}"/>
    <cellStyle name="Calculation 7 6 3 2" xfId="8759" xr:uid="{00000000-0005-0000-0000-000096150000}"/>
    <cellStyle name="Calculation 7 6 3 2 2" xfId="24289" xr:uid="{00000000-0005-0000-0000-000097150000}"/>
    <cellStyle name="Calculation 7 6 3 3" xfId="15044" xr:uid="{00000000-0005-0000-0000-000098150000}"/>
    <cellStyle name="Calculation 7 6 3 3 2" xfId="29876" xr:uid="{00000000-0005-0000-0000-000099150000}"/>
    <cellStyle name="Calculation 7 6 3 4" xfId="21827" xr:uid="{00000000-0005-0000-0000-00009A150000}"/>
    <cellStyle name="Calculation 7 6 4" xfId="2710" xr:uid="{00000000-0005-0000-0000-00009B150000}"/>
    <cellStyle name="Calculation 7 6 4 2" xfId="6801" xr:uid="{00000000-0005-0000-0000-00009C150000}"/>
    <cellStyle name="Calculation 7 6 4 2 2" xfId="23040" xr:uid="{00000000-0005-0000-0000-00009D150000}"/>
    <cellStyle name="Calculation 7 6 4 3" xfId="13048" xr:uid="{00000000-0005-0000-0000-00009E150000}"/>
    <cellStyle name="Calculation 7 6 4 3 2" xfId="27880" xr:uid="{00000000-0005-0000-0000-00009F150000}"/>
    <cellStyle name="Calculation 7 6 4 4" xfId="20700" xr:uid="{00000000-0005-0000-0000-0000A0150000}"/>
    <cellStyle name="Calculation 7 6 5" xfId="5859" xr:uid="{00000000-0005-0000-0000-0000A1150000}"/>
    <cellStyle name="Calculation 7 6 5 2" xfId="16051" xr:uid="{00000000-0005-0000-0000-0000A2150000}"/>
    <cellStyle name="Calculation 7 6 5 2 2" xfId="30883" xr:uid="{00000000-0005-0000-0000-0000A3150000}"/>
    <cellStyle name="Calculation 7 6 5 3" xfId="22456" xr:uid="{00000000-0005-0000-0000-0000A4150000}"/>
    <cellStyle name="Calculation 7 6 6" xfId="12121" xr:uid="{00000000-0005-0000-0000-0000A5150000}"/>
    <cellStyle name="Calculation 7 6 6 2" xfId="26953" xr:uid="{00000000-0005-0000-0000-0000A6150000}"/>
    <cellStyle name="Calculation 7 6 7" xfId="9732" xr:uid="{00000000-0005-0000-0000-0000A7150000}"/>
    <cellStyle name="Calculation 7 6 7 2" xfId="20030" xr:uid="{00000000-0005-0000-0000-0000A8150000}"/>
    <cellStyle name="Calculation 7 7" xfId="2224" xr:uid="{00000000-0005-0000-0000-0000A9150000}"/>
    <cellStyle name="Calculation 7 7 2" xfId="3578" xr:uid="{00000000-0005-0000-0000-0000AA150000}"/>
    <cellStyle name="Calculation 7 7 2 2" xfId="7640" xr:uid="{00000000-0005-0000-0000-0000AB150000}"/>
    <cellStyle name="Calculation 7 7 2 2 2" xfId="23562" xr:uid="{00000000-0005-0000-0000-0000AC150000}"/>
    <cellStyle name="Calculation 7 7 2 3" xfId="13914" xr:uid="{00000000-0005-0000-0000-0000AD150000}"/>
    <cellStyle name="Calculation 7 7 2 3 2" xfId="28746" xr:uid="{00000000-0005-0000-0000-0000AE150000}"/>
    <cellStyle name="Calculation 7 7 2 4" xfId="21231" xr:uid="{00000000-0005-0000-0000-0000AF150000}"/>
    <cellStyle name="Calculation 7 7 3" xfId="5192" xr:uid="{00000000-0005-0000-0000-0000B0150000}"/>
    <cellStyle name="Calculation 7 7 3 2" xfId="9231" xr:uid="{00000000-0005-0000-0000-0000B1150000}"/>
    <cellStyle name="Calculation 7 7 3 2 2" xfId="24569" xr:uid="{00000000-0005-0000-0000-0000B2150000}"/>
    <cellStyle name="Calculation 7 7 3 3" xfId="15510" xr:uid="{00000000-0005-0000-0000-0000B3150000}"/>
    <cellStyle name="Calculation 7 7 3 3 2" xfId="30342" xr:uid="{00000000-0005-0000-0000-0000B4150000}"/>
    <cellStyle name="Calculation 7 7 3 4" xfId="22076" xr:uid="{00000000-0005-0000-0000-0000B5150000}"/>
    <cellStyle name="Calculation 7 7 4" xfId="4222" xr:uid="{00000000-0005-0000-0000-0000B6150000}"/>
    <cellStyle name="Calculation 7 7 4 2" xfId="8263" xr:uid="{00000000-0005-0000-0000-0000B7150000}"/>
    <cellStyle name="Calculation 7 7 4 2 2" xfId="23958" xr:uid="{00000000-0005-0000-0000-0000B8150000}"/>
    <cellStyle name="Calculation 7 7 4 3" xfId="14554" xr:uid="{00000000-0005-0000-0000-0000B9150000}"/>
    <cellStyle name="Calculation 7 7 4 3 2" xfId="29386" xr:uid="{00000000-0005-0000-0000-0000BA150000}"/>
    <cellStyle name="Calculation 7 7 4 4" xfId="21583" xr:uid="{00000000-0005-0000-0000-0000BB150000}"/>
    <cellStyle name="Calculation 7 7 5" xfId="6338" xr:uid="{00000000-0005-0000-0000-0000BC150000}"/>
    <cellStyle name="Calculation 7 7 5 2" xfId="22740" xr:uid="{00000000-0005-0000-0000-0000BD150000}"/>
    <cellStyle name="Calculation 7 7 6" xfId="12592" xr:uid="{00000000-0005-0000-0000-0000BE150000}"/>
    <cellStyle name="Calculation 7 7 6 2" xfId="27424" xr:uid="{00000000-0005-0000-0000-0000BF150000}"/>
    <cellStyle name="Calculation 7 7 7" xfId="20419" xr:uid="{00000000-0005-0000-0000-0000C0150000}"/>
    <cellStyle name="Calculation 7 8" xfId="4129" xr:uid="{00000000-0005-0000-0000-0000C1150000}"/>
    <cellStyle name="Calculation 7 8 2" xfId="8173" xr:uid="{00000000-0005-0000-0000-0000C2150000}"/>
    <cellStyle name="Calculation 7 8 2 2" xfId="23907" xr:uid="{00000000-0005-0000-0000-0000C3150000}"/>
    <cellStyle name="Calculation 7 8 3" xfId="14461" xr:uid="{00000000-0005-0000-0000-0000C4150000}"/>
    <cellStyle name="Calculation 7 8 3 2" xfId="29293" xr:uid="{00000000-0005-0000-0000-0000C5150000}"/>
    <cellStyle name="Calculation 7 8 4" xfId="21534" xr:uid="{00000000-0005-0000-0000-0000C6150000}"/>
    <cellStyle name="Calculation 7 9" xfId="3307" xr:uid="{00000000-0005-0000-0000-0000C7150000}"/>
    <cellStyle name="Calculation 7 9 2" xfId="7371" xr:uid="{00000000-0005-0000-0000-0000C8150000}"/>
    <cellStyle name="Calculation 7 9 2 2" xfId="23390" xr:uid="{00000000-0005-0000-0000-0000C9150000}"/>
    <cellStyle name="Calculation 7 9 3" xfId="13644" xr:uid="{00000000-0005-0000-0000-0000CA150000}"/>
    <cellStyle name="Calculation 7 9 3 2" xfId="28476" xr:uid="{00000000-0005-0000-0000-0000CB150000}"/>
    <cellStyle name="Calculation 7 9 4" xfId="21077" xr:uid="{00000000-0005-0000-0000-0000CC150000}"/>
    <cellStyle name="Calculation 8" xfId="975" xr:uid="{00000000-0005-0000-0000-0000CD150000}"/>
    <cellStyle name="Calculation 8 10" xfId="2281" xr:uid="{00000000-0005-0000-0000-0000CE150000}"/>
    <cellStyle name="Calculation 8 10 2" xfId="6393" xr:uid="{00000000-0005-0000-0000-0000CF150000}"/>
    <cellStyle name="Calculation 8 10 2 2" xfId="22795" xr:uid="{00000000-0005-0000-0000-0000D0150000}"/>
    <cellStyle name="Calculation 8 10 3" xfId="12621" xr:uid="{00000000-0005-0000-0000-0000D1150000}"/>
    <cellStyle name="Calculation 8 10 3 2" xfId="27453" xr:uid="{00000000-0005-0000-0000-0000D2150000}"/>
    <cellStyle name="Calculation 8 10 4" xfId="20447" xr:uid="{00000000-0005-0000-0000-0000D3150000}"/>
    <cellStyle name="Calculation 8 11" xfId="5247" xr:uid="{00000000-0005-0000-0000-0000D4150000}"/>
    <cellStyle name="Calculation 8 11 2" xfId="15563" xr:uid="{00000000-0005-0000-0000-0000D5150000}"/>
    <cellStyle name="Calculation 8 11 2 2" xfId="30395" xr:uid="{00000000-0005-0000-0000-0000D6150000}"/>
    <cellStyle name="Calculation 8 11 3" xfId="22104" xr:uid="{00000000-0005-0000-0000-0000D7150000}"/>
    <cellStyle name="Calculation 8 12" xfId="5405" xr:uid="{00000000-0005-0000-0000-0000D8150000}"/>
    <cellStyle name="Calculation 8 12 2" xfId="15641" xr:uid="{00000000-0005-0000-0000-0000D9150000}"/>
    <cellStyle name="Calculation 8 12 2 2" xfId="30473" xr:uid="{00000000-0005-0000-0000-0000DA150000}"/>
    <cellStyle name="Calculation 8 12 3" xfId="22166" xr:uid="{00000000-0005-0000-0000-0000DB150000}"/>
    <cellStyle name="Calculation 8 13" xfId="9386" xr:uid="{00000000-0005-0000-0000-0000DC150000}"/>
    <cellStyle name="Calculation 8 13 2" xfId="24692" xr:uid="{00000000-0005-0000-0000-0000DD150000}"/>
    <cellStyle name="Calculation 8 14" xfId="6180" xr:uid="{00000000-0005-0000-0000-0000DE150000}"/>
    <cellStyle name="Calculation 8 14 2" xfId="18510" xr:uid="{00000000-0005-0000-0000-0000DF150000}"/>
    <cellStyle name="Calculation 8 2" xfId="1317" xr:uid="{00000000-0005-0000-0000-0000E0150000}"/>
    <cellStyle name="Calculation 8 2 2" xfId="1821" xr:uid="{00000000-0005-0000-0000-0000E1150000}"/>
    <cellStyle name="Calculation 8 2 2 2" xfId="3963" xr:uid="{00000000-0005-0000-0000-0000E2150000}"/>
    <cellStyle name="Calculation 8 2 2 2 2" xfId="8013" xr:uid="{00000000-0005-0000-0000-0000E3150000}"/>
    <cellStyle name="Calculation 8 2 2 2 2 2" xfId="23806" xr:uid="{00000000-0005-0000-0000-0000E4150000}"/>
    <cellStyle name="Calculation 8 2 2 2 3" xfId="14296" xr:uid="{00000000-0005-0000-0000-0000E5150000}"/>
    <cellStyle name="Calculation 8 2 2 2 3 2" xfId="29128" xr:uid="{00000000-0005-0000-0000-0000E6150000}"/>
    <cellStyle name="Calculation 8 2 2 2 4" xfId="21448" xr:uid="{00000000-0005-0000-0000-0000E7150000}"/>
    <cellStyle name="Calculation 8 2 2 3" xfId="4799" xr:uid="{00000000-0005-0000-0000-0000E8150000}"/>
    <cellStyle name="Calculation 8 2 2 3 2" xfId="8838" xr:uid="{00000000-0005-0000-0000-0000E9150000}"/>
    <cellStyle name="Calculation 8 2 2 3 2 2" xfId="24336" xr:uid="{00000000-0005-0000-0000-0000EA150000}"/>
    <cellStyle name="Calculation 8 2 2 3 3" xfId="15123" xr:uid="{00000000-0005-0000-0000-0000EB150000}"/>
    <cellStyle name="Calculation 8 2 2 3 3 2" xfId="29955" xr:uid="{00000000-0005-0000-0000-0000EC150000}"/>
    <cellStyle name="Calculation 8 2 2 3 4" xfId="21874" xr:uid="{00000000-0005-0000-0000-0000ED150000}"/>
    <cellStyle name="Calculation 8 2 2 4" xfId="2789" xr:uid="{00000000-0005-0000-0000-0000EE150000}"/>
    <cellStyle name="Calculation 8 2 2 4 2" xfId="6880" xr:uid="{00000000-0005-0000-0000-0000EF150000}"/>
    <cellStyle name="Calculation 8 2 2 4 2 2" xfId="23087" xr:uid="{00000000-0005-0000-0000-0000F0150000}"/>
    <cellStyle name="Calculation 8 2 2 4 3" xfId="13127" xr:uid="{00000000-0005-0000-0000-0000F1150000}"/>
    <cellStyle name="Calculation 8 2 2 4 3 2" xfId="27959" xr:uid="{00000000-0005-0000-0000-0000F2150000}"/>
    <cellStyle name="Calculation 8 2 2 4 4" xfId="20747" xr:uid="{00000000-0005-0000-0000-0000F3150000}"/>
    <cellStyle name="Calculation 8 2 2 5" xfId="5953" xr:uid="{00000000-0005-0000-0000-0000F4150000}"/>
    <cellStyle name="Calculation 8 2 2 5 2" xfId="16145" xr:uid="{00000000-0005-0000-0000-0000F5150000}"/>
    <cellStyle name="Calculation 8 2 2 5 2 2" xfId="30977" xr:uid="{00000000-0005-0000-0000-0000F6150000}"/>
    <cellStyle name="Calculation 8 2 2 5 3" xfId="22518" xr:uid="{00000000-0005-0000-0000-0000F7150000}"/>
    <cellStyle name="Calculation 8 2 2 6" xfId="12215" xr:uid="{00000000-0005-0000-0000-0000F8150000}"/>
    <cellStyle name="Calculation 8 2 2 6 2" xfId="27047" xr:uid="{00000000-0005-0000-0000-0000F9150000}"/>
    <cellStyle name="Calculation 8 2 2 7" xfId="9811" xr:uid="{00000000-0005-0000-0000-0000FA150000}"/>
    <cellStyle name="Calculation 8 2 2 7 2" xfId="20062" xr:uid="{00000000-0005-0000-0000-0000FB150000}"/>
    <cellStyle name="Calculation 8 2 3" xfId="4091" xr:uid="{00000000-0005-0000-0000-0000FC150000}"/>
    <cellStyle name="Calculation 8 2 3 2" xfId="8137" xr:uid="{00000000-0005-0000-0000-0000FD150000}"/>
    <cellStyle name="Calculation 8 2 3 2 2" xfId="23885" xr:uid="{00000000-0005-0000-0000-0000FE150000}"/>
    <cellStyle name="Calculation 8 2 3 3" xfId="14423" xr:uid="{00000000-0005-0000-0000-0000FF150000}"/>
    <cellStyle name="Calculation 8 2 3 3 2" xfId="29255" xr:uid="{00000000-0005-0000-0000-000000160000}"/>
    <cellStyle name="Calculation 8 2 3 4" xfId="21515" xr:uid="{00000000-0005-0000-0000-000001160000}"/>
    <cellStyle name="Calculation 8 2 4" xfId="4379" xr:uid="{00000000-0005-0000-0000-000002160000}"/>
    <cellStyle name="Calculation 8 2 4 2" xfId="8418" xr:uid="{00000000-0005-0000-0000-000003160000}"/>
    <cellStyle name="Calculation 8 2 4 2 2" xfId="24076" xr:uid="{00000000-0005-0000-0000-000004160000}"/>
    <cellStyle name="Calculation 8 2 4 3" xfId="14708" xr:uid="{00000000-0005-0000-0000-000005160000}"/>
    <cellStyle name="Calculation 8 2 4 3 2" xfId="29540" xr:uid="{00000000-0005-0000-0000-000006160000}"/>
    <cellStyle name="Calculation 8 2 4 4" xfId="21644" xr:uid="{00000000-0005-0000-0000-000007160000}"/>
    <cellStyle name="Calculation 8 2 5" xfId="2369" xr:uid="{00000000-0005-0000-0000-000008160000}"/>
    <cellStyle name="Calculation 8 2 5 2" xfId="6481" xr:uid="{00000000-0005-0000-0000-000009160000}"/>
    <cellStyle name="Calculation 8 2 5 2 2" xfId="22851" xr:uid="{00000000-0005-0000-0000-00000A160000}"/>
    <cellStyle name="Calculation 8 2 5 3" xfId="12708" xr:uid="{00000000-0005-0000-0000-00000B160000}"/>
    <cellStyle name="Calculation 8 2 5 3 2" xfId="27540" xr:uid="{00000000-0005-0000-0000-00000C160000}"/>
    <cellStyle name="Calculation 8 2 5 4" xfId="20493" xr:uid="{00000000-0005-0000-0000-00000D160000}"/>
    <cellStyle name="Calculation 8 2 6" xfId="5494" xr:uid="{00000000-0005-0000-0000-00000E160000}"/>
    <cellStyle name="Calculation 8 2 6 2" xfId="15729" xr:uid="{00000000-0005-0000-0000-00000F160000}"/>
    <cellStyle name="Calculation 8 2 6 2 2" xfId="30561" xr:uid="{00000000-0005-0000-0000-000010160000}"/>
    <cellStyle name="Calculation 8 2 6 3" xfId="22222" xr:uid="{00000000-0005-0000-0000-000011160000}"/>
    <cellStyle name="Calculation 8 2 7" xfId="11744" xr:uid="{00000000-0005-0000-0000-000012160000}"/>
    <cellStyle name="Calculation 8 2 7 2" xfId="26576" xr:uid="{00000000-0005-0000-0000-000013160000}"/>
    <cellStyle name="Calculation 8 2 8" xfId="9415" xr:uid="{00000000-0005-0000-0000-000014160000}"/>
    <cellStyle name="Calculation 8 2 8 2" xfId="19719" xr:uid="{00000000-0005-0000-0000-000015160000}"/>
    <cellStyle name="Calculation 8 3" xfId="1451" xr:uid="{00000000-0005-0000-0000-000016160000}"/>
    <cellStyle name="Calculation 8 3 2" xfId="1952" xr:uid="{00000000-0005-0000-0000-000017160000}"/>
    <cellStyle name="Calculation 8 3 2 2" xfId="3523" xr:uid="{00000000-0005-0000-0000-000018160000}"/>
    <cellStyle name="Calculation 8 3 2 2 2" xfId="7585" xr:uid="{00000000-0005-0000-0000-000019160000}"/>
    <cellStyle name="Calculation 8 3 2 2 2 2" xfId="23533" xr:uid="{00000000-0005-0000-0000-00001A160000}"/>
    <cellStyle name="Calculation 8 3 2 2 3" xfId="13860" xr:uid="{00000000-0005-0000-0000-00001B160000}"/>
    <cellStyle name="Calculation 8 3 2 2 3 2" xfId="28692" xr:uid="{00000000-0005-0000-0000-00001C160000}"/>
    <cellStyle name="Calculation 8 3 2 2 4" xfId="21208" xr:uid="{00000000-0005-0000-0000-00001D160000}"/>
    <cellStyle name="Calculation 8 3 2 3" xfId="4931" xr:uid="{00000000-0005-0000-0000-00001E160000}"/>
    <cellStyle name="Calculation 8 3 2 3 2" xfId="8970" xr:uid="{00000000-0005-0000-0000-00001F160000}"/>
    <cellStyle name="Calculation 8 3 2 3 2 2" xfId="24436" xr:uid="{00000000-0005-0000-0000-000020160000}"/>
    <cellStyle name="Calculation 8 3 2 3 3" xfId="15253" xr:uid="{00000000-0005-0000-0000-000021160000}"/>
    <cellStyle name="Calculation 8 3 2 3 3 2" xfId="30085" xr:uid="{00000000-0005-0000-0000-000022160000}"/>
    <cellStyle name="Calculation 8 3 2 3 4" xfId="21966" xr:uid="{00000000-0005-0000-0000-000023160000}"/>
    <cellStyle name="Calculation 8 3 2 4" xfId="2921" xr:uid="{00000000-0005-0000-0000-000024160000}"/>
    <cellStyle name="Calculation 8 3 2 4 2" xfId="7005" xr:uid="{00000000-0005-0000-0000-000025160000}"/>
    <cellStyle name="Calculation 8 3 2 4 2 2" xfId="23179" xr:uid="{00000000-0005-0000-0000-000026160000}"/>
    <cellStyle name="Calculation 8 3 2 4 3" xfId="13259" xr:uid="{00000000-0005-0000-0000-000027160000}"/>
    <cellStyle name="Calculation 8 3 2 4 3 2" xfId="28091" xr:uid="{00000000-0005-0000-0000-000028160000}"/>
    <cellStyle name="Calculation 8 3 2 4 4" xfId="20847" xr:uid="{00000000-0005-0000-0000-000029160000}"/>
    <cellStyle name="Calculation 8 3 2 5" xfId="6082" xr:uid="{00000000-0005-0000-0000-00002A160000}"/>
    <cellStyle name="Calculation 8 3 2 5 2" xfId="16269" xr:uid="{00000000-0005-0000-0000-00002B160000}"/>
    <cellStyle name="Calculation 8 3 2 5 2 2" xfId="31101" xr:uid="{00000000-0005-0000-0000-00002C160000}"/>
    <cellStyle name="Calculation 8 3 2 5 3" xfId="22615" xr:uid="{00000000-0005-0000-0000-00002D160000}"/>
    <cellStyle name="Calculation 8 3 2 6" xfId="12339" xr:uid="{00000000-0005-0000-0000-00002E160000}"/>
    <cellStyle name="Calculation 8 3 2 6 2" xfId="27171" xr:uid="{00000000-0005-0000-0000-00002F160000}"/>
    <cellStyle name="Calculation 8 3 2 7" xfId="9936" xr:uid="{00000000-0005-0000-0000-000030160000}"/>
    <cellStyle name="Calculation 8 3 2 7 2" xfId="20138" xr:uid="{00000000-0005-0000-0000-000031160000}"/>
    <cellStyle name="Calculation 8 3 3" xfId="3570" xr:uid="{00000000-0005-0000-0000-000032160000}"/>
    <cellStyle name="Calculation 8 3 3 2" xfId="7632" xr:uid="{00000000-0005-0000-0000-000033160000}"/>
    <cellStyle name="Calculation 8 3 3 2 2" xfId="23558" xr:uid="{00000000-0005-0000-0000-000034160000}"/>
    <cellStyle name="Calculation 8 3 3 3" xfId="13906" xr:uid="{00000000-0005-0000-0000-000035160000}"/>
    <cellStyle name="Calculation 8 3 3 3 2" xfId="28738" xr:uid="{00000000-0005-0000-0000-000036160000}"/>
    <cellStyle name="Calculation 8 3 3 4" xfId="21228" xr:uid="{00000000-0005-0000-0000-000037160000}"/>
    <cellStyle name="Calculation 8 3 4" xfId="4511" xr:uid="{00000000-0005-0000-0000-000038160000}"/>
    <cellStyle name="Calculation 8 3 4 2" xfId="8550" xr:uid="{00000000-0005-0000-0000-000039160000}"/>
    <cellStyle name="Calculation 8 3 4 2 2" xfId="24176" xr:uid="{00000000-0005-0000-0000-00003A160000}"/>
    <cellStyle name="Calculation 8 3 4 3" xfId="14838" xr:uid="{00000000-0005-0000-0000-00003B160000}"/>
    <cellStyle name="Calculation 8 3 4 3 2" xfId="29670" xr:uid="{00000000-0005-0000-0000-00003C160000}"/>
    <cellStyle name="Calculation 8 3 4 4" xfId="21736" xr:uid="{00000000-0005-0000-0000-00003D160000}"/>
    <cellStyle name="Calculation 8 3 5" xfId="2501" xr:uid="{00000000-0005-0000-0000-00003E160000}"/>
    <cellStyle name="Calculation 8 3 5 2" xfId="6607" xr:uid="{00000000-0005-0000-0000-00003F160000}"/>
    <cellStyle name="Calculation 8 3 5 2 2" xfId="22945" xr:uid="{00000000-0005-0000-0000-000040160000}"/>
    <cellStyle name="Calculation 8 3 5 3" xfId="12839" xr:uid="{00000000-0005-0000-0000-000041160000}"/>
    <cellStyle name="Calculation 8 3 5 3 2" xfId="27671" xr:uid="{00000000-0005-0000-0000-000042160000}"/>
    <cellStyle name="Calculation 8 3 5 4" xfId="20591" xr:uid="{00000000-0005-0000-0000-000043160000}"/>
    <cellStyle name="Calculation 8 3 6" xfId="5624" xr:uid="{00000000-0005-0000-0000-000044160000}"/>
    <cellStyle name="Calculation 8 3 6 2" xfId="15859" xr:uid="{00000000-0005-0000-0000-000045160000}"/>
    <cellStyle name="Calculation 8 3 6 2 2" xfId="30691" xr:uid="{00000000-0005-0000-0000-000046160000}"/>
    <cellStyle name="Calculation 8 3 6 3" xfId="22320" xr:uid="{00000000-0005-0000-0000-000047160000}"/>
    <cellStyle name="Calculation 8 3 7" xfId="11868" xr:uid="{00000000-0005-0000-0000-000048160000}"/>
    <cellStyle name="Calculation 8 3 7 2" xfId="26700" xr:uid="{00000000-0005-0000-0000-000049160000}"/>
    <cellStyle name="Calculation 8 3 8" xfId="9541" xr:uid="{00000000-0005-0000-0000-00004A160000}"/>
    <cellStyle name="Calculation 8 3 8 2" xfId="19843" xr:uid="{00000000-0005-0000-0000-00004B160000}"/>
    <cellStyle name="Calculation 8 4" xfId="1406" xr:uid="{00000000-0005-0000-0000-00004C160000}"/>
    <cellStyle name="Calculation 8 4 2" xfId="1908" xr:uid="{00000000-0005-0000-0000-00004D160000}"/>
    <cellStyle name="Calculation 8 4 2 2" xfId="3593" xr:uid="{00000000-0005-0000-0000-00004E160000}"/>
    <cellStyle name="Calculation 8 4 2 2 2" xfId="7655" xr:uid="{00000000-0005-0000-0000-00004F160000}"/>
    <cellStyle name="Calculation 8 4 2 2 2 2" xfId="23571" xr:uid="{00000000-0005-0000-0000-000050160000}"/>
    <cellStyle name="Calculation 8 4 2 2 3" xfId="13929" xr:uid="{00000000-0005-0000-0000-000051160000}"/>
    <cellStyle name="Calculation 8 4 2 2 3 2" xfId="28761" xr:uid="{00000000-0005-0000-0000-000052160000}"/>
    <cellStyle name="Calculation 8 4 2 2 4" xfId="21240" xr:uid="{00000000-0005-0000-0000-000053160000}"/>
    <cellStyle name="Calculation 8 4 2 3" xfId="4886" xr:uid="{00000000-0005-0000-0000-000054160000}"/>
    <cellStyle name="Calculation 8 4 2 3 2" xfId="8925" xr:uid="{00000000-0005-0000-0000-000055160000}"/>
    <cellStyle name="Calculation 8 4 2 3 2 2" xfId="24391" xr:uid="{00000000-0005-0000-0000-000056160000}"/>
    <cellStyle name="Calculation 8 4 2 3 3" xfId="15209" xr:uid="{00000000-0005-0000-0000-000057160000}"/>
    <cellStyle name="Calculation 8 4 2 3 3 2" xfId="30041" xr:uid="{00000000-0005-0000-0000-000058160000}"/>
    <cellStyle name="Calculation 8 4 2 3 4" xfId="21923" xr:uid="{00000000-0005-0000-0000-000059160000}"/>
    <cellStyle name="Calculation 8 4 2 4" xfId="2876" xr:uid="{00000000-0005-0000-0000-00005A160000}"/>
    <cellStyle name="Calculation 8 4 2 4 2" xfId="6961" xr:uid="{00000000-0005-0000-0000-00005B160000}"/>
    <cellStyle name="Calculation 8 4 2 4 2 2" xfId="23136" xr:uid="{00000000-0005-0000-0000-00005C160000}"/>
    <cellStyle name="Calculation 8 4 2 4 3" xfId="13214" xr:uid="{00000000-0005-0000-0000-00005D160000}"/>
    <cellStyle name="Calculation 8 4 2 4 3 2" xfId="28046" xr:uid="{00000000-0005-0000-0000-00005E160000}"/>
    <cellStyle name="Calculation 8 4 2 4 4" xfId="20802" xr:uid="{00000000-0005-0000-0000-00005F160000}"/>
    <cellStyle name="Calculation 8 4 2 5" xfId="6039" xr:uid="{00000000-0005-0000-0000-000060160000}"/>
    <cellStyle name="Calculation 8 4 2 5 2" xfId="16226" xr:uid="{00000000-0005-0000-0000-000061160000}"/>
    <cellStyle name="Calculation 8 4 2 5 2 2" xfId="31058" xr:uid="{00000000-0005-0000-0000-000062160000}"/>
    <cellStyle name="Calculation 8 4 2 5 3" xfId="22572" xr:uid="{00000000-0005-0000-0000-000063160000}"/>
    <cellStyle name="Calculation 8 4 2 6" xfId="12296" xr:uid="{00000000-0005-0000-0000-000064160000}"/>
    <cellStyle name="Calculation 8 4 2 6 2" xfId="27128" xr:uid="{00000000-0005-0000-0000-000065160000}"/>
    <cellStyle name="Calculation 8 4 2 7" xfId="9892" xr:uid="{00000000-0005-0000-0000-000066160000}"/>
    <cellStyle name="Calculation 8 4 2 7 2" xfId="20095" xr:uid="{00000000-0005-0000-0000-000067160000}"/>
    <cellStyle name="Calculation 8 4 3" xfId="3982" xr:uid="{00000000-0005-0000-0000-000068160000}"/>
    <cellStyle name="Calculation 8 4 3 2" xfId="8031" xr:uid="{00000000-0005-0000-0000-000069160000}"/>
    <cellStyle name="Calculation 8 4 3 2 2" xfId="23821" xr:uid="{00000000-0005-0000-0000-00006A160000}"/>
    <cellStyle name="Calculation 8 4 3 3" xfId="14315" xr:uid="{00000000-0005-0000-0000-00006B160000}"/>
    <cellStyle name="Calculation 8 4 3 3 2" xfId="29147" xr:uid="{00000000-0005-0000-0000-00006C160000}"/>
    <cellStyle name="Calculation 8 4 3 4" xfId="21459" xr:uid="{00000000-0005-0000-0000-00006D160000}"/>
    <cellStyle name="Calculation 8 4 4" xfId="4466" xr:uid="{00000000-0005-0000-0000-00006E160000}"/>
    <cellStyle name="Calculation 8 4 4 2" xfId="8505" xr:uid="{00000000-0005-0000-0000-00006F160000}"/>
    <cellStyle name="Calculation 8 4 4 2 2" xfId="24131" xr:uid="{00000000-0005-0000-0000-000070160000}"/>
    <cellStyle name="Calculation 8 4 4 3" xfId="14794" xr:uid="{00000000-0005-0000-0000-000071160000}"/>
    <cellStyle name="Calculation 8 4 4 3 2" xfId="29626" xr:uid="{00000000-0005-0000-0000-000072160000}"/>
    <cellStyle name="Calculation 8 4 4 4" xfId="21693" xr:uid="{00000000-0005-0000-0000-000073160000}"/>
    <cellStyle name="Calculation 8 4 5" xfId="2456" xr:uid="{00000000-0005-0000-0000-000074160000}"/>
    <cellStyle name="Calculation 8 4 5 2" xfId="6562" xr:uid="{00000000-0005-0000-0000-000075160000}"/>
    <cellStyle name="Calculation 8 4 5 2 2" xfId="22900" xr:uid="{00000000-0005-0000-0000-000076160000}"/>
    <cellStyle name="Calculation 8 4 5 3" xfId="12795" xr:uid="{00000000-0005-0000-0000-000077160000}"/>
    <cellStyle name="Calculation 8 4 5 3 2" xfId="27627" xr:uid="{00000000-0005-0000-0000-000078160000}"/>
    <cellStyle name="Calculation 8 4 5 4" xfId="20548" xr:uid="{00000000-0005-0000-0000-000079160000}"/>
    <cellStyle name="Calculation 8 4 6" xfId="5580" xr:uid="{00000000-0005-0000-0000-00007A160000}"/>
    <cellStyle name="Calculation 8 4 6 2" xfId="15815" xr:uid="{00000000-0005-0000-0000-00007B160000}"/>
    <cellStyle name="Calculation 8 4 6 2 2" xfId="30647" xr:uid="{00000000-0005-0000-0000-00007C160000}"/>
    <cellStyle name="Calculation 8 4 6 3" xfId="22276" xr:uid="{00000000-0005-0000-0000-00007D160000}"/>
    <cellStyle name="Calculation 8 4 7" xfId="11825" xr:uid="{00000000-0005-0000-0000-00007E160000}"/>
    <cellStyle name="Calculation 8 4 7 2" xfId="26657" xr:uid="{00000000-0005-0000-0000-00007F160000}"/>
    <cellStyle name="Calculation 8 4 8" xfId="9497" xr:uid="{00000000-0005-0000-0000-000080160000}"/>
    <cellStyle name="Calculation 8 4 8 2" xfId="19800" xr:uid="{00000000-0005-0000-0000-000081160000}"/>
    <cellStyle name="Calculation 8 5" xfId="1436" xr:uid="{00000000-0005-0000-0000-000082160000}"/>
    <cellStyle name="Calculation 8 5 2" xfId="1937" xr:uid="{00000000-0005-0000-0000-000083160000}"/>
    <cellStyle name="Calculation 8 5 2 2" xfId="3680" xr:uid="{00000000-0005-0000-0000-000084160000}"/>
    <cellStyle name="Calculation 8 5 2 2 2" xfId="7738" xr:uid="{00000000-0005-0000-0000-000085160000}"/>
    <cellStyle name="Calculation 8 5 2 2 2 2" xfId="23628" xr:uid="{00000000-0005-0000-0000-000086160000}"/>
    <cellStyle name="Calculation 8 5 2 2 3" xfId="14015" xr:uid="{00000000-0005-0000-0000-000087160000}"/>
    <cellStyle name="Calculation 8 5 2 2 3 2" xfId="28847" xr:uid="{00000000-0005-0000-0000-000088160000}"/>
    <cellStyle name="Calculation 8 5 2 2 4" xfId="21288" xr:uid="{00000000-0005-0000-0000-000089160000}"/>
    <cellStyle name="Calculation 8 5 2 3" xfId="4916" xr:uid="{00000000-0005-0000-0000-00008A160000}"/>
    <cellStyle name="Calculation 8 5 2 3 2" xfId="8955" xr:uid="{00000000-0005-0000-0000-00008B160000}"/>
    <cellStyle name="Calculation 8 5 2 3 2 2" xfId="24421" xr:uid="{00000000-0005-0000-0000-00008C160000}"/>
    <cellStyle name="Calculation 8 5 2 3 3" xfId="15238" xr:uid="{00000000-0005-0000-0000-00008D160000}"/>
    <cellStyle name="Calculation 8 5 2 3 3 2" xfId="30070" xr:uid="{00000000-0005-0000-0000-00008E160000}"/>
    <cellStyle name="Calculation 8 5 2 3 4" xfId="21951" xr:uid="{00000000-0005-0000-0000-00008F160000}"/>
    <cellStyle name="Calculation 8 5 2 4" xfId="2906" xr:uid="{00000000-0005-0000-0000-000090160000}"/>
    <cellStyle name="Calculation 8 5 2 4 2" xfId="6990" xr:uid="{00000000-0005-0000-0000-000091160000}"/>
    <cellStyle name="Calculation 8 5 2 4 2 2" xfId="23164" xr:uid="{00000000-0005-0000-0000-000092160000}"/>
    <cellStyle name="Calculation 8 5 2 4 3" xfId="13244" xr:uid="{00000000-0005-0000-0000-000093160000}"/>
    <cellStyle name="Calculation 8 5 2 4 3 2" xfId="28076" xr:uid="{00000000-0005-0000-0000-000094160000}"/>
    <cellStyle name="Calculation 8 5 2 4 4" xfId="20832" xr:uid="{00000000-0005-0000-0000-000095160000}"/>
    <cellStyle name="Calculation 8 5 2 5" xfId="6067" xr:uid="{00000000-0005-0000-0000-000096160000}"/>
    <cellStyle name="Calculation 8 5 2 5 2" xfId="16254" xr:uid="{00000000-0005-0000-0000-000097160000}"/>
    <cellStyle name="Calculation 8 5 2 5 2 2" xfId="31086" xr:uid="{00000000-0005-0000-0000-000098160000}"/>
    <cellStyle name="Calculation 8 5 2 5 3" xfId="22600" xr:uid="{00000000-0005-0000-0000-000099160000}"/>
    <cellStyle name="Calculation 8 5 2 6" xfId="12324" xr:uid="{00000000-0005-0000-0000-00009A160000}"/>
    <cellStyle name="Calculation 8 5 2 6 2" xfId="27156" xr:uid="{00000000-0005-0000-0000-00009B160000}"/>
    <cellStyle name="Calculation 8 5 2 7" xfId="9921" xr:uid="{00000000-0005-0000-0000-00009C160000}"/>
    <cellStyle name="Calculation 8 5 2 7 2" xfId="20123" xr:uid="{00000000-0005-0000-0000-00009D160000}"/>
    <cellStyle name="Calculation 8 5 3" xfId="3753" xr:uid="{00000000-0005-0000-0000-00009E160000}"/>
    <cellStyle name="Calculation 8 5 3 2" xfId="7809" xr:uid="{00000000-0005-0000-0000-00009F160000}"/>
    <cellStyle name="Calculation 8 5 3 2 2" xfId="23678" xr:uid="{00000000-0005-0000-0000-0000A0160000}"/>
    <cellStyle name="Calculation 8 5 3 3" xfId="14088" xr:uid="{00000000-0005-0000-0000-0000A1160000}"/>
    <cellStyle name="Calculation 8 5 3 3 2" xfId="28920" xr:uid="{00000000-0005-0000-0000-0000A2160000}"/>
    <cellStyle name="Calculation 8 5 3 4" xfId="21334" xr:uid="{00000000-0005-0000-0000-0000A3160000}"/>
    <cellStyle name="Calculation 8 5 4" xfId="4496" xr:uid="{00000000-0005-0000-0000-0000A4160000}"/>
    <cellStyle name="Calculation 8 5 4 2" xfId="8535" xr:uid="{00000000-0005-0000-0000-0000A5160000}"/>
    <cellStyle name="Calculation 8 5 4 2 2" xfId="24161" xr:uid="{00000000-0005-0000-0000-0000A6160000}"/>
    <cellStyle name="Calculation 8 5 4 3" xfId="14823" xr:uid="{00000000-0005-0000-0000-0000A7160000}"/>
    <cellStyle name="Calculation 8 5 4 3 2" xfId="29655" xr:uid="{00000000-0005-0000-0000-0000A8160000}"/>
    <cellStyle name="Calculation 8 5 4 4" xfId="21721" xr:uid="{00000000-0005-0000-0000-0000A9160000}"/>
    <cellStyle name="Calculation 8 5 5" xfId="2486" xr:uid="{00000000-0005-0000-0000-0000AA160000}"/>
    <cellStyle name="Calculation 8 5 5 2" xfId="6592" xr:uid="{00000000-0005-0000-0000-0000AB160000}"/>
    <cellStyle name="Calculation 8 5 5 2 2" xfId="22930" xr:uid="{00000000-0005-0000-0000-0000AC160000}"/>
    <cellStyle name="Calculation 8 5 5 3" xfId="12824" xr:uid="{00000000-0005-0000-0000-0000AD160000}"/>
    <cellStyle name="Calculation 8 5 5 3 2" xfId="27656" xr:uid="{00000000-0005-0000-0000-0000AE160000}"/>
    <cellStyle name="Calculation 8 5 5 4" xfId="20576" xr:uid="{00000000-0005-0000-0000-0000AF160000}"/>
    <cellStyle name="Calculation 8 5 6" xfId="5609" xr:uid="{00000000-0005-0000-0000-0000B0160000}"/>
    <cellStyle name="Calculation 8 5 6 2" xfId="15844" xr:uid="{00000000-0005-0000-0000-0000B1160000}"/>
    <cellStyle name="Calculation 8 5 6 2 2" xfId="30676" xr:uid="{00000000-0005-0000-0000-0000B2160000}"/>
    <cellStyle name="Calculation 8 5 6 3" xfId="22305" xr:uid="{00000000-0005-0000-0000-0000B3160000}"/>
    <cellStyle name="Calculation 8 5 7" xfId="11853" xr:uid="{00000000-0005-0000-0000-0000B4160000}"/>
    <cellStyle name="Calculation 8 5 7 2" xfId="26685" xr:uid="{00000000-0005-0000-0000-0000B5160000}"/>
    <cellStyle name="Calculation 8 5 8" xfId="9526" xr:uid="{00000000-0005-0000-0000-0000B6160000}"/>
    <cellStyle name="Calculation 8 5 8 2" xfId="19828" xr:uid="{00000000-0005-0000-0000-0000B7160000}"/>
    <cellStyle name="Calculation 8 6" xfId="1728" xr:uid="{00000000-0005-0000-0000-0000B8160000}"/>
    <cellStyle name="Calculation 8 6 2" xfId="3508" xr:uid="{00000000-0005-0000-0000-0000B9160000}"/>
    <cellStyle name="Calculation 8 6 2 2" xfId="7570" xr:uid="{00000000-0005-0000-0000-0000BA160000}"/>
    <cellStyle name="Calculation 8 6 2 2 2" xfId="23522" xr:uid="{00000000-0005-0000-0000-0000BB160000}"/>
    <cellStyle name="Calculation 8 6 2 3" xfId="13845" xr:uid="{00000000-0005-0000-0000-0000BC160000}"/>
    <cellStyle name="Calculation 8 6 2 3 2" xfId="28677" xr:uid="{00000000-0005-0000-0000-0000BD160000}"/>
    <cellStyle name="Calculation 8 6 2 4" xfId="21197" xr:uid="{00000000-0005-0000-0000-0000BE160000}"/>
    <cellStyle name="Calculation 8 6 3" xfId="4721" xr:uid="{00000000-0005-0000-0000-0000BF160000}"/>
    <cellStyle name="Calculation 8 6 3 2" xfId="8760" xr:uid="{00000000-0005-0000-0000-0000C0160000}"/>
    <cellStyle name="Calculation 8 6 3 2 2" xfId="24290" xr:uid="{00000000-0005-0000-0000-0000C1160000}"/>
    <cellStyle name="Calculation 8 6 3 3" xfId="15045" xr:uid="{00000000-0005-0000-0000-0000C2160000}"/>
    <cellStyle name="Calculation 8 6 3 3 2" xfId="29877" xr:uid="{00000000-0005-0000-0000-0000C3160000}"/>
    <cellStyle name="Calculation 8 6 3 4" xfId="21828" xr:uid="{00000000-0005-0000-0000-0000C4160000}"/>
    <cellStyle name="Calculation 8 6 4" xfId="2711" xr:uid="{00000000-0005-0000-0000-0000C5160000}"/>
    <cellStyle name="Calculation 8 6 4 2" xfId="6802" xr:uid="{00000000-0005-0000-0000-0000C6160000}"/>
    <cellStyle name="Calculation 8 6 4 2 2" xfId="23041" xr:uid="{00000000-0005-0000-0000-0000C7160000}"/>
    <cellStyle name="Calculation 8 6 4 3" xfId="13049" xr:uid="{00000000-0005-0000-0000-0000C8160000}"/>
    <cellStyle name="Calculation 8 6 4 3 2" xfId="27881" xr:uid="{00000000-0005-0000-0000-0000C9160000}"/>
    <cellStyle name="Calculation 8 6 4 4" xfId="20701" xr:uid="{00000000-0005-0000-0000-0000CA160000}"/>
    <cellStyle name="Calculation 8 6 5" xfId="5860" xr:uid="{00000000-0005-0000-0000-0000CB160000}"/>
    <cellStyle name="Calculation 8 6 5 2" xfId="16052" xr:uid="{00000000-0005-0000-0000-0000CC160000}"/>
    <cellStyle name="Calculation 8 6 5 2 2" xfId="30884" xr:uid="{00000000-0005-0000-0000-0000CD160000}"/>
    <cellStyle name="Calculation 8 6 5 3" xfId="22457" xr:uid="{00000000-0005-0000-0000-0000CE160000}"/>
    <cellStyle name="Calculation 8 6 6" xfId="12122" xr:uid="{00000000-0005-0000-0000-0000CF160000}"/>
    <cellStyle name="Calculation 8 6 6 2" xfId="26954" xr:uid="{00000000-0005-0000-0000-0000D0160000}"/>
    <cellStyle name="Calculation 8 6 7" xfId="9733" xr:uid="{00000000-0005-0000-0000-0000D1160000}"/>
    <cellStyle name="Calculation 8 6 7 2" xfId="20031" xr:uid="{00000000-0005-0000-0000-0000D2160000}"/>
    <cellStyle name="Calculation 8 7" xfId="2223" xr:uid="{00000000-0005-0000-0000-0000D3160000}"/>
    <cellStyle name="Calculation 8 7 2" xfId="3476" xr:uid="{00000000-0005-0000-0000-0000D4160000}"/>
    <cellStyle name="Calculation 8 7 2 2" xfId="7538" xr:uid="{00000000-0005-0000-0000-0000D5160000}"/>
    <cellStyle name="Calculation 8 7 2 2 2" xfId="23504" xr:uid="{00000000-0005-0000-0000-0000D6160000}"/>
    <cellStyle name="Calculation 8 7 2 3" xfId="13813" xr:uid="{00000000-0005-0000-0000-0000D7160000}"/>
    <cellStyle name="Calculation 8 7 2 3 2" xfId="28645" xr:uid="{00000000-0005-0000-0000-0000D8160000}"/>
    <cellStyle name="Calculation 8 7 2 4" xfId="21180" xr:uid="{00000000-0005-0000-0000-0000D9160000}"/>
    <cellStyle name="Calculation 8 7 3" xfId="5191" xr:uid="{00000000-0005-0000-0000-0000DA160000}"/>
    <cellStyle name="Calculation 8 7 3 2" xfId="9230" xr:uid="{00000000-0005-0000-0000-0000DB160000}"/>
    <cellStyle name="Calculation 8 7 3 2 2" xfId="24568" xr:uid="{00000000-0005-0000-0000-0000DC160000}"/>
    <cellStyle name="Calculation 8 7 3 3" xfId="15509" xr:uid="{00000000-0005-0000-0000-0000DD160000}"/>
    <cellStyle name="Calculation 8 7 3 3 2" xfId="30341" xr:uid="{00000000-0005-0000-0000-0000DE160000}"/>
    <cellStyle name="Calculation 8 7 3 4" xfId="22075" xr:uid="{00000000-0005-0000-0000-0000DF160000}"/>
    <cellStyle name="Calculation 8 7 4" xfId="4221" xr:uid="{00000000-0005-0000-0000-0000E0160000}"/>
    <cellStyle name="Calculation 8 7 4 2" xfId="8262" xr:uid="{00000000-0005-0000-0000-0000E1160000}"/>
    <cellStyle name="Calculation 8 7 4 2 2" xfId="23957" xr:uid="{00000000-0005-0000-0000-0000E2160000}"/>
    <cellStyle name="Calculation 8 7 4 3" xfId="14553" xr:uid="{00000000-0005-0000-0000-0000E3160000}"/>
    <cellStyle name="Calculation 8 7 4 3 2" xfId="29385" xr:uid="{00000000-0005-0000-0000-0000E4160000}"/>
    <cellStyle name="Calculation 8 7 4 4" xfId="21582" xr:uid="{00000000-0005-0000-0000-0000E5160000}"/>
    <cellStyle name="Calculation 8 7 5" xfId="6337" xr:uid="{00000000-0005-0000-0000-0000E6160000}"/>
    <cellStyle name="Calculation 8 7 5 2" xfId="22739" xr:uid="{00000000-0005-0000-0000-0000E7160000}"/>
    <cellStyle name="Calculation 8 7 6" xfId="12591" xr:uid="{00000000-0005-0000-0000-0000E8160000}"/>
    <cellStyle name="Calculation 8 7 6 2" xfId="27423" xr:uid="{00000000-0005-0000-0000-0000E9160000}"/>
    <cellStyle name="Calculation 8 7 7" xfId="20418" xr:uid="{00000000-0005-0000-0000-0000EA160000}"/>
    <cellStyle name="Calculation 8 8" xfId="3465" xr:uid="{00000000-0005-0000-0000-0000EB160000}"/>
    <cellStyle name="Calculation 8 8 2" xfId="7528" xr:uid="{00000000-0005-0000-0000-0000EC160000}"/>
    <cellStyle name="Calculation 8 8 2 2" xfId="23495" xr:uid="{00000000-0005-0000-0000-0000ED160000}"/>
    <cellStyle name="Calculation 8 8 3" xfId="13802" xr:uid="{00000000-0005-0000-0000-0000EE160000}"/>
    <cellStyle name="Calculation 8 8 3 2" xfId="28634" xr:uid="{00000000-0005-0000-0000-0000EF160000}"/>
    <cellStyle name="Calculation 8 8 4" xfId="21170" xr:uid="{00000000-0005-0000-0000-0000F0160000}"/>
    <cellStyle name="Calculation 8 9" xfId="3184" xr:uid="{00000000-0005-0000-0000-0000F1160000}"/>
    <cellStyle name="Calculation 8 9 2" xfId="7248" xr:uid="{00000000-0005-0000-0000-0000F2160000}"/>
    <cellStyle name="Calculation 8 9 2 2" xfId="23306" xr:uid="{00000000-0005-0000-0000-0000F3160000}"/>
    <cellStyle name="Calculation 8 9 3" xfId="13522" xr:uid="{00000000-0005-0000-0000-0000F4160000}"/>
    <cellStyle name="Calculation 8 9 3 2" xfId="28354" xr:uid="{00000000-0005-0000-0000-0000F5160000}"/>
    <cellStyle name="Calculation 8 9 4" xfId="20996" xr:uid="{00000000-0005-0000-0000-0000F6160000}"/>
    <cellStyle name="Calculation 9" xfId="961" xr:uid="{00000000-0005-0000-0000-0000F7160000}"/>
    <cellStyle name="Calculation 9 10" xfId="2267" xr:uid="{00000000-0005-0000-0000-0000F8160000}"/>
    <cellStyle name="Calculation 9 10 2" xfId="6379" xr:uid="{00000000-0005-0000-0000-0000F9160000}"/>
    <cellStyle name="Calculation 9 10 2 2" xfId="22781" xr:uid="{00000000-0005-0000-0000-0000FA160000}"/>
    <cellStyle name="Calculation 9 10 3" xfId="12607" xr:uid="{00000000-0005-0000-0000-0000FB160000}"/>
    <cellStyle name="Calculation 9 10 3 2" xfId="27439" xr:uid="{00000000-0005-0000-0000-0000FC160000}"/>
    <cellStyle name="Calculation 9 10 4" xfId="20433" xr:uid="{00000000-0005-0000-0000-0000FD160000}"/>
    <cellStyle name="Calculation 9 11" xfId="5233" xr:uid="{00000000-0005-0000-0000-0000FE160000}"/>
    <cellStyle name="Calculation 9 11 2" xfId="15549" xr:uid="{00000000-0005-0000-0000-0000FF160000}"/>
    <cellStyle name="Calculation 9 11 2 2" xfId="30381" xr:uid="{00000000-0005-0000-0000-000000170000}"/>
    <cellStyle name="Calculation 9 11 3" xfId="22090" xr:uid="{00000000-0005-0000-0000-000001170000}"/>
    <cellStyle name="Calculation 9 12" xfId="5391" xr:uid="{00000000-0005-0000-0000-000002170000}"/>
    <cellStyle name="Calculation 9 12 2" xfId="15627" xr:uid="{00000000-0005-0000-0000-000003170000}"/>
    <cellStyle name="Calculation 9 12 2 2" xfId="30459" xr:uid="{00000000-0005-0000-0000-000004170000}"/>
    <cellStyle name="Calculation 9 12 3" xfId="22152" xr:uid="{00000000-0005-0000-0000-000005170000}"/>
    <cellStyle name="Calculation 9 13" xfId="9400" xr:uid="{00000000-0005-0000-0000-000006170000}"/>
    <cellStyle name="Calculation 9 13 2" xfId="24706" xr:uid="{00000000-0005-0000-0000-000007170000}"/>
    <cellStyle name="Calculation 9 14" xfId="6975" xr:uid="{00000000-0005-0000-0000-000008170000}"/>
    <cellStyle name="Calculation 9 14 2" xfId="18836" xr:uid="{00000000-0005-0000-0000-000009170000}"/>
    <cellStyle name="Calculation 9 2" xfId="1303" xr:uid="{00000000-0005-0000-0000-00000A170000}"/>
    <cellStyle name="Calculation 9 2 2" xfId="1807" xr:uid="{00000000-0005-0000-0000-00000B170000}"/>
    <cellStyle name="Calculation 9 2 2 2" xfId="3514" xr:uid="{00000000-0005-0000-0000-00000C170000}"/>
    <cellStyle name="Calculation 9 2 2 2 2" xfId="7576" xr:uid="{00000000-0005-0000-0000-00000D170000}"/>
    <cellStyle name="Calculation 9 2 2 2 2 2" xfId="23526" xr:uid="{00000000-0005-0000-0000-00000E170000}"/>
    <cellStyle name="Calculation 9 2 2 2 3" xfId="13851" xr:uid="{00000000-0005-0000-0000-00000F170000}"/>
    <cellStyle name="Calculation 9 2 2 2 3 2" xfId="28683" xr:uid="{00000000-0005-0000-0000-000010170000}"/>
    <cellStyle name="Calculation 9 2 2 2 4" xfId="21201" xr:uid="{00000000-0005-0000-0000-000011170000}"/>
    <cellStyle name="Calculation 9 2 2 3" xfId="4785" xr:uid="{00000000-0005-0000-0000-000012170000}"/>
    <cellStyle name="Calculation 9 2 2 3 2" xfId="8824" xr:uid="{00000000-0005-0000-0000-000013170000}"/>
    <cellStyle name="Calculation 9 2 2 3 2 2" xfId="24322" xr:uid="{00000000-0005-0000-0000-000014170000}"/>
    <cellStyle name="Calculation 9 2 2 3 3" xfId="15109" xr:uid="{00000000-0005-0000-0000-000015170000}"/>
    <cellStyle name="Calculation 9 2 2 3 3 2" xfId="29941" xr:uid="{00000000-0005-0000-0000-000016170000}"/>
    <cellStyle name="Calculation 9 2 2 3 4" xfId="21860" xr:uid="{00000000-0005-0000-0000-000017170000}"/>
    <cellStyle name="Calculation 9 2 2 4" xfId="2775" xr:uid="{00000000-0005-0000-0000-000018170000}"/>
    <cellStyle name="Calculation 9 2 2 4 2" xfId="6866" xr:uid="{00000000-0005-0000-0000-000019170000}"/>
    <cellStyle name="Calculation 9 2 2 4 2 2" xfId="23073" xr:uid="{00000000-0005-0000-0000-00001A170000}"/>
    <cellStyle name="Calculation 9 2 2 4 3" xfId="13113" xr:uid="{00000000-0005-0000-0000-00001B170000}"/>
    <cellStyle name="Calculation 9 2 2 4 3 2" xfId="27945" xr:uid="{00000000-0005-0000-0000-00001C170000}"/>
    <cellStyle name="Calculation 9 2 2 4 4" xfId="20733" xr:uid="{00000000-0005-0000-0000-00001D170000}"/>
    <cellStyle name="Calculation 9 2 2 5" xfId="5939" xr:uid="{00000000-0005-0000-0000-00001E170000}"/>
    <cellStyle name="Calculation 9 2 2 5 2" xfId="16131" xr:uid="{00000000-0005-0000-0000-00001F170000}"/>
    <cellStyle name="Calculation 9 2 2 5 2 2" xfId="30963" xr:uid="{00000000-0005-0000-0000-000020170000}"/>
    <cellStyle name="Calculation 9 2 2 5 3" xfId="22504" xr:uid="{00000000-0005-0000-0000-000021170000}"/>
    <cellStyle name="Calculation 9 2 2 6" xfId="12201" xr:uid="{00000000-0005-0000-0000-000022170000}"/>
    <cellStyle name="Calculation 9 2 2 6 2" xfId="27033" xr:uid="{00000000-0005-0000-0000-000023170000}"/>
    <cellStyle name="Calculation 9 2 2 7" xfId="9797" xr:uid="{00000000-0005-0000-0000-000024170000}"/>
    <cellStyle name="Calculation 9 2 2 7 2" xfId="20048" xr:uid="{00000000-0005-0000-0000-000025170000}"/>
    <cellStyle name="Calculation 9 2 3" xfId="3715" xr:uid="{00000000-0005-0000-0000-000026170000}"/>
    <cellStyle name="Calculation 9 2 3 2" xfId="7771" xr:uid="{00000000-0005-0000-0000-000027170000}"/>
    <cellStyle name="Calculation 9 2 3 2 2" xfId="23652" xr:uid="{00000000-0005-0000-0000-000028170000}"/>
    <cellStyle name="Calculation 9 2 3 3" xfId="14050" xr:uid="{00000000-0005-0000-0000-000029170000}"/>
    <cellStyle name="Calculation 9 2 3 3 2" xfId="28882" xr:uid="{00000000-0005-0000-0000-00002A170000}"/>
    <cellStyle name="Calculation 9 2 3 4" xfId="21312" xr:uid="{00000000-0005-0000-0000-00002B170000}"/>
    <cellStyle name="Calculation 9 2 4" xfId="3363" xr:uid="{00000000-0005-0000-0000-00002C170000}"/>
    <cellStyle name="Calculation 9 2 4 2" xfId="7426" xr:uid="{00000000-0005-0000-0000-00002D170000}"/>
    <cellStyle name="Calculation 9 2 4 2 2" xfId="23427" xr:uid="{00000000-0005-0000-0000-00002E170000}"/>
    <cellStyle name="Calculation 9 2 4 3" xfId="13700" xr:uid="{00000000-0005-0000-0000-00002F170000}"/>
    <cellStyle name="Calculation 9 2 4 3 2" xfId="28532" xr:uid="{00000000-0005-0000-0000-000030170000}"/>
    <cellStyle name="Calculation 9 2 4 4" xfId="21112" xr:uid="{00000000-0005-0000-0000-000031170000}"/>
    <cellStyle name="Calculation 9 2 5" xfId="2355" xr:uid="{00000000-0005-0000-0000-000032170000}"/>
    <cellStyle name="Calculation 9 2 5 2" xfId="6467" xr:uid="{00000000-0005-0000-0000-000033170000}"/>
    <cellStyle name="Calculation 9 2 5 2 2" xfId="22837" xr:uid="{00000000-0005-0000-0000-000034170000}"/>
    <cellStyle name="Calculation 9 2 5 3" xfId="12694" xr:uid="{00000000-0005-0000-0000-000035170000}"/>
    <cellStyle name="Calculation 9 2 5 3 2" xfId="27526" xr:uid="{00000000-0005-0000-0000-000036170000}"/>
    <cellStyle name="Calculation 9 2 5 4" xfId="20479" xr:uid="{00000000-0005-0000-0000-000037170000}"/>
    <cellStyle name="Calculation 9 2 6" xfId="5480" xr:uid="{00000000-0005-0000-0000-000038170000}"/>
    <cellStyle name="Calculation 9 2 6 2" xfId="15715" xr:uid="{00000000-0005-0000-0000-000039170000}"/>
    <cellStyle name="Calculation 9 2 6 2 2" xfId="30547" xr:uid="{00000000-0005-0000-0000-00003A170000}"/>
    <cellStyle name="Calculation 9 2 6 3" xfId="22208" xr:uid="{00000000-0005-0000-0000-00003B170000}"/>
    <cellStyle name="Calculation 9 2 7" xfId="9322" xr:uid="{00000000-0005-0000-0000-00003C170000}"/>
    <cellStyle name="Calculation 9 2 7 2" xfId="24628" xr:uid="{00000000-0005-0000-0000-00003D170000}"/>
    <cellStyle name="Calculation 9 2 8" xfId="9401" xr:uid="{00000000-0005-0000-0000-00003E170000}"/>
    <cellStyle name="Calculation 9 2 8 2" xfId="19705" xr:uid="{00000000-0005-0000-0000-00003F170000}"/>
    <cellStyle name="Calculation 9 3" xfId="1437" xr:uid="{00000000-0005-0000-0000-000040170000}"/>
    <cellStyle name="Calculation 9 3 2" xfId="1938" xr:uid="{00000000-0005-0000-0000-000041170000}"/>
    <cellStyle name="Calculation 9 3 2 2" xfId="3649" xr:uid="{00000000-0005-0000-0000-000042170000}"/>
    <cellStyle name="Calculation 9 3 2 2 2" xfId="7708" xr:uid="{00000000-0005-0000-0000-000043170000}"/>
    <cellStyle name="Calculation 9 3 2 2 2 2" xfId="23607" xr:uid="{00000000-0005-0000-0000-000044170000}"/>
    <cellStyle name="Calculation 9 3 2 2 3" xfId="13984" xr:uid="{00000000-0005-0000-0000-000045170000}"/>
    <cellStyle name="Calculation 9 3 2 2 3 2" xfId="28816" xr:uid="{00000000-0005-0000-0000-000046170000}"/>
    <cellStyle name="Calculation 9 3 2 2 4" xfId="21272" xr:uid="{00000000-0005-0000-0000-000047170000}"/>
    <cellStyle name="Calculation 9 3 2 3" xfId="4917" xr:uid="{00000000-0005-0000-0000-000048170000}"/>
    <cellStyle name="Calculation 9 3 2 3 2" xfId="8956" xr:uid="{00000000-0005-0000-0000-000049170000}"/>
    <cellStyle name="Calculation 9 3 2 3 2 2" xfId="24422" xr:uid="{00000000-0005-0000-0000-00004A170000}"/>
    <cellStyle name="Calculation 9 3 2 3 3" xfId="15239" xr:uid="{00000000-0005-0000-0000-00004B170000}"/>
    <cellStyle name="Calculation 9 3 2 3 3 2" xfId="30071" xr:uid="{00000000-0005-0000-0000-00004C170000}"/>
    <cellStyle name="Calculation 9 3 2 3 4" xfId="21952" xr:uid="{00000000-0005-0000-0000-00004D170000}"/>
    <cellStyle name="Calculation 9 3 2 4" xfId="2907" xr:uid="{00000000-0005-0000-0000-00004E170000}"/>
    <cellStyle name="Calculation 9 3 2 4 2" xfId="6991" xr:uid="{00000000-0005-0000-0000-00004F170000}"/>
    <cellStyle name="Calculation 9 3 2 4 2 2" xfId="23165" xr:uid="{00000000-0005-0000-0000-000050170000}"/>
    <cellStyle name="Calculation 9 3 2 4 3" xfId="13245" xr:uid="{00000000-0005-0000-0000-000051170000}"/>
    <cellStyle name="Calculation 9 3 2 4 3 2" xfId="28077" xr:uid="{00000000-0005-0000-0000-000052170000}"/>
    <cellStyle name="Calculation 9 3 2 4 4" xfId="20833" xr:uid="{00000000-0005-0000-0000-000053170000}"/>
    <cellStyle name="Calculation 9 3 2 5" xfId="6068" xr:uid="{00000000-0005-0000-0000-000054170000}"/>
    <cellStyle name="Calculation 9 3 2 5 2" xfId="16255" xr:uid="{00000000-0005-0000-0000-000055170000}"/>
    <cellStyle name="Calculation 9 3 2 5 2 2" xfId="31087" xr:uid="{00000000-0005-0000-0000-000056170000}"/>
    <cellStyle name="Calculation 9 3 2 5 3" xfId="22601" xr:uid="{00000000-0005-0000-0000-000057170000}"/>
    <cellStyle name="Calculation 9 3 2 6" xfId="12325" xr:uid="{00000000-0005-0000-0000-000058170000}"/>
    <cellStyle name="Calculation 9 3 2 6 2" xfId="27157" xr:uid="{00000000-0005-0000-0000-000059170000}"/>
    <cellStyle name="Calculation 9 3 2 7" xfId="9922" xr:uid="{00000000-0005-0000-0000-00005A170000}"/>
    <cellStyle name="Calculation 9 3 2 7 2" xfId="20124" xr:uid="{00000000-0005-0000-0000-00005B170000}"/>
    <cellStyle name="Calculation 9 3 3" xfId="3454" xr:uid="{00000000-0005-0000-0000-00005C170000}"/>
    <cellStyle name="Calculation 9 3 3 2" xfId="7517" xr:uid="{00000000-0005-0000-0000-00005D170000}"/>
    <cellStyle name="Calculation 9 3 3 2 2" xfId="23487" xr:uid="{00000000-0005-0000-0000-00005E170000}"/>
    <cellStyle name="Calculation 9 3 3 3" xfId="13791" xr:uid="{00000000-0005-0000-0000-00005F170000}"/>
    <cellStyle name="Calculation 9 3 3 3 2" xfId="28623" xr:uid="{00000000-0005-0000-0000-000060170000}"/>
    <cellStyle name="Calculation 9 3 3 4" xfId="21162" xr:uid="{00000000-0005-0000-0000-000061170000}"/>
    <cellStyle name="Calculation 9 3 4" xfId="4497" xr:uid="{00000000-0005-0000-0000-000062170000}"/>
    <cellStyle name="Calculation 9 3 4 2" xfId="8536" xr:uid="{00000000-0005-0000-0000-000063170000}"/>
    <cellStyle name="Calculation 9 3 4 2 2" xfId="24162" xr:uid="{00000000-0005-0000-0000-000064170000}"/>
    <cellStyle name="Calculation 9 3 4 3" xfId="14824" xr:uid="{00000000-0005-0000-0000-000065170000}"/>
    <cellStyle name="Calculation 9 3 4 3 2" xfId="29656" xr:uid="{00000000-0005-0000-0000-000066170000}"/>
    <cellStyle name="Calculation 9 3 4 4" xfId="21722" xr:uid="{00000000-0005-0000-0000-000067170000}"/>
    <cellStyle name="Calculation 9 3 5" xfId="2487" xr:uid="{00000000-0005-0000-0000-000068170000}"/>
    <cellStyle name="Calculation 9 3 5 2" xfId="6593" xr:uid="{00000000-0005-0000-0000-000069170000}"/>
    <cellStyle name="Calculation 9 3 5 2 2" xfId="22931" xr:uid="{00000000-0005-0000-0000-00006A170000}"/>
    <cellStyle name="Calculation 9 3 5 3" xfId="12825" xr:uid="{00000000-0005-0000-0000-00006B170000}"/>
    <cellStyle name="Calculation 9 3 5 3 2" xfId="27657" xr:uid="{00000000-0005-0000-0000-00006C170000}"/>
    <cellStyle name="Calculation 9 3 5 4" xfId="20577" xr:uid="{00000000-0005-0000-0000-00006D170000}"/>
    <cellStyle name="Calculation 9 3 6" xfId="5610" xr:uid="{00000000-0005-0000-0000-00006E170000}"/>
    <cellStyle name="Calculation 9 3 6 2" xfId="15845" xr:uid="{00000000-0005-0000-0000-00006F170000}"/>
    <cellStyle name="Calculation 9 3 6 2 2" xfId="30677" xr:uid="{00000000-0005-0000-0000-000070170000}"/>
    <cellStyle name="Calculation 9 3 6 3" xfId="22306" xr:uid="{00000000-0005-0000-0000-000071170000}"/>
    <cellStyle name="Calculation 9 3 7" xfId="11854" xr:uid="{00000000-0005-0000-0000-000072170000}"/>
    <cellStyle name="Calculation 9 3 7 2" xfId="26686" xr:uid="{00000000-0005-0000-0000-000073170000}"/>
    <cellStyle name="Calculation 9 3 8" xfId="9527" xr:uid="{00000000-0005-0000-0000-000074170000}"/>
    <cellStyle name="Calculation 9 3 8 2" xfId="19829" xr:uid="{00000000-0005-0000-0000-000075170000}"/>
    <cellStyle name="Calculation 9 4" xfId="1417" xr:uid="{00000000-0005-0000-0000-000076170000}"/>
    <cellStyle name="Calculation 9 4 2" xfId="1919" xr:uid="{00000000-0005-0000-0000-000077170000}"/>
    <cellStyle name="Calculation 9 4 2 2" xfId="3760" xr:uid="{00000000-0005-0000-0000-000078170000}"/>
    <cellStyle name="Calculation 9 4 2 2 2" xfId="7816" xr:uid="{00000000-0005-0000-0000-000079170000}"/>
    <cellStyle name="Calculation 9 4 2 2 2 2" xfId="23681" xr:uid="{00000000-0005-0000-0000-00007A170000}"/>
    <cellStyle name="Calculation 9 4 2 2 3" xfId="14095" xr:uid="{00000000-0005-0000-0000-00007B170000}"/>
    <cellStyle name="Calculation 9 4 2 2 3 2" xfId="28927" xr:uid="{00000000-0005-0000-0000-00007C170000}"/>
    <cellStyle name="Calculation 9 4 2 2 4" xfId="21337" xr:uid="{00000000-0005-0000-0000-00007D170000}"/>
    <cellStyle name="Calculation 9 4 2 3" xfId="4897" xr:uid="{00000000-0005-0000-0000-00007E170000}"/>
    <cellStyle name="Calculation 9 4 2 3 2" xfId="8936" xr:uid="{00000000-0005-0000-0000-00007F170000}"/>
    <cellStyle name="Calculation 9 4 2 3 2 2" xfId="24402" xr:uid="{00000000-0005-0000-0000-000080170000}"/>
    <cellStyle name="Calculation 9 4 2 3 3" xfId="15220" xr:uid="{00000000-0005-0000-0000-000081170000}"/>
    <cellStyle name="Calculation 9 4 2 3 3 2" xfId="30052" xr:uid="{00000000-0005-0000-0000-000082170000}"/>
    <cellStyle name="Calculation 9 4 2 3 4" xfId="21934" xr:uid="{00000000-0005-0000-0000-000083170000}"/>
    <cellStyle name="Calculation 9 4 2 4" xfId="2887" xr:uid="{00000000-0005-0000-0000-000084170000}"/>
    <cellStyle name="Calculation 9 4 2 4 2" xfId="6972" xr:uid="{00000000-0005-0000-0000-000085170000}"/>
    <cellStyle name="Calculation 9 4 2 4 2 2" xfId="23147" xr:uid="{00000000-0005-0000-0000-000086170000}"/>
    <cellStyle name="Calculation 9 4 2 4 3" xfId="13225" xr:uid="{00000000-0005-0000-0000-000087170000}"/>
    <cellStyle name="Calculation 9 4 2 4 3 2" xfId="28057" xr:uid="{00000000-0005-0000-0000-000088170000}"/>
    <cellStyle name="Calculation 9 4 2 4 4" xfId="20813" xr:uid="{00000000-0005-0000-0000-000089170000}"/>
    <cellStyle name="Calculation 9 4 2 5" xfId="6050" xr:uid="{00000000-0005-0000-0000-00008A170000}"/>
    <cellStyle name="Calculation 9 4 2 5 2" xfId="16237" xr:uid="{00000000-0005-0000-0000-00008B170000}"/>
    <cellStyle name="Calculation 9 4 2 5 2 2" xfId="31069" xr:uid="{00000000-0005-0000-0000-00008C170000}"/>
    <cellStyle name="Calculation 9 4 2 5 3" xfId="22583" xr:uid="{00000000-0005-0000-0000-00008D170000}"/>
    <cellStyle name="Calculation 9 4 2 6" xfId="12307" xr:uid="{00000000-0005-0000-0000-00008E170000}"/>
    <cellStyle name="Calculation 9 4 2 6 2" xfId="27139" xr:uid="{00000000-0005-0000-0000-00008F170000}"/>
    <cellStyle name="Calculation 9 4 2 7" xfId="9903" xr:uid="{00000000-0005-0000-0000-000090170000}"/>
    <cellStyle name="Calculation 9 4 2 7 2" xfId="20106" xr:uid="{00000000-0005-0000-0000-000091170000}"/>
    <cellStyle name="Calculation 9 4 3" xfId="3721" xr:uid="{00000000-0005-0000-0000-000092170000}"/>
    <cellStyle name="Calculation 9 4 3 2" xfId="7777" xr:uid="{00000000-0005-0000-0000-000093170000}"/>
    <cellStyle name="Calculation 9 4 3 2 2" xfId="23657" xr:uid="{00000000-0005-0000-0000-000094170000}"/>
    <cellStyle name="Calculation 9 4 3 3" xfId="14056" xr:uid="{00000000-0005-0000-0000-000095170000}"/>
    <cellStyle name="Calculation 9 4 3 3 2" xfId="28888" xr:uid="{00000000-0005-0000-0000-000096170000}"/>
    <cellStyle name="Calculation 9 4 3 4" xfId="21317" xr:uid="{00000000-0005-0000-0000-000097170000}"/>
    <cellStyle name="Calculation 9 4 4" xfId="4477" xr:uid="{00000000-0005-0000-0000-000098170000}"/>
    <cellStyle name="Calculation 9 4 4 2" xfId="8516" xr:uid="{00000000-0005-0000-0000-000099170000}"/>
    <cellStyle name="Calculation 9 4 4 2 2" xfId="24142" xr:uid="{00000000-0005-0000-0000-00009A170000}"/>
    <cellStyle name="Calculation 9 4 4 3" xfId="14805" xr:uid="{00000000-0005-0000-0000-00009B170000}"/>
    <cellStyle name="Calculation 9 4 4 3 2" xfId="29637" xr:uid="{00000000-0005-0000-0000-00009C170000}"/>
    <cellStyle name="Calculation 9 4 4 4" xfId="21704" xr:uid="{00000000-0005-0000-0000-00009D170000}"/>
    <cellStyle name="Calculation 9 4 5" xfId="2467" xr:uid="{00000000-0005-0000-0000-00009E170000}"/>
    <cellStyle name="Calculation 9 4 5 2" xfId="6573" xr:uid="{00000000-0005-0000-0000-00009F170000}"/>
    <cellStyle name="Calculation 9 4 5 2 2" xfId="22911" xr:uid="{00000000-0005-0000-0000-0000A0170000}"/>
    <cellStyle name="Calculation 9 4 5 3" xfId="12806" xr:uid="{00000000-0005-0000-0000-0000A1170000}"/>
    <cellStyle name="Calculation 9 4 5 3 2" xfId="27638" xr:uid="{00000000-0005-0000-0000-0000A2170000}"/>
    <cellStyle name="Calculation 9 4 5 4" xfId="20559" xr:uid="{00000000-0005-0000-0000-0000A3170000}"/>
    <cellStyle name="Calculation 9 4 6" xfId="5591" xr:uid="{00000000-0005-0000-0000-0000A4170000}"/>
    <cellStyle name="Calculation 9 4 6 2" xfId="15826" xr:uid="{00000000-0005-0000-0000-0000A5170000}"/>
    <cellStyle name="Calculation 9 4 6 2 2" xfId="30658" xr:uid="{00000000-0005-0000-0000-0000A6170000}"/>
    <cellStyle name="Calculation 9 4 6 3" xfId="22287" xr:uid="{00000000-0005-0000-0000-0000A7170000}"/>
    <cellStyle name="Calculation 9 4 7" xfId="11836" xr:uid="{00000000-0005-0000-0000-0000A8170000}"/>
    <cellStyle name="Calculation 9 4 7 2" xfId="26668" xr:uid="{00000000-0005-0000-0000-0000A9170000}"/>
    <cellStyle name="Calculation 9 4 8" xfId="9508" xr:uid="{00000000-0005-0000-0000-0000AA170000}"/>
    <cellStyle name="Calculation 9 4 8 2" xfId="19811" xr:uid="{00000000-0005-0000-0000-0000AB170000}"/>
    <cellStyle name="Calculation 9 5" xfId="1423" xr:uid="{00000000-0005-0000-0000-0000AC170000}"/>
    <cellStyle name="Calculation 9 5 2" xfId="1924" xr:uid="{00000000-0005-0000-0000-0000AD170000}"/>
    <cellStyle name="Calculation 9 5 2 2" xfId="3870" xr:uid="{00000000-0005-0000-0000-0000AE170000}"/>
    <cellStyle name="Calculation 9 5 2 2 2" xfId="7922" xr:uid="{00000000-0005-0000-0000-0000AF170000}"/>
    <cellStyle name="Calculation 9 5 2 2 2 2" xfId="23751" xr:uid="{00000000-0005-0000-0000-0000B0170000}"/>
    <cellStyle name="Calculation 9 5 2 2 3" xfId="14205" xr:uid="{00000000-0005-0000-0000-0000B1170000}"/>
    <cellStyle name="Calculation 9 5 2 2 3 2" xfId="29037" xr:uid="{00000000-0005-0000-0000-0000B2170000}"/>
    <cellStyle name="Calculation 9 5 2 2 4" xfId="21393" xr:uid="{00000000-0005-0000-0000-0000B3170000}"/>
    <cellStyle name="Calculation 9 5 2 3" xfId="4903" xr:uid="{00000000-0005-0000-0000-0000B4170000}"/>
    <cellStyle name="Calculation 9 5 2 3 2" xfId="8942" xr:uid="{00000000-0005-0000-0000-0000B5170000}"/>
    <cellStyle name="Calculation 9 5 2 3 2 2" xfId="24408" xr:uid="{00000000-0005-0000-0000-0000B6170000}"/>
    <cellStyle name="Calculation 9 5 2 3 3" xfId="15225" xr:uid="{00000000-0005-0000-0000-0000B7170000}"/>
    <cellStyle name="Calculation 9 5 2 3 3 2" xfId="30057" xr:uid="{00000000-0005-0000-0000-0000B8170000}"/>
    <cellStyle name="Calculation 9 5 2 3 4" xfId="21938" xr:uid="{00000000-0005-0000-0000-0000B9170000}"/>
    <cellStyle name="Calculation 9 5 2 4" xfId="2893" xr:uid="{00000000-0005-0000-0000-0000BA170000}"/>
    <cellStyle name="Calculation 9 5 2 4 2" xfId="6977" xr:uid="{00000000-0005-0000-0000-0000BB170000}"/>
    <cellStyle name="Calculation 9 5 2 4 2 2" xfId="23151" xr:uid="{00000000-0005-0000-0000-0000BC170000}"/>
    <cellStyle name="Calculation 9 5 2 4 3" xfId="13231" xr:uid="{00000000-0005-0000-0000-0000BD170000}"/>
    <cellStyle name="Calculation 9 5 2 4 3 2" xfId="28063" xr:uid="{00000000-0005-0000-0000-0000BE170000}"/>
    <cellStyle name="Calculation 9 5 2 4 4" xfId="20819" xr:uid="{00000000-0005-0000-0000-0000BF170000}"/>
    <cellStyle name="Calculation 9 5 2 5" xfId="6054" xr:uid="{00000000-0005-0000-0000-0000C0170000}"/>
    <cellStyle name="Calculation 9 5 2 5 2" xfId="16241" xr:uid="{00000000-0005-0000-0000-0000C1170000}"/>
    <cellStyle name="Calculation 9 5 2 5 2 2" xfId="31073" xr:uid="{00000000-0005-0000-0000-0000C2170000}"/>
    <cellStyle name="Calculation 9 5 2 5 3" xfId="22587" xr:uid="{00000000-0005-0000-0000-0000C3170000}"/>
    <cellStyle name="Calculation 9 5 2 6" xfId="12311" xr:uid="{00000000-0005-0000-0000-0000C4170000}"/>
    <cellStyle name="Calculation 9 5 2 6 2" xfId="27143" xr:uid="{00000000-0005-0000-0000-0000C5170000}"/>
    <cellStyle name="Calculation 9 5 2 7" xfId="9908" xr:uid="{00000000-0005-0000-0000-0000C6170000}"/>
    <cellStyle name="Calculation 9 5 2 7 2" xfId="20110" xr:uid="{00000000-0005-0000-0000-0000C7170000}"/>
    <cellStyle name="Calculation 9 5 3" xfId="3939" xr:uid="{00000000-0005-0000-0000-0000C8170000}"/>
    <cellStyle name="Calculation 9 5 3 2" xfId="7989" xr:uid="{00000000-0005-0000-0000-0000C9170000}"/>
    <cellStyle name="Calculation 9 5 3 2 2" xfId="23790" xr:uid="{00000000-0005-0000-0000-0000CA170000}"/>
    <cellStyle name="Calculation 9 5 3 3" xfId="14272" xr:uid="{00000000-0005-0000-0000-0000CB170000}"/>
    <cellStyle name="Calculation 9 5 3 3 2" xfId="29104" xr:uid="{00000000-0005-0000-0000-0000CC170000}"/>
    <cellStyle name="Calculation 9 5 3 4" xfId="21432" xr:uid="{00000000-0005-0000-0000-0000CD170000}"/>
    <cellStyle name="Calculation 9 5 4" xfId="4483" xr:uid="{00000000-0005-0000-0000-0000CE170000}"/>
    <cellStyle name="Calculation 9 5 4 2" xfId="8522" xr:uid="{00000000-0005-0000-0000-0000CF170000}"/>
    <cellStyle name="Calculation 9 5 4 2 2" xfId="24148" xr:uid="{00000000-0005-0000-0000-0000D0170000}"/>
    <cellStyle name="Calculation 9 5 4 3" xfId="14810" xr:uid="{00000000-0005-0000-0000-0000D1170000}"/>
    <cellStyle name="Calculation 9 5 4 3 2" xfId="29642" xr:uid="{00000000-0005-0000-0000-0000D2170000}"/>
    <cellStyle name="Calculation 9 5 4 4" xfId="21708" xr:uid="{00000000-0005-0000-0000-0000D3170000}"/>
    <cellStyle name="Calculation 9 5 5" xfId="2473" xr:uid="{00000000-0005-0000-0000-0000D4170000}"/>
    <cellStyle name="Calculation 9 5 5 2" xfId="6579" xr:uid="{00000000-0005-0000-0000-0000D5170000}"/>
    <cellStyle name="Calculation 9 5 5 2 2" xfId="22917" xr:uid="{00000000-0005-0000-0000-0000D6170000}"/>
    <cellStyle name="Calculation 9 5 5 3" xfId="12811" xr:uid="{00000000-0005-0000-0000-0000D7170000}"/>
    <cellStyle name="Calculation 9 5 5 3 2" xfId="27643" xr:uid="{00000000-0005-0000-0000-0000D8170000}"/>
    <cellStyle name="Calculation 9 5 5 4" xfId="20563" xr:uid="{00000000-0005-0000-0000-0000D9170000}"/>
    <cellStyle name="Calculation 9 5 6" xfId="5596" xr:uid="{00000000-0005-0000-0000-0000DA170000}"/>
    <cellStyle name="Calculation 9 5 6 2" xfId="15831" xr:uid="{00000000-0005-0000-0000-0000DB170000}"/>
    <cellStyle name="Calculation 9 5 6 2 2" xfId="30663" xr:uid="{00000000-0005-0000-0000-0000DC170000}"/>
    <cellStyle name="Calculation 9 5 6 3" xfId="22292" xr:uid="{00000000-0005-0000-0000-0000DD170000}"/>
    <cellStyle name="Calculation 9 5 7" xfId="11840" xr:uid="{00000000-0005-0000-0000-0000DE170000}"/>
    <cellStyle name="Calculation 9 5 7 2" xfId="26672" xr:uid="{00000000-0005-0000-0000-0000DF170000}"/>
    <cellStyle name="Calculation 9 5 8" xfId="9513" xr:uid="{00000000-0005-0000-0000-0000E0170000}"/>
    <cellStyle name="Calculation 9 5 8 2" xfId="19815" xr:uid="{00000000-0005-0000-0000-0000E1170000}"/>
    <cellStyle name="Calculation 9 6" xfId="1714" xr:uid="{00000000-0005-0000-0000-0000E2170000}"/>
    <cellStyle name="Calculation 9 6 2" xfId="3755" xr:uid="{00000000-0005-0000-0000-0000E3170000}"/>
    <cellStyle name="Calculation 9 6 2 2" xfId="7811" xr:uid="{00000000-0005-0000-0000-0000E4170000}"/>
    <cellStyle name="Calculation 9 6 2 2 2" xfId="23679" xr:uid="{00000000-0005-0000-0000-0000E5170000}"/>
    <cellStyle name="Calculation 9 6 2 3" xfId="14090" xr:uid="{00000000-0005-0000-0000-0000E6170000}"/>
    <cellStyle name="Calculation 9 6 2 3 2" xfId="28922" xr:uid="{00000000-0005-0000-0000-0000E7170000}"/>
    <cellStyle name="Calculation 9 6 2 4" xfId="21335" xr:uid="{00000000-0005-0000-0000-0000E8170000}"/>
    <cellStyle name="Calculation 9 6 3" xfId="4707" xr:uid="{00000000-0005-0000-0000-0000E9170000}"/>
    <cellStyle name="Calculation 9 6 3 2" xfId="8746" xr:uid="{00000000-0005-0000-0000-0000EA170000}"/>
    <cellStyle name="Calculation 9 6 3 2 2" xfId="24276" xr:uid="{00000000-0005-0000-0000-0000EB170000}"/>
    <cellStyle name="Calculation 9 6 3 3" xfId="15031" xr:uid="{00000000-0005-0000-0000-0000EC170000}"/>
    <cellStyle name="Calculation 9 6 3 3 2" xfId="29863" xr:uid="{00000000-0005-0000-0000-0000ED170000}"/>
    <cellStyle name="Calculation 9 6 3 4" xfId="21814" xr:uid="{00000000-0005-0000-0000-0000EE170000}"/>
    <cellStyle name="Calculation 9 6 4" xfId="2697" xr:uid="{00000000-0005-0000-0000-0000EF170000}"/>
    <cellStyle name="Calculation 9 6 4 2" xfId="6788" xr:uid="{00000000-0005-0000-0000-0000F0170000}"/>
    <cellStyle name="Calculation 9 6 4 2 2" xfId="23027" xr:uid="{00000000-0005-0000-0000-0000F1170000}"/>
    <cellStyle name="Calculation 9 6 4 3" xfId="13035" xr:uid="{00000000-0005-0000-0000-0000F2170000}"/>
    <cellStyle name="Calculation 9 6 4 3 2" xfId="27867" xr:uid="{00000000-0005-0000-0000-0000F3170000}"/>
    <cellStyle name="Calculation 9 6 4 4" xfId="20687" xr:uid="{00000000-0005-0000-0000-0000F4170000}"/>
    <cellStyle name="Calculation 9 6 5" xfId="5846" xr:uid="{00000000-0005-0000-0000-0000F5170000}"/>
    <cellStyle name="Calculation 9 6 5 2" xfId="16038" xr:uid="{00000000-0005-0000-0000-0000F6170000}"/>
    <cellStyle name="Calculation 9 6 5 2 2" xfId="30870" xr:uid="{00000000-0005-0000-0000-0000F7170000}"/>
    <cellStyle name="Calculation 9 6 5 3" xfId="22443" xr:uid="{00000000-0005-0000-0000-0000F8170000}"/>
    <cellStyle name="Calculation 9 6 6" xfId="12108" xr:uid="{00000000-0005-0000-0000-0000F9170000}"/>
    <cellStyle name="Calculation 9 6 6 2" xfId="26940" xr:uid="{00000000-0005-0000-0000-0000FA170000}"/>
    <cellStyle name="Calculation 9 6 7" xfId="9719" xr:uid="{00000000-0005-0000-0000-0000FB170000}"/>
    <cellStyle name="Calculation 9 6 7 2" xfId="20017" xr:uid="{00000000-0005-0000-0000-0000FC170000}"/>
    <cellStyle name="Calculation 9 7" xfId="2237" xr:uid="{00000000-0005-0000-0000-0000FD170000}"/>
    <cellStyle name="Calculation 9 7 2" xfId="3908" xr:uid="{00000000-0005-0000-0000-0000FE170000}"/>
    <cellStyle name="Calculation 9 7 2 2" xfId="7959" xr:uid="{00000000-0005-0000-0000-0000FF170000}"/>
    <cellStyle name="Calculation 9 7 2 2 2" xfId="23772" xr:uid="{00000000-0005-0000-0000-000000180000}"/>
    <cellStyle name="Calculation 9 7 2 3" xfId="14241" xr:uid="{00000000-0005-0000-0000-000001180000}"/>
    <cellStyle name="Calculation 9 7 2 3 2" xfId="29073" xr:uid="{00000000-0005-0000-0000-000002180000}"/>
    <cellStyle name="Calculation 9 7 2 4" xfId="21413" xr:uid="{00000000-0005-0000-0000-000003180000}"/>
    <cellStyle name="Calculation 9 7 3" xfId="5205" xr:uid="{00000000-0005-0000-0000-000004180000}"/>
    <cellStyle name="Calculation 9 7 3 2" xfId="9244" xr:uid="{00000000-0005-0000-0000-000005180000}"/>
    <cellStyle name="Calculation 9 7 3 2 2" xfId="24582" xr:uid="{00000000-0005-0000-0000-000006180000}"/>
    <cellStyle name="Calculation 9 7 3 3" xfId="15523" xr:uid="{00000000-0005-0000-0000-000007180000}"/>
    <cellStyle name="Calculation 9 7 3 3 2" xfId="30355" xr:uid="{00000000-0005-0000-0000-000008180000}"/>
    <cellStyle name="Calculation 9 7 3 4" xfId="22089" xr:uid="{00000000-0005-0000-0000-000009180000}"/>
    <cellStyle name="Calculation 9 7 4" xfId="4235" xr:uid="{00000000-0005-0000-0000-00000A180000}"/>
    <cellStyle name="Calculation 9 7 4 2" xfId="8276" xr:uid="{00000000-0005-0000-0000-00000B180000}"/>
    <cellStyle name="Calculation 9 7 4 2 2" xfId="23971" xr:uid="{00000000-0005-0000-0000-00000C180000}"/>
    <cellStyle name="Calculation 9 7 4 3" xfId="14567" xr:uid="{00000000-0005-0000-0000-00000D180000}"/>
    <cellStyle name="Calculation 9 7 4 3 2" xfId="29399" xr:uid="{00000000-0005-0000-0000-00000E180000}"/>
    <cellStyle name="Calculation 9 7 4 4" xfId="21596" xr:uid="{00000000-0005-0000-0000-00000F180000}"/>
    <cellStyle name="Calculation 9 7 5" xfId="6351" xr:uid="{00000000-0005-0000-0000-000010180000}"/>
    <cellStyle name="Calculation 9 7 5 2" xfId="22753" xr:uid="{00000000-0005-0000-0000-000011180000}"/>
    <cellStyle name="Calculation 9 7 6" xfId="12605" xr:uid="{00000000-0005-0000-0000-000012180000}"/>
    <cellStyle name="Calculation 9 7 6 2" xfId="27437" xr:uid="{00000000-0005-0000-0000-000013180000}"/>
    <cellStyle name="Calculation 9 7 7" xfId="20432" xr:uid="{00000000-0005-0000-0000-000014180000}"/>
    <cellStyle name="Calculation 9 8" xfId="3892" xr:uid="{00000000-0005-0000-0000-000015180000}"/>
    <cellStyle name="Calculation 9 8 2" xfId="7943" xr:uid="{00000000-0005-0000-0000-000016180000}"/>
    <cellStyle name="Calculation 9 8 2 2" xfId="23765" xr:uid="{00000000-0005-0000-0000-000017180000}"/>
    <cellStyle name="Calculation 9 8 3" xfId="14225" xr:uid="{00000000-0005-0000-0000-000018180000}"/>
    <cellStyle name="Calculation 9 8 3 2" xfId="29057" xr:uid="{00000000-0005-0000-0000-000019180000}"/>
    <cellStyle name="Calculation 9 8 4" xfId="21406" xr:uid="{00000000-0005-0000-0000-00001A180000}"/>
    <cellStyle name="Calculation 9 9" xfId="3251" xr:uid="{00000000-0005-0000-0000-00001B180000}"/>
    <cellStyle name="Calculation 9 9 2" xfId="7315" xr:uid="{00000000-0005-0000-0000-00001C180000}"/>
    <cellStyle name="Calculation 9 9 2 2" xfId="23353" xr:uid="{00000000-0005-0000-0000-00001D180000}"/>
    <cellStyle name="Calculation 9 9 3" xfId="13588" xr:uid="{00000000-0005-0000-0000-00001E180000}"/>
    <cellStyle name="Calculation 9 9 3 2" xfId="28420" xr:uid="{00000000-0005-0000-0000-00001F180000}"/>
    <cellStyle name="Calculation 9 9 4" xfId="21040" xr:uid="{00000000-0005-0000-0000-000020180000}"/>
    <cellStyle name="Check Cell 2" xfId="977" xr:uid="{00000000-0005-0000-0000-000021180000}"/>
    <cellStyle name="Check Cell 2 2" xfId="978" xr:uid="{00000000-0005-0000-0000-000022180000}"/>
    <cellStyle name="Check Cell 2 3" xfId="979" xr:uid="{00000000-0005-0000-0000-000023180000}"/>
    <cellStyle name="Check Cell 2 4" xfId="980" xr:uid="{00000000-0005-0000-0000-000024180000}"/>
    <cellStyle name="Check Cell 2 5" xfId="981" xr:uid="{00000000-0005-0000-0000-000025180000}"/>
    <cellStyle name="Check Cell 2 6" xfId="982" xr:uid="{00000000-0005-0000-0000-000026180000}"/>
    <cellStyle name="Check Cell 2 7" xfId="983" xr:uid="{00000000-0005-0000-0000-000027180000}"/>
    <cellStyle name="Check Cell 2 8" xfId="984" xr:uid="{00000000-0005-0000-0000-000028180000}"/>
    <cellStyle name="Check Cell 3" xfId="985" xr:uid="{00000000-0005-0000-0000-000029180000}"/>
    <cellStyle name="Check Cell 4" xfId="986" xr:uid="{00000000-0005-0000-0000-00002A180000}"/>
    <cellStyle name="Check Cell 5" xfId="987" xr:uid="{00000000-0005-0000-0000-00002B180000}"/>
    <cellStyle name="Check Cell 6" xfId="988" xr:uid="{00000000-0005-0000-0000-00002C180000}"/>
    <cellStyle name="Check Cell 7" xfId="989" xr:uid="{00000000-0005-0000-0000-00002D180000}"/>
    <cellStyle name="Check Cell 8" xfId="990" xr:uid="{00000000-0005-0000-0000-00002E180000}"/>
    <cellStyle name="Check Cell 9" xfId="976" xr:uid="{00000000-0005-0000-0000-00002F180000}"/>
    <cellStyle name="Comma" xfId="33021" builtinId="3"/>
    <cellStyle name="Comma 2" xfId="4" xr:uid="{00000000-0005-0000-0000-000031180000}"/>
    <cellStyle name="Comma 2 2" xfId="993" xr:uid="{00000000-0005-0000-0000-000032180000}"/>
    <cellStyle name="Comma 2 2 2" xfId="994" xr:uid="{00000000-0005-0000-0000-000033180000}"/>
    <cellStyle name="Comma 2 3" xfId="992" xr:uid="{00000000-0005-0000-0000-000034180000}"/>
    <cellStyle name="Comma 2 4" xfId="1387" xr:uid="{00000000-0005-0000-0000-000035180000}"/>
    <cellStyle name="Comma 3" xfId="6" xr:uid="{00000000-0005-0000-0000-000036180000}"/>
    <cellStyle name="Comma 3 2" xfId="996" xr:uid="{00000000-0005-0000-0000-000037180000}"/>
    <cellStyle name="Comma 3 3" xfId="997" xr:uid="{00000000-0005-0000-0000-000038180000}"/>
    <cellStyle name="Comma 3 4" xfId="998" xr:uid="{00000000-0005-0000-0000-000039180000}"/>
    <cellStyle name="Comma 3 5" xfId="999" xr:uid="{00000000-0005-0000-0000-00003A180000}"/>
    <cellStyle name="Comma 3 6" xfId="1000" xr:uid="{00000000-0005-0000-0000-00003B180000}"/>
    <cellStyle name="Comma 3 7" xfId="1001" xr:uid="{00000000-0005-0000-0000-00003C180000}"/>
    <cellStyle name="Comma 3 8" xfId="1002" xr:uid="{00000000-0005-0000-0000-00003D180000}"/>
    <cellStyle name="Comma 3 9" xfId="995" xr:uid="{00000000-0005-0000-0000-00003E180000}"/>
    <cellStyle name="Comma 4" xfId="1003" xr:uid="{00000000-0005-0000-0000-00003F180000}"/>
    <cellStyle name="Comma 4 2" xfId="1004" xr:uid="{00000000-0005-0000-0000-000040180000}"/>
    <cellStyle name="Comma 5" xfId="991" xr:uid="{00000000-0005-0000-0000-000041180000}"/>
    <cellStyle name="Currency" xfId="20251" builtinId="4"/>
    <cellStyle name="Explanatory Text 2" xfId="1006" xr:uid="{00000000-0005-0000-0000-000043180000}"/>
    <cellStyle name="Explanatory Text 2 2" xfId="1007" xr:uid="{00000000-0005-0000-0000-000044180000}"/>
    <cellStyle name="Explanatory Text 2 3" xfId="1008" xr:uid="{00000000-0005-0000-0000-000045180000}"/>
    <cellStyle name="Explanatory Text 2 4" xfId="1009" xr:uid="{00000000-0005-0000-0000-000046180000}"/>
    <cellStyle name="Explanatory Text 2 5" xfId="1010" xr:uid="{00000000-0005-0000-0000-000047180000}"/>
    <cellStyle name="Explanatory Text 2 6" xfId="1011" xr:uid="{00000000-0005-0000-0000-000048180000}"/>
    <cellStyle name="Explanatory Text 2 7" xfId="1012" xr:uid="{00000000-0005-0000-0000-000049180000}"/>
    <cellStyle name="Explanatory Text 2 8" xfId="1013" xr:uid="{00000000-0005-0000-0000-00004A180000}"/>
    <cellStyle name="Explanatory Text 3" xfId="1014" xr:uid="{00000000-0005-0000-0000-00004B180000}"/>
    <cellStyle name="Explanatory Text 4" xfId="1015" xr:uid="{00000000-0005-0000-0000-00004C180000}"/>
    <cellStyle name="Explanatory Text 5" xfId="1016" xr:uid="{00000000-0005-0000-0000-00004D180000}"/>
    <cellStyle name="Explanatory Text 6" xfId="1017" xr:uid="{00000000-0005-0000-0000-00004E180000}"/>
    <cellStyle name="Explanatory Text 7" xfId="1018" xr:uid="{00000000-0005-0000-0000-00004F180000}"/>
    <cellStyle name="Explanatory Text 8" xfId="1019" xr:uid="{00000000-0005-0000-0000-000050180000}"/>
    <cellStyle name="Explanatory Text 9" xfId="1005" xr:uid="{00000000-0005-0000-0000-000051180000}"/>
    <cellStyle name="Good 10" xfId="1020" xr:uid="{00000000-0005-0000-0000-000052180000}"/>
    <cellStyle name="Good 2" xfId="1021" xr:uid="{00000000-0005-0000-0000-000053180000}"/>
    <cellStyle name="Good 2 2" xfId="1022" xr:uid="{00000000-0005-0000-0000-000054180000}"/>
    <cellStyle name="Good 2 3" xfId="1023" xr:uid="{00000000-0005-0000-0000-000055180000}"/>
    <cellStyle name="Good 2 4" xfId="1024" xr:uid="{00000000-0005-0000-0000-000056180000}"/>
    <cellStyle name="Good 2 5" xfId="1025" xr:uid="{00000000-0005-0000-0000-000057180000}"/>
    <cellStyle name="Good 2 6" xfId="1026" xr:uid="{00000000-0005-0000-0000-000058180000}"/>
    <cellStyle name="Good 2 7" xfId="1027" xr:uid="{00000000-0005-0000-0000-000059180000}"/>
    <cellStyle name="Good 2 8" xfId="1028" xr:uid="{00000000-0005-0000-0000-00005A180000}"/>
    <cellStyle name="Good 3" xfId="1029" xr:uid="{00000000-0005-0000-0000-00005B180000}"/>
    <cellStyle name="Good 4" xfId="1030" xr:uid="{00000000-0005-0000-0000-00005C180000}"/>
    <cellStyle name="Good 5" xfId="1031" xr:uid="{00000000-0005-0000-0000-00005D180000}"/>
    <cellStyle name="Good 6" xfId="1032" xr:uid="{00000000-0005-0000-0000-00005E180000}"/>
    <cellStyle name="Good 7" xfId="1033" xr:uid="{00000000-0005-0000-0000-00005F180000}"/>
    <cellStyle name="Good 8" xfId="1034" xr:uid="{00000000-0005-0000-0000-000060180000}"/>
    <cellStyle name="Good 9" xfId="1035" xr:uid="{00000000-0005-0000-0000-000061180000}"/>
    <cellStyle name="Heading 1 2" xfId="1037" xr:uid="{00000000-0005-0000-0000-000062180000}"/>
    <cellStyle name="Heading 1 2 2" xfId="1038" xr:uid="{00000000-0005-0000-0000-000063180000}"/>
    <cellStyle name="Heading 1 2 3" xfId="1039" xr:uid="{00000000-0005-0000-0000-000064180000}"/>
    <cellStyle name="Heading 1 2 4" xfId="1040" xr:uid="{00000000-0005-0000-0000-000065180000}"/>
    <cellStyle name="Heading 1 2 5" xfId="1041" xr:uid="{00000000-0005-0000-0000-000066180000}"/>
    <cellStyle name="Heading 1 2 6" xfId="1042" xr:uid="{00000000-0005-0000-0000-000067180000}"/>
    <cellStyle name="Heading 1 2 7" xfId="1043" xr:uid="{00000000-0005-0000-0000-000068180000}"/>
    <cellStyle name="Heading 1 2 8" xfId="1044" xr:uid="{00000000-0005-0000-0000-000069180000}"/>
    <cellStyle name="Heading 1 3" xfId="1045" xr:uid="{00000000-0005-0000-0000-00006A180000}"/>
    <cellStyle name="Heading 1 4" xfId="1046" xr:uid="{00000000-0005-0000-0000-00006B180000}"/>
    <cellStyle name="Heading 1 5" xfId="1047" xr:uid="{00000000-0005-0000-0000-00006C180000}"/>
    <cellStyle name="Heading 1 6" xfId="1048" xr:uid="{00000000-0005-0000-0000-00006D180000}"/>
    <cellStyle name="Heading 1 7" xfId="1049" xr:uid="{00000000-0005-0000-0000-00006E180000}"/>
    <cellStyle name="Heading 1 8" xfId="1050" xr:uid="{00000000-0005-0000-0000-00006F180000}"/>
    <cellStyle name="Heading 1 9" xfId="1036" xr:uid="{00000000-0005-0000-0000-000070180000}"/>
    <cellStyle name="Heading 2 2" xfId="1052" xr:uid="{00000000-0005-0000-0000-000071180000}"/>
    <cellStyle name="Heading 2 2 2" xfId="1053" xr:uid="{00000000-0005-0000-0000-000072180000}"/>
    <cellStyle name="Heading 2 2 3" xfId="1054" xr:uid="{00000000-0005-0000-0000-000073180000}"/>
    <cellStyle name="Heading 2 2 4" xfId="1055" xr:uid="{00000000-0005-0000-0000-000074180000}"/>
    <cellStyle name="Heading 2 2 5" xfId="1056" xr:uid="{00000000-0005-0000-0000-000075180000}"/>
    <cellStyle name="Heading 2 2 6" xfId="1057" xr:uid="{00000000-0005-0000-0000-000076180000}"/>
    <cellStyle name="Heading 2 2 7" xfId="1058" xr:uid="{00000000-0005-0000-0000-000077180000}"/>
    <cellStyle name="Heading 2 2 8" xfId="1059" xr:uid="{00000000-0005-0000-0000-000078180000}"/>
    <cellStyle name="Heading 2 3" xfId="1060" xr:uid="{00000000-0005-0000-0000-000079180000}"/>
    <cellStyle name="Heading 2 4" xfId="1061" xr:uid="{00000000-0005-0000-0000-00007A180000}"/>
    <cellStyle name="Heading 2 5" xfId="1062" xr:uid="{00000000-0005-0000-0000-00007B180000}"/>
    <cellStyle name="Heading 2 6" xfId="1063" xr:uid="{00000000-0005-0000-0000-00007C180000}"/>
    <cellStyle name="Heading 2 7" xfId="1064" xr:uid="{00000000-0005-0000-0000-00007D180000}"/>
    <cellStyle name="Heading 2 8" xfId="1065" xr:uid="{00000000-0005-0000-0000-00007E180000}"/>
    <cellStyle name="Heading 2 9" xfId="1051" xr:uid="{00000000-0005-0000-0000-00007F180000}"/>
    <cellStyle name="Heading 3 2" xfId="1067" xr:uid="{00000000-0005-0000-0000-000080180000}"/>
    <cellStyle name="Heading 3 2 10" xfId="1730" xr:uid="{00000000-0005-0000-0000-000081180000}"/>
    <cellStyle name="Heading 3 2 10 2" xfId="3238" xr:uid="{00000000-0005-0000-0000-000082180000}"/>
    <cellStyle name="Heading 3 2 10 2 2" xfId="7302" xr:uid="{00000000-0005-0000-0000-000083180000}"/>
    <cellStyle name="Heading 3 2 10 2 2 2" xfId="17061" xr:uid="{00000000-0005-0000-0000-000084180000}"/>
    <cellStyle name="Heading 3 2 10 2 2 2 2" xfId="31893" xr:uid="{00000000-0005-0000-0000-000085180000}"/>
    <cellStyle name="Heading 3 2 10 2 2 3" xfId="23342" xr:uid="{00000000-0005-0000-0000-000086180000}"/>
    <cellStyle name="Heading 3 2 10 2 3" xfId="13575" xr:uid="{00000000-0005-0000-0000-000087180000}"/>
    <cellStyle name="Heading 3 2 10 2 3 2" xfId="28407" xr:uid="{00000000-0005-0000-0000-000088180000}"/>
    <cellStyle name="Heading 3 2 10 2 4" xfId="21030" xr:uid="{00000000-0005-0000-0000-000089180000}"/>
    <cellStyle name="Heading 3 2 10 3" xfId="5862" xr:uid="{00000000-0005-0000-0000-00008A180000}"/>
    <cellStyle name="Heading 3 2 10 3 2" xfId="16054" xr:uid="{00000000-0005-0000-0000-00008B180000}"/>
    <cellStyle name="Heading 3 2 10 3 2 2" xfId="30886" xr:uid="{00000000-0005-0000-0000-00008C180000}"/>
    <cellStyle name="Heading 3 2 10 3 3" xfId="22459" xr:uid="{00000000-0005-0000-0000-00008D180000}"/>
    <cellStyle name="Heading 3 2 10 4" xfId="12124" xr:uid="{00000000-0005-0000-0000-00008E180000}"/>
    <cellStyle name="Heading 3 2 10 4 2" xfId="26956" xr:uid="{00000000-0005-0000-0000-00008F180000}"/>
    <cellStyle name="Heading 3 2 10 5" xfId="20283" xr:uid="{00000000-0005-0000-0000-000090180000}"/>
    <cellStyle name="Heading 3 2 11" xfId="3297" xr:uid="{00000000-0005-0000-0000-000091180000}"/>
    <cellStyle name="Heading 3 2 11 2" xfId="7361" xr:uid="{00000000-0005-0000-0000-000092180000}"/>
    <cellStyle name="Heading 3 2 11 2 2" xfId="17102" xr:uid="{00000000-0005-0000-0000-000093180000}"/>
    <cellStyle name="Heading 3 2 11 2 2 2" xfId="31934" xr:uid="{00000000-0005-0000-0000-000094180000}"/>
    <cellStyle name="Heading 3 2 11 2 3" xfId="23384" xr:uid="{00000000-0005-0000-0000-000095180000}"/>
    <cellStyle name="Heading 3 2 11 3" xfId="13634" xr:uid="{00000000-0005-0000-0000-000096180000}"/>
    <cellStyle name="Heading 3 2 11 3 2" xfId="28466" xr:uid="{00000000-0005-0000-0000-000097180000}"/>
    <cellStyle name="Heading 3 2 11 4" xfId="21071" xr:uid="{00000000-0005-0000-0000-000098180000}"/>
    <cellStyle name="Heading 3 2 12" xfId="5388" xr:uid="{00000000-0005-0000-0000-000099180000}"/>
    <cellStyle name="Heading 3 2 12 2" xfId="22149" xr:uid="{00000000-0005-0000-0000-00009A180000}"/>
    <cellStyle name="Heading 3 2 13" xfId="20253" xr:uid="{00000000-0005-0000-0000-00009B180000}"/>
    <cellStyle name="Heading 3 2 2" xfId="1068" xr:uid="{00000000-0005-0000-0000-00009C180000}"/>
    <cellStyle name="Heading 3 2 2 2" xfId="1455" xr:uid="{00000000-0005-0000-0000-00009D180000}"/>
    <cellStyle name="Heading 3 2 2 2 2" xfId="1956" xr:uid="{00000000-0005-0000-0000-00009E180000}"/>
    <cellStyle name="Heading 3 2 2 2 2 2" xfId="4286" xr:uid="{00000000-0005-0000-0000-00009F180000}"/>
    <cellStyle name="Heading 3 2 2 2 2 2 2" xfId="8325" xr:uid="{00000000-0005-0000-0000-0000A0180000}"/>
    <cellStyle name="Heading 3 2 2 2 2 2 2 2" xfId="17607" xr:uid="{00000000-0005-0000-0000-0000A1180000}"/>
    <cellStyle name="Heading 3 2 2 2 2 2 2 2 2" xfId="32439" xr:uid="{00000000-0005-0000-0000-0000A2180000}"/>
    <cellStyle name="Heading 3 2 2 2 2 2 2 3" xfId="24015" xr:uid="{00000000-0005-0000-0000-0000A3180000}"/>
    <cellStyle name="Heading 3 2 2 2 2 2 3" xfId="14618" xr:uid="{00000000-0005-0000-0000-0000A4180000}"/>
    <cellStyle name="Heading 3 2 2 2 2 2 3 2" xfId="29450" xr:uid="{00000000-0005-0000-0000-0000A5180000}"/>
    <cellStyle name="Heading 3 2 2 2 2 2 4" xfId="21613" xr:uid="{00000000-0005-0000-0000-0000A6180000}"/>
    <cellStyle name="Heading 3 2 2 2 2 3" xfId="6086" xr:uid="{00000000-0005-0000-0000-0000A7180000}"/>
    <cellStyle name="Heading 3 2 2 2 2 3 2" xfId="16273" xr:uid="{00000000-0005-0000-0000-0000A8180000}"/>
    <cellStyle name="Heading 3 2 2 2 2 3 2 2" xfId="31105" xr:uid="{00000000-0005-0000-0000-0000A9180000}"/>
    <cellStyle name="Heading 3 2 2 2 2 3 3" xfId="22619" xr:uid="{00000000-0005-0000-0000-0000AA180000}"/>
    <cellStyle name="Heading 3 2 2 2 2 4" xfId="12343" xr:uid="{00000000-0005-0000-0000-0000AB180000}"/>
    <cellStyle name="Heading 3 2 2 2 2 4 2" xfId="27175" xr:uid="{00000000-0005-0000-0000-0000AC180000}"/>
    <cellStyle name="Heading 3 2 2 2 2 5" xfId="20331" xr:uid="{00000000-0005-0000-0000-0000AD180000}"/>
    <cellStyle name="Heading 3 2 2 2 3" xfId="3468" xr:uid="{00000000-0005-0000-0000-0000AE180000}"/>
    <cellStyle name="Heading 3 2 2 2 3 2" xfId="7531" xr:uid="{00000000-0005-0000-0000-0000AF180000}"/>
    <cellStyle name="Heading 3 2 2 2 3 2 2" xfId="17203" xr:uid="{00000000-0005-0000-0000-0000B0180000}"/>
    <cellStyle name="Heading 3 2 2 2 3 2 2 2" xfId="32035" xr:uid="{00000000-0005-0000-0000-0000B1180000}"/>
    <cellStyle name="Heading 3 2 2 2 3 2 3" xfId="23498" xr:uid="{00000000-0005-0000-0000-0000B2180000}"/>
    <cellStyle name="Heading 3 2 2 2 3 3" xfId="13805" xr:uid="{00000000-0005-0000-0000-0000B3180000}"/>
    <cellStyle name="Heading 3 2 2 2 3 3 2" xfId="28637" xr:uid="{00000000-0005-0000-0000-0000B4180000}"/>
    <cellStyle name="Heading 3 2 2 2 3 4" xfId="21173" xr:uid="{00000000-0005-0000-0000-0000B5180000}"/>
    <cellStyle name="Heading 3 2 2 2 4" xfId="11872" xr:uid="{00000000-0005-0000-0000-0000B6180000}"/>
    <cellStyle name="Heading 3 2 2 2 4 2" xfId="26704" xr:uid="{00000000-0005-0000-0000-0000B7180000}"/>
    <cellStyle name="Heading 3 2 2 2 5" xfId="20270" xr:uid="{00000000-0005-0000-0000-0000B8180000}"/>
    <cellStyle name="Heading 3 2 2 3" xfId="1731" xr:uid="{00000000-0005-0000-0000-0000B9180000}"/>
    <cellStyle name="Heading 3 2 2 3 2" xfId="4269" xr:uid="{00000000-0005-0000-0000-0000BA180000}"/>
    <cellStyle name="Heading 3 2 2 3 2 2" xfId="8308" xr:uid="{00000000-0005-0000-0000-0000BB180000}"/>
    <cellStyle name="Heading 3 2 2 3 2 2 2" xfId="17595" xr:uid="{00000000-0005-0000-0000-0000BC180000}"/>
    <cellStyle name="Heading 3 2 2 3 2 2 2 2" xfId="32427" xr:uid="{00000000-0005-0000-0000-0000BD180000}"/>
    <cellStyle name="Heading 3 2 2 3 2 2 3" xfId="24002" xr:uid="{00000000-0005-0000-0000-0000BE180000}"/>
    <cellStyle name="Heading 3 2 2 3 2 3" xfId="14601" xr:uid="{00000000-0005-0000-0000-0000BF180000}"/>
    <cellStyle name="Heading 3 2 2 3 2 3 2" xfId="29433" xr:uid="{00000000-0005-0000-0000-0000C0180000}"/>
    <cellStyle name="Heading 3 2 2 3 2 4" xfId="21602" xr:uid="{00000000-0005-0000-0000-0000C1180000}"/>
    <cellStyle name="Heading 3 2 2 3 3" xfId="5863" xr:uid="{00000000-0005-0000-0000-0000C2180000}"/>
    <cellStyle name="Heading 3 2 2 3 3 2" xfId="16055" xr:uid="{00000000-0005-0000-0000-0000C3180000}"/>
    <cellStyle name="Heading 3 2 2 3 3 2 2" xfId="30887" xr:uid="{00000000-0005-0000-0000-0000C4180000}"/>
    <cellStyle name="Heading 3 2 2 3 3 3" xfId="22460" xr:uid="{00000000-0005-0000-0000-0000C5180000}"/>
    <cellStyle name="Heading 3 2 2 3 4" xfId="12125" xr:uid="{00000000-0005-0000-0000-0000C6180000}"/>
    <cellStyle name="Heading 3 2 2 3 4 2" xfId="26957" xr:uid="{00000000-0005-0000-0000-0000C7180000}"/>
    <cellStyle name="Heading 3 2 2 3 5" xfId="20284" xr:uid="{00000000-0005-0000-0000-0000C8180000}"/>
    <cellStyle name="Heading 3 2 2 4" xfId="3149" xr:uid="{00000000-0005-0000-0000-0000C9180000}"/>
    <cellStyle name="Heading 3 2 2 4 2" xfId="7213" xr:uid="{00000000-0005-0000-0000-0000CA180000}"/>
    <cellStyle name="Heading 3 2 2 4 2 2" xfId="16992" xr:uid="{00000000-0005-0000-0000-0000CB180000}"/>
    <cellStyle name="Heading 3 2 2 4 2 2 2" xfId="31824" xr:uid="{00000000-0005-0000-0000-0000CC180000}"/>
    <cellStyle name="Heading 3 2 2 4 2 3" xfId="23282" xr:uid="{00000000-0005-0000-0000-0000CD180000}"/>
    <cellStyle name="Heading 3 2 2 4 3" xfId="13487" xr:uid="{00000000-0005-0000-0000-0000CE180000}"/>
    <cellStyle name="Heading 3 2 2 4 3 2" xfId="28319" xr:uid="{00000000-0005-0000-0000-0000CF180000}"/>
    <cellStyle name="Heading 3 2 2 4 4" xfId="20973" xr:uid="{00000000-0005-0000-0000-0000D0180000}"/>
    <cellStyle name="Heading 3 2 2 5" xfId="5387" xr:uid="{00000000-0005-0000-0000-0000D1180000}"/>
    <cellStyle name="Heading 3 2 2 5 2" xfId="22148" xr:uid="{00000000-0005-0000-0000-0000D2180000}"/>
    <cellStyle name="Heading 3 2 2 6" xfId="20254" xr:uid="{00000000-0005-0000-0000-0000D3180000}"/>
    <cellStyle name="Heading 3 2 3" xfId="1069" xr:uid="{00000000-0005-0000-0000-0000D4180000}"/>
    <cellStyle name="Heading 3 2 3 2" xfId="1456" xr:uid="{00000000-0005-0000-0000-0000D5180000}"/>
    <cellStyle name="Heading 3 2 3 2 2" xfId="1957" xr:uid="{00000000-0005-0000-0000-0000D6180000}"/>
    <cellStyle name="Heading 3 2 3 2 2 2" xfId="3311" xr:uid="{00000000-0005-0000-0000-0000D7180000}"/>
    <cellStyle name="Heading 3 2 3 2 2 2 2" xfId="7375" xr:uid="{00000000-0005-0000-0000-0000D8180000}"/>
    <cellStyle name="Heading 3 2 3 2 2 2 2 2" xfId="17110" xr:uid="{00000000-0005-0000-0000-0000D9180000}"/>
    <cellStyle name="Heading 3 2 3 2 2 2 2 2 2" xfId="31942" xr:uid="{00000000-0005-0000-0000-0000DA180000}"/>
    <cellStyle name="Heading 3 2 3 2 2 2 2 3" xfId="23393" xr:uid="{00000000-0005-0000-0000-0000DB180000}"/>
    <cellStyle name="Heading 3 2 3 2 2 2 3" xfId="13648" xr:uid="{00000000-0005-0000-0000-0000DC180000}"/>
    <cellStyle name="Heading 3 2 3 2 2 2 3 2" xfId="28480" xr:uid="{00000000-0005-0000-0000-0000DD180000}"/>
    <cellStyle name="Heading 3 2 3 2 2 2 4" xfId="21080" xr:uid="{00000000-0005-0000-0000-0000DE180000}"/>
    <cellStyle name="Heading 3 2 3 2 2 3" xfId="6087" xr:uid="{00000000-0005-0000-0000-0000DF180000}"/>
    <cellStyle name="Heading 3 2 3 2 2 3 2" xfId="16274" xr:uid="{00000000-0005-0000-0000-0000E0180000}"/>
    <cellStyle name="Heading 3 2 3 2 2 3 2 2" xfId="31106" xr:uid="{00000000-0005-0000-0000-0000E1180000}"/>
    <cellStyle name="Heading 3 2 3 2 2 3 3" xfId="22620" xr:uid="{00000000-0005-0000-0000-0000E2180000}"/>
    <cellStyle name="Heading 3 2 3 2 2 4" xfId="12344" xr:uid="{00000000-0005-0000-0000-0000E3180000}"/>
    <cellStyle name="Heading 3 2 3 2 2 4 2" xfId="27176" xr:uid="{00000000-0005-0000-0000-0000E4180000}"/>
    <cellStyle name="Heading 3 2 3 2 2 5" xfId="20332" xr:uid="{00000000-0005-0000-0000-0000E5180000}"/>
    <cellStyle name="Heading 3 2 3 2 3" xfId="3623" xr:uid="{00000000-0005-0000-0000-0000E6180000}"/>
    <cellStyle name="Heading 3 2 3 2 3 2" xfId="7683" xr:uid="{00000000-0005-0000-0000-0000E7180000}"/>
    <cellStyle name="Heading 3 2 3 2 3 2 2" xfId="17285" xr:uid="{00000000-0005-0000-0000-0000E8180000}"/>
    <cellStyle name="Heading 3 2 3 2 3 2 2 2" xfId="32117" xr:uid="{00000000-0005-0000-0000-0000E9180000}"/>
    <cellStyle name="Heading 3 2 3 2 3 2 3" xfId="23592" xr:uid="{00000000-0005-0000-0000-0000EA180000}"/>
    <cellStyle name="Heading 3 2 3 2 3 3" xfId="13958" xr:uid="{00000000-0005-0000-0000-0000EB180000}"/>
    <cellStyle name="Heading 3 2 3 2 3 3 2" xfId="28790" xr:uid="{00000000-0005-0000-0000-0000EC180000}"/>
    <cellStyle name="Heading 3 2 3 2 3 4" xfId="21256" xr:uid="{00000000-0005-0000-0000-0000ED180000}"/>
    <cellStyle name="Heading 3 2 3 2 4" xfId="11873" xr:uid="{00000000-0005-0000-0000-0000EE180000}"/>
    <cellStyle name="Heading 3 2 3 2 4 2" xfId="26705" xr:uid="{00000000-0005-0000-0000-0000EF180000}"/>
    <cellStyle name="Heading 3 2 3 2 5" xfId="20271" xr:uid="{00000000-0005-0000-0000-0000F0180000}"/>
    <cellStyle name="Heading 3 2 3 3" xfId="1732" xr:uid="{00000000-0005-0000-0000-0000F1180000}"/>
    <cellStyle name="Heading 3 2 3 3 2" xfId="3214" xr:uid="{00000000-0005-0000-0000-0000F2180000}"/>
    <cellStyle name="Heading 3 2 3 3 2 2" xfId="7278" xr:uid="{00000000-0005-0000-0000-0000F3180000}"/>
    <cellStyle name="Heading 3 2 3 3 2 2 2" xfId="17044" xr:uid="{00000000-0005-0000-0000-0000F4180000}"/>
    <cellStyle name="Heading 3 2 3 3 2 2 2 2" xfId="31876" xr:uid="{00000000-0005-0000-0000-0000F5180000}"/>
    <cellStyle name="Heading 3 2 3 3 2 2 3" xfId="23323" xr:uid="{00000000-0005-0000-0000-0000F6180000}"/>
    <cellStyle name="Heading 3 2 3 3 2 3" xfId="13552" xr:uid="{00000000-0005-0000-0000-0000F7180000}"/>
    <cellStyle name="Heading 3 2 3 3 2 3 2" xfId="28384" xr:uid="{00000000-0005-0000-0000-0000F8180000}"/>
    <cellStyle name="Heading 3 2 3 3 2 4" xfId="21013" xr:uid="{00000000-0005-0000-0000-0000F9180000}"/>
    <cellStyle name="Heading 3 2 3 3 3" xfId="5864" xr:uid="{00000000-0005-0000-0000-0000FA180000}"/>
    <cellStyle name="Heading 3 2 3 3 3 2" xfId="16056" xr:uid="{00000000-0005-0000-0000-0000FB180000}"/>
    <cellStyle name="Heading 3 2 3 3 3 2 2" xfId="30888" xr:uid="{00000000-0005-0000-0000-0000FC180000}"/>
    <cellStyle name="Heading 3 2 3 3 3 3" xfId="22461" xr:uid="{00000000-0005-0000-0000-0000FD180000}"/>
    <cellStyle name="Heading 3 2 3 3 4" xfId="12126" xr:uid="{00000000-0005-0000-0000-0000FE180000}"/>
    <cellStyle name="Heading 3 2 3 3 4 2" xfId="26958" xr:uid="{00000000-0005-0000-0000-0000FF180000}"/>
    <cellStyle name="Heading 3 2 3 3 5" xfId="20285" xr:uid="{00000000-0005-0000-0000-000000190000}"/>
    <cellStyle name="Heading 3 2 3 4" xfId="3265" xr:uid="{00000000-0005-0000-0000-000001190000}"/>
    <cellStyle name="Heading 3 2 3 4 2" xfId="7329" xr:uid="{00000000-0005-0000-0000-000002190000}"/>
    <cellStyle name="Heading 3 2 3 4 2 2" xfId="17074" xr:uid="{00000000-0005-0000-0000-000003190000}"/>
    <cellStyle name="Heading 3 2 3 4 2 2 2" xfId="31906" xr:uid="{00000000-0005-0000-0000-000004190000}"/>
    <cellStyle name="Heading 3 2 3 4 2 3" xfId="23363" xr:uid="{00000000-0005-0000-0000-000005190000}"/>
    <cellStyle name="Heading 3 2 3 4 3" xfId="13602" xr:uid="{00000000-0005-0000-0000-000006190000}"/>
    <cellStyle name="Heading 3 2 3 4 3 2" xfId="28434" xr:uid="{00000000-0005-0000-0000-000007190000}"/>
    <cellStyle name="Heading 3 2 3 4 4" xfId="21050" xr:uid="{00000000-0005-0000-0000-000008190000}"/>
    <cellStyle name="Heading 3 2 3 5" xfId="5386" xr:uid="{00000000-0005-0000-0000-000009190000}"/>
    <cellStyle name="Heading 3 2 3 5 2" xfId="22147" xr:uid="{00000000-0005-0000-0000-00000A190000}"/>
    <cellStyle name="Heading 3 2 3 6" xfId="20255" xr:uid="{00000000-0005-0000-0000-00000B190000}"/>
    <cellStyle name="Heading 3 2 4" xfId="1070" xr:uid="{00000000-0005-0000-0000-00000C190000}"/>
    <cellStyle name="Heading 3 2 4 2" xfId="1457" xr:uid="{00000000-0005-0000-0000-00000D190000}"/>
    <cellStyle name="Heading 3 2 4 2 2" xfId="1958" xr:uid="{00000000-0005-0000-0000-00000E190000}"/>
    <cellStyle name="Heading 3 2 4 2 2 2" xfId="3190" xr:uid="{00000000-0005-0000-0000-00000F190000}"/>
    <cellStyle name="Heading 3 2 4 2 2 2 2" xfId="7254" xr:uid="{00000000-0005-0000-0000-000010190000}"/>
    <cellStyle name="Heading 3 2 4 2 2 2 2 2" xfId="17024" xr:uid="{00000000-0005-0000-0000-000011190000}"/>
    <cellStyle name="Heading 3 2 4 2 2 2 2 2 2" xfId="31856" xr:uid="{00000000-0005-0000-0000-000012190000}"/>
    <cellStyle name="Heading 3 2 4 2 2 2 2 3" xfId="23308" xr:uid="{00000000-0005-0000-0000-000013190000}"/>
    <cellStyle name="Heading 3 2 4 2 2 2 3" xfId="13528" xr:uid="{00000000-0005-0000-0000-000014190000}"/>
    <cellStyle name="Heading 3 2 4 2 2 2 3 2" xfId="28360" xr:uid="{00000000-0005-0000-0000-000015190000}"/>
    <cellStyle name="Heading 3 2 4 2 2 2 4" xfId="20998" xr:uid="{00000000-0005-0000-0000-000016190000}"/>
    <cellStyle name="Heading 3 2 4 2 2 3" xfId="6088" xr:uid="{00000000-0005-0000-0000-000017190000}"/>
    <cellStyle name="Heading 3 2 4 2 2 3 2" xfId="16275" xr:uid="{00000000-0005-0000-0000-000018190000}"/>
    <cellStyle name="Heading 3 2 4 2 2 3 2 2" xfId="31107" xr:uid="{00000000-0005-0000-0000-000019190000}"/>
    <cellStyle name="Heading 3 2 4 2 2 3 3" xfId="22621" xr:uid="{00000000-0005-0000-0000-00001A190000}"/>
    <cellStyle name="Heading 3 2 4 2 2 4" xfId="12345" xr:uid="{00000000-0005-0000-0000-00001B190000}"/>
    <cellStyle name="Heading 3 2 4 2 2 4 2" xfId="27177" xr:uid="{00000000-0005-0000-0000-00001C190000}"/>
    <cellStyle name="Heading 3 2 4 2 2 5" xfId="20333" xr:uid="{00000000-0005-0000-0000-00001D190000}"/>
    <cellStyle name="Heading 3 2 4 2 3" xfId="3920" xr:uid="{00000000-0005-0000-0000-00001E190000}"/>
    <cellStyle name="Heading 3 2 4 2 3 2" xfId="7971" xr:uid="{00000000-0005-0000-0000-00001F190000}"/>
    <cellStyle name="Heading 3 2 4 2 3 2 2" xfId="17431" xr:uid="{00000000-0005-0000-0000-000020190000}"/>
    <cellStyle name="Heading 3 2 4 2 3 2 2 2" xfId="32263" xr:uid="{00000000-0005-0000-0000-000021190000}"/>
    <cellStyle name="Heading 3 2 4 2 3 2 3" xfId="23779" xr:uid="{00000000-0005-0000-0000-000022190000}"/>
    <cellStyle name="Heading 3 2 4 2 3 3" xfId="14253" xr:uid="{00000000-0005-0000-0000-000023190000}"/>
    <cellStyle name="Heading 3 2 4 2 3 3 2" xfId="29085" xr:uid="{00000000-0005-0000-0000-000024190000}"/>
    <cellStyle name="Heading 3 2 4 2 3 4" xfId="21420" xr:uid="{00000000-0005-0000-0000-000025190000}"/>
    <cellStyle name="Heading 3 2 4 2 4" xfId="11874" xr:uid="{00000000-0005-0000-0000-000026190000}"/>
    <cellStyle name="Heading 3 2 4 2 4 2" xfId="26706" xr:uid="{00000000-0005-0000-0000-000027190000}"/>
    <cellStyle name="Heading 3 2 4 2 5" xfId="20272" xr:uid="{00000000-0005-0000-0000-000028190000}"/>
    <cellStyle name="Heading 3 2 4 3" xfId="1733" xr:uid="{00000000-0005-0000-0000-000029190000}"/>
    <cellStyle name="Heading 3 2 4 3 2" xfId="4289" xr:uid="{00000000-0005-0000-0000-00002A190000}"/>
    <cellStyle name="Heading 3 2 4 3 2 2" xfId="8328" xr:uid="{00000000-0005-0000-0000-00002B190000}"/>
    <cellStyle name="Heading 3 2 4 3 2 2 2" xfId="17610" xr:uid="{00000000-0005-0000-0000-00002C190000}"/>
    <cellStyle name="Heading 3 2 4 3 2 2 2 2" xfId="32442" xr:uid="{00000000-0005-0000-0000-00002D190000}"/>
    <cellStyle name="Heading 3 2 4 3 2 2 3" xfId="24016" xr:uid="{00000000-0005-0000-0000-00002E190000}"/>
    <cellStyle name="Heading 3 2 4 3 2 3" xfId="14621" xr:uid="{00000000-0005-0000-0000-00002F190000}"/>
    <cellStyle name="Heading 3 2 4 3 2 3 2" xfId="29453" xr:uid="{00000000-0005-0000-0000-000030190000}"/>
    <cellStyle name="Heading 3 2 4 3 2 4" xfId="21614" xr:uid="{00000000-0005-0000-0000-000031190000}"/>
    <cellStyle name="Heading 3 2 4 3 3" xfId="5865" xr:uid="{00000000-0005-0000-0000-000032190000}"/>
    <cellStyle name="Heading 3 2 4 3 3 2" xfId="16057" xr:uid="{00000000-0005-0000-0000-000033190000}"/>
    <cellStyle name="Heading 3 2 4 3 3 2 2" xfId="30889" xr:uid="{00000000-0005-0000-0000-000034190000}"/>
    <cellStyle name="Heading 3 2 4 3 3 3" xfId="22462" xr:uid="{00000000-0005-0000-0000-000035190000}"/>
    <cellStyle name="Heading 3 2 4 3 4" xfId="12127" xr:uid="{00000000-0005-0000-0000-000036190000}"/>
    <cellStyle name="Heading 3 2 4 3 4 2" xfId="26959" xr:uid="{00000000-0005-0000-0000-000037190000}"/>
    <cellStyle name="Heading 3 2 4 3 5" xfId="20286" xr:uid="{00000000-0005-0000-0000-000038190000}"/>
    <cellStyle name="Heading 3 2 4 4" xfId="3196" xr:uid="{00000000-0005-0000-0000-000039190000}"/>
    <cellStyle name="Heading 3 2 4 4 2" xfId="7260" xr:uid="{00000000-0005-0000-0000-00003A190000}"/>
    <cellStyle name="Heading 3 2 4 4 2 2" xfId="17029" xr:uid="{00000000-0005-0000-0000-00003B190000}"/>
    <cellStyle name="Heading 3 2 4 4 2 2 2" xfId="31861" xr:uid="{00000000-0005-0000-0000-00003C190000}"/>
    <cellStyle name="Heading 3 2 4 4 2 3" xfId="23312" xr:uid="{00000000-0005-0000-0000-00003D190000}"/>
    <cellStyle name="Heading 3 2 4 4 3" xfId="13534" xr:uid="{00000000-0005-0000-0000-00003E190000}"/>
    <cellStyle name="Heading 3 2 4 4 3 2" xfId="28366" xr:uid="{00000000-0005-0000-0000-00003F190000}"/>
    <cellStyle name="Heading 3 2 4 4 4" xfId="21002" xr:uid="{00000000-0005-0000-0000-000040190000}"/>
    <cellStyle name="Heading 3 2 4 5" xfId="5385" xr:uid="{00000000-0005-0000-0000-000041190000}"/>
    <cellStyle name="Heading 3 2 4 5 2" xfId="22146" xr:uid="{00000000-0005-0000-0000-000042190000}"/>
    <cellStyle name="Heading 3 2 4 6" xfId="20256" xr:uid="{00000000-0005-0000-0000-000043190000}"/>
    <cellStyle name="Heading 3 2 5" xfId="1071" xr:uid="{00000000-0005-0000-0000-000044190000}"/>
    <cellStyle name="Heading 3 2 5 2" xfId="1458" xr:uid="{00000000-0005-0000-0000-000045190000}"/>
    <cellStyle name="Heading 3 2 5 2 2" xfId="1959" xr:uid="{00000000-0005-0000-0000-000046190000}"/>
    <cellStyle name="Heading 3 2 5 2 2 2" xfId="3340" xr:uid="{00000000-0005-0000-0000-000047190000}"/>
    <cellStyle name="Heading 3 2 5 2 2 2 2" xfId="7403" xr:uid="{00000000-0005-0000-0000-000048190000}"/>
    <cellStyle name="Heading 3 2 5 2 2 2 2 2" xfId="17133" xr:uid="{00000000-0005-0000-0000-000049190000}"/>
    <cellStyle name="Heading 3 2 5 2 2 2 2 2 2" xfId="31965" xr:uid="{00000000-0005-0000-0000-00004A190000}"/>
    <cellStyle name="Heading 3 2 5 2 2 2 2 3" xfId="23408" xr:uid="{00000000-0005-0000-0000-00004B190000}"/>
    <cellStyle name="Heading 3 2 5 2 2 2 3" xfId="13677" xr:uid="{00000000-0005-0000-0000-00004C190000}"/>
    <cellStyle name="Heading 3 2 5 2 2 2 3 2" xfId="28509" xr:uid="{00000000-0005-0000-0000-00004D190000}"/>
    <cellStyle name="Heading 3 2 5 2 2 2 4" xfId="21095" xr:uid="{00000000-0005-0000-0000-00004E190000}"/>
    <cellStyle name="Heading 3 2 5 2 2 3" xfId="6089" xr:uid="{00000000-0005-0000-0000-00004F190000}"/>
    <cellStyle name="Heading 3 2 5 2 2 3 2" xfId="16276" xr:uid="{00000000-0005-0000-0000-000050190000}"/>
    <cellStyle name="Heading 3 2 5 2 2 3 2 2" xfId="31108" xr:uid="{00000000-0005-0000-0000-000051190000}"/>
    <cellStyle name="Heading 3 2 5 2 2 3 3" xfId="22622" xr:uid="{00000000-0005-0000-0000-000052190000}"/>
    <cellStyle name="Heading 3 2 5 2 2 4" xfId="12346" xr:uid="{00000000-0005-0000-0000-000053190000}"/>
    <cellStyle name="Heading 3 2 5 2 2 4 2" xfId="27178" xr:uid="{00000000-0005-0000-0000-000054190000}"/>
    <cellStyle name="Heading 3 2 5 2 2 5" xfId="20334" xr:uid="{00000000-0005-0000-0000-000055190000}"/>
    <cellStyle name="Heading 3 2 5 2 3" xfId="3719" xr:uid="{00000000-0005-0000-0000-000056190000}"/>
    <cellStyle name="Heading 3 2 5 2 3 2" xfId="7775" xr:uid="{00000000-0005-0000-0000-000057190000}"/>
    <cellStyle name="Heading 3 2 5 2 3 2 2" xfId="17332" xr:uid="{00000000-0005-0000-0000-000058190000}"/>
    <cellStyle name="Heading 3 2 5 2 3 2 2 2" xfId="32164" xr:uid="{00000000-0005-0000-0000-000059190000}"/>
    <cellStyle name="Heading 3 2 5 2 3 2 3" xfId="23656" xr:uid="{00000000-0005-0000-0000-00005A190000}"/>
    <cellStyle name="Heading 3 2 5 2 3 3" xfId="14054" xr:uid="{00000000-0005-0000-0000-00005B190000}"/>
    <cellStyle name="Heading 3 2 5 2 3 3 2" xfId="28886" xr:uid="{00000000-0005-0000-0000-00005C190000}"/>
    <cellStyle name="Heading 3 2 5 2 3 4" xfId="21316" xr:uid="{00000000-0005-0000-0000-00005D190000}"/>
    <cellStyle name="Heading 3 2 5 2 4" xfId="11875" xr:uid="{00000000-0005-0000-0000-00005E190000}"/>
    <cellStyle name="Heading 3 2 5 2 4 2" xfId="26707" xr:uid="{00000000-0005-0000-0000-00005F190000}"/>
    <cellStyle name="Heading 3 2 5 2 5" xfId="20273" xr:uid="{00000000-0005-0000-0000-000060190000}"/>
    <cellStyle name="Heading 3 2 5 3" xfId="1734" xr:uid="{00000000-0005-0000-0000-000061190000}"/>
    <cellStyle name="Heading 3 2 5 3 2" xfId="3342" xr:uid="{00000000-0005-0000-0000-000062190000}"/>
    <cellStyle name="Heading 3 2 5 3 2 2" xfId="7405" xr:uid="{00000000-0005-0000-0000-000063190000}"/>
    <cellStyle name="Heading 3 2 5 3 2 2 2" xfId="17134" xr:uid="{00000000-0005-0000-0000-000064190000}"/>
    <cellStyle name="Heading 3 2 5 3 2 2 2 2" xfId="31966" xr:uid="{00000000-0005-0000-0000-000065190000}"/>
    <cellStyle name="Heading 3 2 5 3 2 2 3" xfId="23410" xr:uid="{00000000-0005-0000-0000-000066190000}"/>
    <cellStyle name="Heading 3 2 5 3 2 3" xfId="13679" xr:uid="{00000000-0005-0000-0000-000067190000}"/>
    <cellStyle name="Heading 3 2 5 3 2 3 2" xfId="28511" xr:uid="{00000000-0005-0000-0000-000068190000}"/>
    <cellStyle name="Heading 3 2 5 3 2 4" xfId="21097" xr:uid="{00000000-0005-0000-0000-000069190000}"/>
    <cellStyle name="Heading 3 2 5 3 3" xfId="5866" xr:uid="{00000000-0005-0000-0000-00006A190000}"/>
    <cellStyle name="Heading 3 2 5 3 3 2" xfId="16058" xr:uid="{00000000-0005-0000-0000-00006B190000}"/>
    <cellStyle name="Heading 3 2 5 3 3 2 2" xfId="30890" xr:uid="{00000000-0005-0000-0000-00006C190000}"/>
    <cellStyle name="Heading 3 2 5 3 3 3" xfId="22463" xr:uid="{00000000-0005-0000-0000-00006D190000}"/>
    <cellStyle name="Heading 3 2 5 3 4" xfId="12128" xr:uid="{00000000-0005-0000-0000-00006E190000}"/>
    <cellStyle name="Heading 3 2 5 3 4 2" xfId="26960" xr:uid="{00000000-0005-0000-0000-00006F190000}"/>
    <cellStyle name="Heading 3 2 5 3 5" xfId="20287" xr:uid="{00000000-0005-0000-0000-000070190000}"/>
    <cellStyle name="Heading 3 2 5 4" xfId="3318" xr:uid="{00000000-0005-0000-0000-000071190000}"/>
    <cellStyle name="Heading 3 2 5 4 2" xfId="7381" xr:uid="{00000000-0005-0000-0000-000072190000}"/>
    <cellStyle name="Heading 3 2 5 4 2 2" xfId="17115" xr:uid="{00000000-0005-0000-0000-000073190000}"/>
    <cellStyle name="Heading 3 2 5 4 2 2 2" xfId="31947" xr:uid="{00000000-0005-0000-0000-000074190000}"/>
    <cellStyle name="Heading 3 2 5 4 2 3" xfId="23396" xr:uid="{00000000-0005-0000-0000-000075190000}"/>
    <cellStyle name="Heading 3 2 5 4 3" xfId="13655" xr:uid="{00000000-0005-0000-0000-000076190000}"/>
    <cellStyle name="Heading 3 2 5 4 3 2" xfId="28487" xr:uid="{00000000-0005-0000-0000-000077190000}"/>
    <cellStyle name="Heading 3 2 5 4 4" xfId="21084" xr:uid="{00000000-0005-0000-0000-000078190000}"/>
    <cellStyle name="Heading 3 2 5 5" xfId="5384" xr:uid="{00000000-0005-0000-0000-000079190000}"/>
    <cellStyle name="Heading 3 2 5 5 2" xfId="22145" xr:uid="{00000000-0005-0000-0000-00007A190000}"/>
    <cellStyle name="Heading 3 2 5 6" xfId="20257" xr:uid="{00000000-0005-0000-0000-00007B190000}"/>
    <cellStyle name="Heading 3 2 6" xfId="1072" xr:uid="{00000000-0005-0000-0000-00007C190000}"/>
    <cellStyle name="Heading 3 2 6 2" xfId="1459" xr:uid="{00000000-0005-0000-0000-00007D190000}"/>
    <cellStyle name="Heading 3 2 6 2 2" xfId="1960" xr:uid="{00000000-0005-0000-0000-00007E190000}"/>
    <cellStyle name="Heading 3 2 6 2 2 2" xfId="3308" xr:uid="{00000000-0005-0000-0000-00007F190000}"/>
    <cellStyle name="Heading 3 2 6 2 2 2 2" xfId="7372" xr:uid="{00000000-0005-0000-0000-000080190000}"/>
    <cellStyle name="Heading 3 2 6 2 2 2 2 2" xfId="17108" xr:uid="{00000000-0005-0000-0000-000081190000}"/>
    <cellStyle name="Heading 3 2 6 2 2 2 2 2 2" xfId="31940" xr:uid="{00000000-0005-0000-0000-000082190000}"/>
    <cellStyle name="Heading 3 2 6 2 2 2 2 3" xfId="23391" xr:uid="{00000000-0005-0000-0000-000083190000}"/>
    <cellStyle name="Heading 3 2 6 2 2 2 3" xfId="13645" xr:uid="{00000000-0005-0000-0000-000084190000}"/>
    <cellStyle name="Heading 3 2 6 2 2 2 3 2" xfId="28477" xr:uid="{00000000-0005-0000-0000-000085190000}"/>
    <cellStyle name="Heading 3 2 6 2 2 2 4" xfId="21078" xr:uid="{00000000-0005-0000-0000-000086190000}"/>
    <cellStyle name="Heading 3 2 6 2 2 3" xfId="6090" xr:uid="{00000000-0005-0000-0000-000087190000}"/>
    <cellStyle name="Heading 3 2 6 2 2 3 2" xfId="16277" xr:uid="{00000000-0005-0000-0000-000088190000}"/>
    <cellStyle name="Heading 3 2 6 2 2 3 2 2" xfId="31109" xr:uid="{00000000-0005-0000-0000-000089190000}"/>
    <cellStyle name="Heading 3 2 6 2 2 3 3" xfId="22623" xr:uid="{00000000-0005-0000-0000-00008A190000}"/>
    <cellStyle name="Heading 3 2 6 2 2 4" xfId="12347" xr:uid="{00000000-0005-0000-0000-00008B190000}"/>
    <cellStyle name="Heading 3 2 6 2 2 4 2" xfId="27179" xr:uid="{00000000-0005-0000-0000-00008C190000}"/>
    <cellStyle name="Heading 3 2 6 2 2 5" xfId="20335" xr:uid="{00000000-0005-0000-0000-00008D190000}"/>
    <cellStyle name="Heading 3 2 6 2 3" xfId="4306" xr:uid="{00000000-0005-0000-0000-00008E190000}"/>
    <cellStyle name="Heading 3 2 6 2 3 2" xfId="8345" xr:uid="{00000000-0005-0000-0000-00008F190000}"/>
    <cellStyle name="Heading 3 2 6 2 3 2 2" xfId="17624" xr:uid="{00000000-0005-0000-0000-000090190000}"/>
    <cellStyle name="Heading 3 2 6 2 3 2 2 2" xfId="32456" xr:uid="{00000000-0005-0000-0000-000091190000}"/>
    <cellStyle name="Heading 3 2 6 2 3 2 3" xfId="24027" xr:uid="{00000000-0005-0000-0000-000092190000}"/>
    <cellStyle name="Heading 3 2 6 2 3 3" xfId="14637" xr:uid="{00000000-0005-0000-0000-000093190000}"/>
    <cellStyle name="Heading 3 2 6 2 3 3 2" xfId="29469" xr:uid="{00000000-0005-0000-0000-000094190000}"/>
    <cellStyle name="Heading 3 2 6 2 3 4" xfId="21624" xr:uid="{00000000-0005-0000-0000-000095190000}"/>
    <cellStyle name="Heading 3 2 6 2 4" xfId="11876" xr:uid="{00000000-0005-0000-0000-000096190000}"/>
    <cellStyle name="Heading 3 2 6 2 4 2" xfId="26708" xr:uid="{00000000-0005-0000-0000-000097190000}"/>
    <cellStyle name="Heading 3 2 6 2 5" xfId="20274" xr:uid="{00000000-0005-0000-0000-000098190000}"/>
    <cellStyle name="Heading 3 2 6 3" xfId="1735" xr:uid="{00000000-0005-0000-0000-000099190000}"/>
    <cellStyle name="Heading 3 2 6 3 2" xfId="3313" xr:uid="{00000000-0005-0000-0000-00009A190000}"/>
    <cellStyle name="Heading 3 2 6 3 2 2" xfId="7376" xr:uid="{00000000-0005-0000-0000-00009B190000}"/>
    <cellStyle name="Heading 3 2 6 3 2 2 2" xfId="17111" xr:uid="{00000000-0005-0000-0000-00009C190000}"/>
    <cellStyle name="Heading 3 2 6 3 2 2 2 2" xfId="31943" xr:uid="{00000000-0005-0000-0000-00009D190000}"/>
    <cellStyle name="Heading 3 2 6 3 2 2 3" xfId="23394" xr:uid="{00000000-0005-0000-0000-00009E190000}"/>
    <cellStyle name="Heading 3 2 6 3 2 3" xfId="13650" xr:uid="{00000000-0005-0000-0000-00009F190000}"/>
    <cellStyle name="Heading 3 2 6 3 2 3 2" xfId="28482" xr:uid="{00000000-0005-0000-0000-0000A0190000}"/>
    <cellStyle name="Heading 3 2 6 3 2 4" xfId="21082" xr:uid="{00000000-0005-0000-0000-0000A1190000}"/>
    <cellStyle name="Heading 3 2 6 3 3" xfId="5867" xr:uid="{00000000-0005-0000-0000-0000A2190000}"/>
    <cellStyle name="Heading 3 2 6 3 3 2" xfId="16059" xr:uid="{00000000-0005-0000-0000-0000A3190000}"/>
    <cellStyle name="Heading 3 2 6 3 3 2 2" xfId="30891" xr:uid="{00000000-0005-0000-0000-0000A4190000}"/>
    <cellStyle name="Heading 3 2 6 3 3 3" xfId="22464" xr:uid="{00000000-0005-0000-0000-0000A5190000}"/>
    <cellStyle name="Heading 3 2 6 3 4" xfId="12129" xr:uid="{00000000-0005-0000-0000-0000A6190000}"/>
    <cellStyle name="Heading 3 2 6 3 4 2" xfId="26961" xr:uid="{00000000-0005-0000-0000-0000A7190000}"/>
    <cellStyle name="Heading 3 2 6 3 5" xfId="20288" xr:uid="{00000000-0005-0000-0000-0000A8190000}"/>
    <cellStyle name="Heading 3 2 6 4" xfId="3858" xr:uid="{00000000-0005-0000-0000-0000A9190000}"/>
    <cellStyle name="Heading 3 2 6 4 2" xfId="7910" xr:uid="{00000000-0005-0000-0000-0000AA190000}"/>
    <cellStyle name="Heading 3 2 6 4 2 2" xfId="17395" xr:uid="{00000000-0005-0000-0000-0000AB190000}"/>
    <cellStyle name="Heading 3 2 6 4 2 2 2" xfId="32227" xr:uid="{00000000-0005-0000-0000-0000AC190000}"/>
    <cellStyle name="Heading 3 2 6 4 2 3" xfId="23746" xr:uid="{00000000-0005-0000-0000-0000AD190000}"/>
    <cellStyle name="Heading 3 2 6 4 3" xfId="14193" xr:uid="{00000000-0005-0000-0000-0000AE190000}"/>
    <cellStyle name="Heading 3 2 6 4 3 2" xfId="29025" xr:uid="{00000000-0005-0000-0000-0000AF190000}"/>
    <cellStyle name="Heading 3 2 6 4 4" xfId="21388" xr:uid="{00000000-0005-0000-0000-0000B0190000}"/>
    <cellStyle name="Heading 3 2 6 5" xfId="5383" xr:uid="{00000000-0005-0000-0000-0000B1190000}"/>
    <cellStyle name="Heading 3 2 6 5 2" xfId="22144" xr:uid="{00000000-0005-0000-0000-0000B2190000}"/>
    <cellStyle name="Heading 3 2 6 6" xfId="20258" xr:uid="{00000000-0005-0000-0000-0000B3190000}"/>
    <cellStyle name="Heading 3 2 7" xfId="1073" xr:uid="{00000000-0005-0000-0000-0000B4190000}"/>
    <cellStyle name="Heading 3 2 7 2" xfId="1460" xr:uid="{00000000-0005-0000-0000-0000B5190000}"/>
    <cellStyle name="Heading 3 2 7 2 2" xfId="1961" xr:uid="{00000000-0005-0000-0000-0000B6190000}"/>
    <cellStyle name="Heading 3 2 7 2 2 2" xfId="3188" xr:uid="{00000000-0005-0000-0000-0000B7190000}"/>
    <cellStyle name="Heading 3 2 7 2 2 2 2" xfId="7252" xr:uid="{00000000-0005-0000-0000-0000B8190000}"/>
    <cellStyle name="Heading 3 2 7 2 2 2 2 2" xfId="17022" xr:uid="{00000000-0005-0000-0000-0000B9190000}"/>
    <cellStyle name="Heading 3 2 7 2 2 2 2 2 2" xfId="31854" xr:uid="{00000000-0005-0000-0000-0000BA190000}"/>
    <cellStyle name="Heading 3 2 7 2 2 2 2 3" xfId="23307" xr:uid="{00000000-0005-0000-0000-0000BB190000}"/>
    <cellStyle name="Heading 3 2 7 2 2 2 3" xfId="13526" xr:uid="{00000000-0005-0000-0000-0000BC190000}"/>
    <cellStyle name="Heading 3 2 7 2 2 2 3 2" xfId="28358" xr:uid="{00000000-0005-0000-0000-0000BD190000}"/>
    <cellStyle name="Heading 3 2 7 2 2 2 4" xfId="20997" xr:uid="{00000000-0005-0000-0000-0000BE190000}"/>
    <cellStyle name="Heading 3 2 7 2 2 3" xfId="6091" xr:uid="{00000000-0005-0000-0000-0000BF190000}"/>
    <cellStyle name="Heading 3 2 7 2 2 3 2" xfId="16278" xr:uid="{00000000-0005-0000-0000-0000C0190000}"/>
    <cellStyle name="Heading 3 2 7 2 2 3 2 2" xfId="31110" xr:uid="{00000000-0005-0000-0000-0000C1190000}"/>
    <cellStyle name="Heading 3 2 7 2 2 3 3" xfId="22624" xr:uid="{00000000-0005-0000-0000-0000C2190000}"/>
    <cellStyle name="Heading 3 2 7 2 2 4" xfId="12348" xr:uid="{00000000-0005-0000-0000-0000C3190000}"/>
    <cellStyle name="Heading 3 2 7 2 2 4 2" xfId="27180" xr:uid="{00000000-0005-0000-0000-0000C4190000}"/>
    <cellStyle name="Heading 3 2 7 2 2 5" xfId="20336" xr:uid="{00000000-0005-0000-0000-0000C5190000}"/>
    <cellStyle name="Heading 3 2 7 2 3" xfId="4308" xr:uid="{00000000-0005-0000-0000-0000C6190000}"/>
    <cellStyle name="Heading 3 2 7 2 3 2" xfId="8347" xr:uid="{00000000-0005-0000-0000-0000C7190000}"/>
    <cellStyle name="Heading 3 2 7 2 3 2 2" xfId="17626" xr:uid="{00000000-0005-0000-0000-0000C8190000}"/>
    <cellStyle name="Heading 3 2 7 2 3 2 2 2" xfId="32458" xr:uid="{00000000-0005-0000-0000-0000C9190000}"/>
    <cellStyle name="Heading 3 2 7 2 3 2 3" xfId="24028" xr:uid="{00000000-0005-0000-0000-0000CA190000}"/>
    <cellStyle name="Heading 3 2 7 2 3 3" xfId="14639" xr:uid="{00000000-0005-0000-0000-0000CB190000}"/>
    <cellStyle name="Heading 3 2 7 2 3 3 2" xfId="29471" xr:uid="{00000000-0005-0000-0000-0000CC190000}"/>
    <cellStyle name="Heading 3 2 7 2 3 4" xfId="21625" xr:uid="{00000000-0005-0000-0000-0000CD190000}"/>
    <cellStyle name="Heading 3 2 7 2 4" xfId="11877" xr:uid="{00000000-0005-0000-0000-0000CE190000}"/>
    <cellStyle name="Heading 3 2 7 2 4 2" xfId="26709" xr:uid="{00000000-0005-0000-0000-0000CF190000}"/>
    <cellStyle name="Heading 3 2 7 2 5" xfId="20275" xr:uid="{00000000-0005-0000-0000-0000D0190000}"/>
    <cellStyle name="Heading 3 2 7 3" xfId="1736" xr:uid="{00000000-0005-0000-0000-0000D1190000}"/>
    <cellStyle name="Heading 3 2 7 3 2" xfId="3192" xr:uid="{00000000-0005-0000-0000-0000D2190000}"/>
    <cellStyle name="Heading 3 2 7 3 2 2" xfId="7256" xr:uid="{00000000-0005-0000-0000-0000D3190000}"/>
    <cellStyle name="Heading 3 2 7 3 2 2 2" xfId="17026" xr:uid="{00000000-0005-0000-0000-0000D4190000}"/>
    <cellStyle name="Heading 3 2 7 3 2 2 2 2" xfId="31858" xr:uid="{00000000-0005-0000-0000-0000D5190000}"/>
    <cellStyle name="Heading 3 2 7 3 2 2 3" xfId="23309" xr:uid="{00000000-0005-0000-0000-0000D6190000}"/>
    <cellStyle name="Heading 3 2 7 3 2 3" xfId="13530" xr:uid="{00000000-0005-0000-0000-0000D7190000}"/>
    <cellStyle name="Heading 3 2 7 3 2 3 2" xfId="28362" xr:uid="{00000000-0005-0000-0000-0000D8190000}"/>
    <cellStyle name="Heading 3 2 7 3 2 4" xfId="20999" xr:uid="{00000000-0005-0000-0000-0000D9190000}"/>
    <cellStyle name="Heading 3 2 7 3 3" xfId="5868" xr:uid="{00000000-0005-0000-0000-0000DA190000}"/>
    <cellStyle name="Heading 3 2 7 3 3 2" xfId="16060" xr:uid="{00000000-0005-0000-0000-0000DB190000}"/>
    <cellStyle name="Heading 3 2 7 3 3 2 2" xfId="30892" xr:uid="{00000000-0005-0000-0000-0000DC190000}"/>
    <cellStyle name="Heading 3 2 7 3 3 3" xfId="22465" xr:uid="{00000000-0005-0000-0000-0000DD190000}"/>
    <cellStyle name="Heading 3 2 7 3 4" xfId="12130" xr:uid="{00000000-0005-0000-0000-0000DE190000}"/>
    <cellStyle name="Heading 3 2 7 3 4 2" xfId="26962" xr:uid="{00000000-0005-0000-0000-0000DF190000}"/>
    <cellStyle name="Heading 3 2 7 3 5" xfId="20289" xr:uid="{00000000-0005-0000-0000-0000E0190000}"/>
    <cellStyle name="Heading 3 2 7 4" xfId="4297" xr:uid="{00000000-0005-0000-0000-0000E1190000}"/>
    <cellStyle name="Heading 3 2 7 4 2" xfId="8336" xr:uid="{00000000-0005-0000-0000-0000E2190000}"/>
    <cellStyle name="Heading 3 2 7 4 2 2" xfId="17616" xr:uid="{00000000-0005-0000-0000-0000E3190000}"/>
    <cellStyle name="Heading 3 2 7 4 2 2 2" xfId="32448" xr:uid="{00000000-0005-0000-0000-0000E4190000}"/>
    <cellStyle name="Heading 3 2 7 4 2 3" xfId="24022" xr:uid="{00000000-0005-0000-0000-0000E5190000}"/>
    <cellStyle name="Heading 3 2 7 4 3" xfId="14628" xr:uid="{00000000-0005-0000-0000-0000E6190000}"/>
    <cellStyle name="Heading 3 2 7 4 3 2" xfId="29460" xr:uid="{00000000-0005-0000-0000-0000E7190000}"/>
    <cellStyle name="Heading 3 2 7 4 4" xfId="21619" xr:uid="{00000000-0005-0000-0000-0000E8190000}"/>
    <cellStyle name="Heading 3 2 7 5" xfId="5382" xr:uid="{00000000-0005-0000-0000-0000E9190000}"/>
    <cellStyle name="Heading 3 2 7 5 2" xfId="22143" xr:uid="{00000000-0005-0000-0000-0000EA190000}"/>
    <cellStyle name="Heading 3 2 7 6" xfId="20259" xr:uid="{00000000-0005-0000-0000-0000EB190000}"/>
    <cellStyle name="Heading 3 2 8" xfId="1074" xr:uid="{00000000-0005-0000-0000-0000EC190000}"/>
    <cellStyle name="Heading 3 2 8 2" xfId="1452" xr:uid="{00000000-0005-0000-0000-0000ED190000}"/>
    <cellStyle name="Heading 3 2 8 2 2" xfId="1953" xr:uid="{00000000-0005-0000-0000-0000EE190000}"/>
    <cellStyle name="Heading 3 2 8 2 2 2" xfId="3236" xr:uid="{00000000-0005-0000-0000-0000EF190000}"/>
    <cellStyle name="Heading 3 2 8 2 2 2 2" xfId="7300" xr:uid="{00000000-0005-0000-0000-0000F0190000}"/>
    <cellStyle name="Heading 3 2 8 2 2 2 2 2" xfId="17059" xr:uid="{00000000-0005-0000-0000-0000F1190000}"/>
    <cellStyle name="Heading 3 2 8 2 2 2 2 2 2" xfId="31891" xr:uid="{00000000-0005-0000-0000-0000F2190000}"/>
    <cellStyle name="Heading 3 2 8 2 2 2 2 3" xfId="23340" xr:uid="{00000000-0005-0000-0000-0000F3190000}"/>
    <cellStyle name="Heading 3 2 8 2 2 2 3" xfId="13573" xr:uid="{00000000-0005-0000-0000-0000F4190000}"/>
    <cellStyle name="Heading 3 2 8 2 2 2 3 2" xfId="28405" xr:uid="{00000000-0005-0000-0000-0000F5190000}"/>
    <cellStyle name="Heading 3 2 8 2 2 2 4" xfId="21028" xr:uid="{00000000-0005-0000-0000-0000F6190000}"/>
    <cellStyle name="Heading 3 2 8 2 2 3" xfId="6083" xr:uid="{00000000-0005-0000-0000-0000F7190000}"/>
    <cellStyle name="Heading 3 2 8 2 2 3 2" xfId="16270" xr:uid="{00000000-0005-0000-0000-0000F8190000}"/>
    <cellStyle name="Heading 3 2 8 2 2 3 2 2" xfId="31102" xr:uid="{00000000-0005-0000-0000-0000F9190000}"/>
    <cellStyle name="Heading 3 2 8 2 2 3 3" xfId="22616" xr:uid="{00000000-0005-0000-0000-0000FA190000}"/>
    <cellStyle name="Heading 3 2 8 2 2 4" xfId="12340" xr:uid="{00000000-0005-0000-0000-0000FB190000}"/>
    <cellStyle name="Heading 3 2 8 2 2 4 2" xfId="27172" xr:uid="{00000000-0005-0000-0000-0000FC190000}"/>
    <cellStyle name="Heading 3 2 8 2 2 5" xfId="20328" xr:uid="{00000000-0005-0000-0000-0000FD190000}"/>
    <cellStyle name="Heading 3 2 8 2 3" xfId="3714" xr:uid="{00000000-0005-0000-0000-0000FE190000}"/>
    <cellStyle name="Heading 3 2 8 2 3 2" xfId="7770" xr:uid="{00000000-0005-0000-0000-0000FF190000}"/>
    <cellStyle name="Heading 3 2 8 2 3 2 2" xfId="17331" xr:uid="{00000000-0005-0000-0000-0000001A0000}"/>
    <cellStyle name="Heading 3 2 8 2 3 2 2 2" xfId="32163" xr:uid="{00000000-0005-0000-0000-0000011A0000}"/>
    <cellStyle name="Heading 3 2 8 2 3 2 3" xfId="23651" xr:uid="{00000000-0005-0000-0000-0000021A0000}"/>
    <cellStyle name="Heading 3 2 8 2 3 3" xfId="14049" xr:uid="{00000000-0005-0000-0000-0000031A0000}"/>
    <cellStyle name="Heading 3 2 8 2 3 3 2" xfId="28881" xr:uid="{00000000-0005-0000-0000-0000041A0000}"/>
    <cellStyle name="Heading 3 2 8 2 3 4" xfId="21311" xr:uid="{00000000-0005-0000-0000-0000051A0000}"/>
    <cellStyle name="Heading 3 2 8 2 4" xfId="11869" xr:uid="{00000000-0005-0000-0000-0000061A0000}"/>
    <cellStyle name="Heading 3 2 8 2 4 2" xfId="26701" xr:uid="{00000000-0005-0000-0000-0000071A0000}"/>
    <cellStyle name="Heading 3 2 8 2 5" xfId="20267" xr:uid="{00000000-0005-0000-0000-0000081A0000}"/>
    <cellStyle name="Heading 3 2 8 3" xfId="1737" xr:uid="{00000000-0005-0000-0000-0000091A0000}"/>
    <cellStyle name="Heading 3 2 8 3 2" xfId="3253" xr:uid="{00000000-0005-0000-0000-00000A1A0000}"/>
    <cellStyle name="Heading 3 2 8 3 2 2" xfId="7317" xr:uid="{00000000-0005-0000-0000-00000B1A0000}"/>
    <cellStyle name="Heading 3 2 8 3 2 2 2" xfId="17069" xr:uid="{00000000-0005-0000-0000-00000C1A0000}"/>
    <cellStyle name="Heading 3 2 8 3 2 2 2 2" xfId="31901" xr:uid="{00000000-0005-0000-0000-00000D1A0000}"/>
    <cellStyle name="Heading 3 2 8 3 2 2 3" xfId="23355" xr:uid="{00000000-0005-0000-0000-00000E1A0000}"/>
    <cellStyle name="Heading 3 2 8 3 2 3" xfId="13590" xr:uid="{00000000-0005-0000-0000-00000F1A0000}"/>
    <cellStyle name="Heading 3 2 8 3 2 3 2" xfId="28422" xr:uid="{00000000-0005-0000-0000-0000101A0000}"/>
    <cellStyle name="Heading 3 2 8 3 2 4" xfId="21042" xr:uid="{00000000-0005-0000-0000-0000111A0000}"/>
    <cellStyle name="Heading 3 2 8 3 3" xfId="5869" xr:uid="{00000000-0005-0000-0000-0000121A0000}"/>
    <cellStyle name="Heading 3 2 8 3 3 2" xfId="16061" xr:uid="{00000000-0005-0000-0000-0000131A0000}"/>
    <cellStyle name="Heading 3 2 8 3 3 2 2" xfId="30893" xr:uid="{00000000-0005-0000-0000-0000141A0000}"/>
    <cellStyle name="Heading 3 2 8 3 3 3" xfId="22466" xr:uid="{00000000-0005-0000-0000-0000151A0000}"/>
    <cellStyle name="Heading 3 2 8 3 4" xfId="12131" xr:uid="{00000000-0005-0000-0000-0000161A0000}"/>
    <cellStyle name="Heading 3 2 8 3 4 2" xfId="26963" xr:uid="{00000000-0005-0000-0000-0000171A0000}"/>
    <cellStyle name="Heading 3 2 8 3 5" xfId="20290" xr:uid="{00000000-0005-0000-0000-0000181A0000}"/>
    <cellStyle name="Heading 3 2 8 4" xfId="3221" xr:uid="{00000000-0005-0000-0000-0000191A0000}"/>
    <cellStyle name="Heading 3 2 8 4 2" xfId="7285" xr:uid="{00000000-0005-0000-0000-00001A1A0000}"/>
    <cellStyle name="Heading 3 2 8 4 2 2" xfId="17047" xr:uid="{00000000-0005-0000-0000-00001B1A0000}"/>
    <cellStyle name="Heading 3 2 8 4 2 2 2" xfId="31879" xr:uid="{00000000-0005-0000-0000-00001C1A0000}"/>
    <cellStyle name="Heading 3 2 8 4 2 3" xfId="23329" xr:uid="{00000000-0005-0000-0000-00001D1A0000}"/>
    <cellStyle name="Heading 3 2 8 4 3" xfId="13559" xr:uid="{00000000-0005-0000-0000-00001E1A0000}"/>
    <cellStyle name="Heading 3 2 8 4 3 2" xfId="28391" xr:uid="{00000000-0005-0000-0000-00001F1A0000}"/>
    <cellStyle name="Heading 3 2 8 4 4" xfId="21018" xr:uid="{00000000-0005-0000-0000-0000201A0000}"/>
    <cellStyle name="Heading 3 2 8 5" xfId="5381" xr:uid="{00000000-0005-0000-0000-0000211A0000}"/>
    <cellStyle name="Heading 3 2 8 5 2" xfId="22142" xr:uid="{00000000-0005-0000-0000-0000221A0000}"/>
    <cellStyle name="Heading 3 2 8 6" xfId="20260" xr:uid="{00000000-0005-0000-0000-0000231A0000}"/>
    <cellStyle name="Heading 3 2 9" xfId="1454" xr:uid="{00000000-0005-0000-0000-0000241A0000}"/>
    <cellStyle name="Heading 3 2 9 2" xfId="1955" xr:uid="{00000000-0005-0000-0000-0000251A0000}"/>
    <cellStyle name="Heading 3 2 9 2 2" xfId="3209" xr:uid="{00000000-0005-0000-0000-0000261A0000}"/>
    <cellStyle name="Heading 3 2 9 2 2 2" xfId="7273" xr:uid="{00000000-0005-0000-0000-0000271A0000}"/>
    <cellStyle name="Heading 3 2 9 2 2 2 2" xfId="17040" xr:uid="{00000000-0005-0000-0000-0000281A0000}"/>
    <cellStyle name="Heading 3 2 9 2 2 2 2 2" xfId="31872" xr:uid="{00000000-0005-0000-0000-0000291A0000}"/>
    <cellStyle name="Heading 3 2 9 2 2 2 3" xfId="23320" xr:uid="{00000000-0005-0000-0000-00002A1A0000}"/>
    <cellStyle name="Heading 3 2 9 2 2 3" xfId="13547" xr:uid="{00000000-0005-0000-0000-00002B1A0000}"/>
    <cellStyle name="Heading 3 2 9 2 2 3 2" xfId="28379" xr:uid="{00000000-0005-0000-0000-00002C1A0000}"/>
    <cellStyle name="Heading 3 2 9 2 2 4" xfId="21010" xr:uid="{00000000-0005-0000-0000-00002D1A0000}"/>
    <cellStyle name="Heading 3 2 9 2 3" xfId="6085" xr:uid="{00000000-0005-0000-0000-00002E1A0000}"/>
    <cellStyle name="Heading 3 2 9 2 3 2" xfId="16272" xr:uid="{00000000-0005-0000-0000-00002F1A0000}"/>
    <cellStyle name="Heading 3 2 9 2 3 2 2" xfId="31104" xr:uid="{00000000-0005-0000-0000-0000301A0000}"/>
    <cellStyle name="Heading 3 2 9 2 3 3" xfId="22618" xr:uid="{00000000-0005-0000-0000-0000311A0000}"/>
    <cellStyle name="Heading 3 2 9 2 4" xfId="12342" xr:uid="{00000000-0005-0000-0000-0000321A0000}"/>
    <cellStyle name="Heading 3 2 9 2 4 2" xfId="27174" xr:uid="{00000000-0005-0000-0000-0000331A0000}"/>
    <cellStyle name="Heading 3 2 9 2 5" xfId="20330" xr:uid="{00000000-0005-0000-0000-0000341A0000}"/>
    <cellStyle name="Heading 3 2 9 3" xfId="3875" xr:uid="{00000000-0005-0000-0000-0000351A0000}"/>
    <cellStyle name="Heading 3 2 9 3 2" xfId="7927" xr:uid="{00000000-0005-0000-0000-0000361A0000}"/>
    <cellStyle name="Heading 3 2 9 3 2 2" xfId="17406" xr:uid="{00000000-0005-0000-0000-0000371A0000}"/>
    <cellStyle name="Heading 3 2 9 3 2 2 2" xfId="32238" xr:uid="{00000000-0005-0000-0000-0000381A0000}"/>
    <cellStyle name="Heading 3 2 9 3 2 3" xfId="23754" xr:uid="{00000000-0005-0000-0000-0000391A0000}"/>
    <cellStyle name="Heading 3 2 9 3 3" xfId="14210" xr:uid="{00000000-0005-0000-0000-00003A1A0000}"/>
    <cellStyle name="Heading 3 2 9 3 3 2" xfId="29042" xr:uid="{00000000-0005-0000-0000-00003B1A0000}"/>
    <cellStyle name="Heading 3 2 9 3 4" xfId="21396" xr:uid="{00000000-0005-0000-0000-00003C1A0000}"/>
    <cellStyle name="Heading 3 2 9 4" xfId="11871" xr:uid="{00000000-0005-0000-0000-00003D1A0000}"/>
    <cellStyle name="Heading 3 2 9 4 2" xfId="26703" xr:uid="{00000000-0005-0000-0000-00003E1A0000}"/>
    <cellStyle name="Heading 3 2 9 5" xfId="20269" xr:uid="{00000000-0005-0000-0000-00003F1A0000}"/>
    <cellStyle name="Heading 3 3" xfId="1075" xr:uid="{00000000-0005-0000-0000-0000401A0000}"/>
    <cellStyle name="Heading 3 3 2" xfId="1461" xr:uid="{00000000-0005-0000-0000-0000411A0000}"/>
    <cellStyle name="Heading 3 3 2 2" xfId="1962" xr:uid="{00000000-0005-0000-0000-0000421A0000}"/>
    <cellStyle name="Heading 3 3 2 2 2" xfId="3250" xr:uid="{00000000-0005-0000-0000-0000431A0000}"/>
    <cellStyle name="Heading 3 3 2 2 2 2" xfId="7314" xr:uid="{00000000-0005-0000-0000-0000441A0000}"/>
    <cellStyle name="Heading 3 3 2 2 2 2 2" xfId="17068" xr:uid="{00000000-0005-0000-0000-0000451A0000}"/>
    <cellStyle name="Heading 3 3 2 2 2 2 2 2" xfId="31900" xr:uid="{00000000-0005-0000-0000-0000461A0000}"/>
    <cellStyle name="Heading 3 3 2 2 2 2 3" xfId="23352" xr:uid="{00000000-0005-0000-0000-0000471A0000}"/>
    <cellStyle name="Heading 3 3 2 2 2 3" xfId="13587" xr:uid="{00000000-0005-0000-0000-0000481A0000}"/>
    <cellStyle name="Heading 3 3 2 2 2 3 2" xfId="28419" xr:uid="{00000000-0005-0000-0000-0000491A0000}"/>
    <cellStyle name="Heading 3 3 2 2 2 4" xfId="21039" xr:uid="{00000000-0005-0000-0000-00004A1A0000}"/>
    <cellStyle name="Heading 3 3 2 2 3" xfId="6092" xr:uid="{00000000-0005-0000-0000-00004B1A0000}"/>
    <cellStyle name="Heading 3 3 2 2 3 2" xfId="16279" xr:uid="{00000000-0005-0000-0000-00004C1A0000}"/>
    <cellStyle name="Heading 3 3 2 2 3 2 2" xfId="31111" xr:uid="{00000000-0005-0000-0000-00004D1A0000}"/>
    <cellStyle name="Heading 3 3 2 2 3 3" xfId="22625" xr:uid="{00000000-0005-0000-0000-00004E1A0000}"/>
    <cellStyle name="Heading 3 3 2 2 4" xfId="12349" xr:uid="{00000000-0005-0000-0000-00004F1A0000}"/>
    <cellStyle name="Heading 3 3 2 2 4 2" xfId="27181" xr:uid="{00000000-0005-0000-0000-0000501A0000}"/>
    <cellStyle name="Heading 3 3 2 2 5" xfId="20337" xr:uid="{00000000-0005-0000-0000-0000511A0000}"/>
    <cellStyle name="Heading 3 3 2 3" xfId="3170" xr:uid="{00000000-0005-0000-0000-0000521A0000}"/>
    <cellStyle name="Heading 3 3 2 3 2" xfId="7234" xr:uid="{00000000-0005-0000-0000-0000531A0000}"/>
    <cellStyle name="Heading 3 3 2 3 2 2" xfId="17010" xr:uid="{00000000-0005-0000-0000-0000541A0000}"/>
    <cellStyle name="Heading 3 3 2 3 2 2 2" xfId="31842" xr:uid="{00000000-0005-0000-0000-0000551A0000}"/>
    <cellStyle name="Heading 3 3 2 3 2 3" xfId="23294" xr:uid="{00000000-0005-0000-0000-0000561A0000}"/>
    <cellStyle name="Heading 3 3 2 3 3" xfId="13508" xr:uid="{00000000-0005-0000-0000-0000571A0000}"/>
    <cellStyle name="Heading 3 3 2 3 3 2" xfId="28340" xr:uid="{00000000-0005-0000-0000-0000581A0000}"/>
    <cellStyle name="Heading 3 3 2 3 4" xfId="20985" xr:uid="{00000000-0005-0000-0000-0000591A0000}"/>
    <cellStyle name="Heading 3 3 2 4" xfId="11878" xr:uid="{00000000-0005-0000-0000-00005A1A0000}"/>
    <cellStyle name="Heading 3 3 2 4 2" xfId="26710" xr:uid="{00000000-0005-0000-0000-00005B1A0000}"/>
    <cellStyle name="Heading 3 3 2 5" xfId="20276" xr:uid="{00000000-0005-0000-0000-00005C1A0000}"/>
    <cellStyle name="Heading 3 3 3" xfId="1738" xr:uid="{00000000-0005-0000-0000-00005D1A0000}"/>
    <cellStyle name="Heading 3 3 3 2" xfId="3138" xr:uid="{00000000-0005-0000-0000-00005E1A0000}"/>
    <cellStyle name="Heading 3 3 3 2 2" xfId="7202" xr:uid="{00000000-0005-0000-0000-00005F1A0000}"/>
    <cellStyle name="Heading 3 3 3 2 2 2" xfId="16987" xr:uid="{00000000-0005-0000-0000-0000601A0000}"/>
    <cellStyle name="Heading 3 3 3 2 2 2 2" xfId="31819" xr:uid="{00000000-0005-0000-0000-0000611A0000}"/>
    <cellStyle name="Heading 3 3 3 2 2 3" xfId="23274" xr:uid="{00000000-0005-0000-0000-0000621A0000}"/>
    <cellStyle name="Heading 3 3 3 2 3" xfId="13476" xr:uid="{00000000-0005-0000-0000-0000631A0000}"/>
    <cellStyle name="Heading 3 3 3 2 3 2" xfId="28308" xr:uid="{00000000-0005-0000-0000-0000641A0000}"/>
    <cellStyle name="Heading 3 3 3 2 4" xfId="20965" xr:uid="{00000000-0005-0000-0000-0000651A0000}"/>
    <cellStyle name="Heading 3 3 3 3" xfId="5870" xr:uid="{00000000-0005-0000-0000-0000661A0000}"/>
    <cellStyle name="Heading 3 3 3 3 2" xfId="16062" xr:uid="{00000000-0005-0000-0000-0000671A0000}"/>
    <cellStyle name="Heading 3 3 3 3 2 2" xfId="30894" xr:uid="{00000000-0005-0000-0000-0000681A0000}"/>
    <cellStyle name="Heading 3 3 3 3 3" xfId="22467" xr:uid="{00000000-0005-0000-0000-0000691A0000}"/>
    <cellStyle name="Heading 3 3 3 4" xfId="12132" xr:uid="{00000000-0005-0000-0000-00006A1A0000}"/>
    <cellStyle name="Heading 3 3 3 4 2" xfId="26964" xr:uid="{00000000-0005-0000-0000-00006B1A0000}"/>
    <cellStyle name="Heading 3 3 3 5" xfId="20291" xr:uid="{00000000-0005-0000-0000-00006C1A0000}"/>
    <cellStyle name="Heading 3 3 4" xfId="3161" xr:uid="{00000000-0005-0000-0000-00006D1A0000}"/>
    <cellStyle name="Heading 3 3 4 2" xfId="7225" xr:uid="{00000000-0005-0000-0000-00006E1A0000}"/>
    <cellStyle name="Heading 3 3 4 2 2" xfId="17003" xr:uid="{00000000-0005-0000-0000-00006F1A0000}"/>
    <cellStyle name="Heading 3 3 4 2 2 2" xfId="31835" xr:uid="{00000000-0005-0000-0000-0000701A0000}"/>
    <cellStyle name="Heading 3 3 4 2 3" xfId="23289" xr:uid="{00000000-0005-0000-0000-0000711A0000}"/>
    <cellStyle name="Heading 3 3 4 3" xfId="13499" xr:uid="{00000000-0005-0000-0000-0000721A0000}"/>
    <cellStyle name="Heading 3 3 4 3 2" xfId="28331" xr:uid="{00000000-0005-0000-0000-0000731A0000}"/>
    <cellStyle name="Heading 3 3 4 4" xfId="20980" xr:uid="{00000000-0005-0000-0000-0000741A0000}"/>
    <cellStyle name="Heading 3 3 5" xfId="5380" xr:uid="{00000000-0005-0000-0000-0000751A0000}"/>
    <cellStyle name="Heading 3 3 5 2" xfId="22141" xr:uid="{00000000-0005-0000-0000-0000761A0000}"/>
    <cellStyle name="Heading 3 3 6" xfId="20261" xr:uid="{00000000-0005-0000-0000-0000771A0000}"/>
    <cellStyle name="Heading 3 4" xfId="1076" xr:uid="{00000000-0005-0000-0000-0000781A0000}"/>
    <cellStyle name="Heading 3 4 2" xfId="1462" xr:uid="{00000000-0005-0000-0000-0000791A0000}"/>
    <cellStyle name="Heading 3 4 2 2" xfId="1963" xr:uid="{00000000-0005-0000-0000-00007A1A0000}"/>
    <cellStyle name="Heading 3 4 2 2 2" xfId="3134" xr:uid="{00000000-0005-0000-0000-00007B1A0000}"/>
    <cellStyle name="Heading 3 4 2 2 2 2" xfId="7198" xr:uid="{00000000-0005-0000-0000-00007C1A0000}"/>
    <cellStyle name="Heading 3 4 2 2 2 2 2" xfId="16986" xr:uid="{00000000-0005-0000-0000-00007D1A0000}"/>
    <cellStyle name="Heading 3 4 2 2 2 2 2 2" xfId="31818" xr:uid="{00000000-0005-0000-0000-00007E1A0000}"/>
    <cellStyle name="Heading 3 4 2 2 2 2 3" xfId="23270" xr:uid="{00000000-0005-0000-0000-00007F1A0000}"/>
    <cellStyle name="Heading 3 4 2 2 2 3" xfId="13472" xr:uid="{00000000-0005-0000-0000-0000801A0000}"/>
    <cellStyle name="Heading 3 4 2 2 2 3 2" xfId="28304" xr:uid="{00000000-0005-0000-0000-0000811A0000}"/>
    <cellStyle name="Heading 3 4 2 2 2 4" xfId="20961" xr:uid="{00000000-0005-0000-0000-0000821A0000}"/>
    <cellStyle name="Heading 3 4 2 2 3" xfId="6093" xr:uid="{00000000-0005-0000-0000-0000831A0000}"/>
    <cellStyle name="Heading 3 4 2 2 3 2" xfId="16280" xr:uid="{00000000-0005-0000-0000-0000841A0000}"/>
    <cellStyle name="Heading 3 4 2 2 3 2 2" xfId="31112" xr:uid="{00000000-0005-0000-0000-0000851A0000}"/>
    <cellStyle name="Heading 3 4 2 2 3 3" xfId="22626" xr:uid="{00000000-0005-0000-0000-0000861A0000}"/>
    <cellStyle name="Heading 3 4 2 2 4" xfId="12350" xr:uid="{00000000-0005-0000-0000-0000871A0000}"/>
    <cellStyle name="Heading 3 4 2 2 4 2" xfId="27182" xr:uid="{00000000-0005-0000-0000-0000881A0000}"/>
    <cellStyle name="Heading 3 4 2 2 5" xfId="20338" xr:uid="{00000000-0005-0000-0000-0000891A0000}"/>
    <cellStyle name="Heading 3 4 2 3" xfId="3287" xr:uid="{00000000-0005-0000-0000-00008A1A0000}"/>
    <cellStyle name="Heading 3 4 2 3 2" xfId="7351" xr:uid="{00000000-0005-0000-0000-00008B1A0000}"/>
    <cellStyle name="Heading 3 4 2 3 2 2" xfId="17093" xr:uid="{00000000-0005-0000-0000-00008C1A0000}"/>
    <cellStyle name="Heading 3 4 2 3 2 2 2" xfId="31925" xr:uid="{00000000-0005-0000-0000-00008D1A0000}"/>
    <cellStyle name="Heading 3 4 2 3 2 3" xfId="23378" xr:uid="{00000000-0005-0000-0000-00008E1A0000}"/>
    <cellStyle name="Heading 3 4 2 3 3" xfId="13624" xr:uid="{00000000-0005-0000-0000-00008F1A0000}"/>
    <cellStyle name="Heading 3 4 2 3 3 2" xfId="28456" xr:uid="{00000000-0005-0000-0000-0000901A0000}"/>
    <cellStyle name="Heading 3 4 2 3 4" xfId="21065" xr:uid="{00000000-0005-0000-0000-0000911A0000}"/>
    <cellStyle name="Heading 3 4 2 4" xfId="11879" xr:uid="{00000000-0005-0000-0000-0000921A0000}"/>
    <cellStyle name="Heading 3 4 2 4 2" xfId="26711" xr:uid="{00000000-0005-0000-0000-0000931A0000}"/>
    <cellStyle name="Heading 3 4 2 5" xfId="20277" xr:uid="{00000000-0005-0000-0000-0000941A0000}"/>
    <cellStyle name="Heading 3 4 3" xfId="1739" xr:uid="{00000000-0005-0000-0000-0000951A0000}"/>
    <cellStyle name="Heading 3 4 3 2" xfId="3246" xr:uid="{00000000-0005-0000-0000-0000961A0000}"/>
    <cellStyle name="Heading 3 4 3 2 2" xfId="7310" xr:uid="{00000000-0005-0000-0000-0000971A0000}"/>
    <cellStyle name="Heading 3 4 3 2 2 2" xfId="17065" xr:uid="{00000000-0005-0000-0000-0000981A0000}"/>
    <cellStyle name="Heading 3 4 3 2 2 2 2" xfId="31897" xr:uid="{00000000-0005-0000-0000-0000991A0000}"/>
    <cellStyle name="Heading 3 4 3 2 2 3" xfId="23349" xr:uid="{00000000-0005-0000-0000-00009A1A0000}"/>
    <cellStyle name="Heading 3 4 3 2 3" xfId="13583" xr:uid="{00000000-0005-0000-0000-00009B1A0000}"/>
    <cellStyle name="Heading 3 4 3 2 3 2" xfId="28415" xr:uid="{00000000-0005-0000-0000-00009C1A0000}"/>
    <cellStyle name="Heading 3 4 3 2 4" xfId="21036" xr:uid="{00000000-0005-0000-0000-00009D1A0000}"/>
    <cellStyle name="Heading 3 4 3 3" xfId="5871" xr:uid="{00000000-0005-0000-0000-00009E1A0000}"/>
    <cellStyle name="Heading 3 4 3 3 2" xfId="16063" xr:uid="{00000000-0005-0000-0000-00009F1A0000}"/>
    <cellStyle name="Heading 3 4 3 3 2 2" xfId="30895" xr:uid="{00000000-0005-0000-0000-0000A01A0000}"/>
    <cellStyle name="Heading 3 4 3 3 3" xfId="22468" xr:uid="{00000000-0005-0000-0000-0000A11A0000}"/>
    <cellStyle name="Heading 3 4 3 4" xfId="12133" xr:uid="{00000000-0005-0000-0000-0000A21A0000}"/>
    <cellStyle name="Heading 3 4 3 4 2" xfId="26965" xr:uid="{00000000-0005-0000-0000-0000A31A0000}"/>
    <cellStyle name="Heading 3 4 3 5" xfId="20292" xr:uid="{00000000-0005-0000-0000-0000A41A0000}"/>
    <cellStyle name="Heading 3 4 4" xfId="3278" xr:uid="{00000000-0005-0000-0000-0000A51A0000}"/>
    <cellStyle name="Heading 3 4 4 2" xfId="7342" xr:uid="{00000000-0005-0000-0000-0000A61A0000}"/>
    <cellStyle name="Heading 3 4 4 2 2" xfId="17086" xr:uid="{00000000-0005-0000-0000-0000A71A0000}"/>
    <cellStyle name="Heading 3 4 4 2 2 2" xfId="31918" xr:uid="{00000000-0005-0000-0000-0000A81A0000}"/>
    <cellStyle name="Heading 3 4 4 2 3" xfId="23372" xr:uid="{00000000-0005-0000-0000-0000A91A0000}"/>
    <cellStyle name="Heading 3 4 4 3" xfId="13615" xr:uid="{00000000-0005-0000-0000-0000AA1A0000}"/>
    <cellStyle name="Heading 3 4 4 3 2" xfId="28447" xr:uid="{00000000-0005-0000-0000-0000AB1A0000}"/>
    <cellStyle name="Heading 3 4 4 4" xfId="21059" xr:uid="{00000000-0005-0000-0000-0000AC1A0000}"/>
    <cellStyle name="Heading 3 4 5" xfId="5379" xr:uid="{00000000-0005-0000-0000-0000AD1A0000}"/>
    <cellStyle name="Heading 3 4 5 2" xfId="22140" xr:uid="{00000000-0005-0000-0000-0000AE1A0000}"/>
    <cellStyle name="Heading 3 4 6" xfId="20262" xr:uid="{00000000-0005-0000-0000-0000AF1A0000}"/>
    <cellStyle name="Heading 3 5" xfId="1077" xr:uid="{00000000-0005-0000-0000-0000B01A0000}"/>
    <cellStyle name="Heading 3 5 2" xfId="1463" xr:uid="{00000000-0005-0000-0000-0000B11A0000}"/>
    <cellStyle name="Heading 3 5 2 2" xfId="1964" xr:uid="{00000000-0005-0000-0000-0000B21A0000}"/>
    <cellStyle name="Heading 3 5 2 2 2" xfId="3244" xr:uid="{00000000-0005-0000-0000-0000B31A0000}"/>
    <cellStyle name="Heading 3 5 2 2 2 2" xfId="7308" xr:uid="{00000000-0005-0000-0000-0000B41A0000}"/>
    <cellStyle name="Heading 3 5 2 2 2 2 2" xfId="17064" xr:uid="{00000000-0005-0000-0000-0000B51A0000}"/>
    <cellStyle name="Heading 3 5 2 2 2 2 2 2" xfId="31896" xr:uid="{00000000-0005-0000-0000-0000B61A0000}"/>
    <cellStyle name="Heading 3 5 2 2 2 2 3" xfId="23347" xr:uid="{00000000-0005-0000-0000-0000B71A0000}"/>
    <cellStyle name="Heading 3 5 2 2 2 3" xfId="13581" xr:uid="{00000000-0005-0000-0000-0000B81A0000}"/>
    <cellStyle name="Heading 3 5 2 2 2 3 2" xfId="28413" xr:uid="{00000000-0005-0000-0000-0000B91A0000}"/>
    <cellStyle name="Heading 3 5 2 2 2 4" xfId="21034" xr:uid="{00000000-0005-0000-0000-0000BA1A0000}"/>
    <cellStyle name="Heading 3 5 2 2 3" xfId="6094" xr:uid="{00000000-0005-0000-0000-0000BB1A0000}"/>
    <cellStyle name="Heading 3 5 2 2 3 2" xfId="16281" xr:uid="{00000000-0005-0000-0000-0000BC1A0000}"/>
    <cellStyle name="Heading 3 5 2 2 3 2 2" xfId="31113" xr:uid="{00000000-0005-0000-0000-0000BD1A0000}"/>
    <cellStyle name="Heading 3 5 2 2 3 3" xfId="22627" xr:uid="{00000000-0005-0000-0000-0000BE1A0000}"/>
    <cellStyle name="Heading 3 5 2 2 4" xfId="12351" xr:uid="{00000000-0005-0000-0000-0000BF1A0000}"/>
    <cellStyle name="Heading 3 5 2 2 4 2" xfId="27183" xr:uid="{00000000-0005-0000-0000-0000C01A0000}"/>
    <cellStyle name="Heading 3 5 2 2 5" xfId="20339" xr:uid="{00000000-0005-0000-0000-0000C11A0000}"/>
    <cellStyle name="Heading 3 5 2 3" xfId="4284" xr:uid="{00000000-0005-0000-0000-0000C21A0000}"/>
    <cellStyle name="Heading 3 5 2 3 2" xfId="8323" xr:uid="{00000000-0005-0000-0000-0000C31A0000}"/>
    <cellStyle name="Heading 3 5 2 3 2 2" xfId="17605" xr:uid="{00000000-0005-0000-0000-0000C41A0000}"/>
    <cellStyle name="Heading 3 5 2 3 2 2 2" xfId="32437" xr:uid="{00000000-0005-0000-0000-0000C51A0000}"/>
    <cellStyle name="Heading 3 5 2 3 2 3" xfId="24013" xr:uid="{00000000-0005-0000-0000-0000C61A0000}"/>
    <cellStyle name="Heading 3 5 2 3 3" xfId="14616" xr:uid="{00000000-0005-0000-0000-0000C71A0000}"/>
    <cellStyle name="Heading 3 5 2 3 3 2" xfId="29448" xr:uid="{00000000-0005-0000-0000-0000C81A0000}"/>
    <cellStyle name="Heading 3 5 2 3 4" xfId="21611" xr:uid="{00000000-0005-0000-0000-0000C91A0000}"/>
    <cellStyle name="Heading 3 5 2 4" xfId="11880" xr:uid="{00000000-0005-0000-0000-0000CA1A0000}"/>
    <cellStyle name="Heading 3 5 2 4 2" xfId="26712" xr:uid="{00000000-0005-0000-0000-0000CB1A0000}"/>
    <cellStyle name="Heading 3 5 2 5" xfId="20278" xr:uid="{00000000-0005-0000-0000-0000CC1A0000}"/>
    <cellStyle name="Heading 3 5 3" xfId="1740" xr:uid="{00000000-0005-0000-0000-0000CD1A0000}"/>
    <cellStyle name="Heading 3 5 3 2" xfId="3128" xr:uid="{00000000-0005-0000-0000-0000CE1A0000}"/>
    <cellStyle name="Heading 3 5 3 2 2" xfId="7192" xr:uid="{00000000-0005-0000-0000-0000CF1A0000}"/>
    <cellStyle name="Heading 3 5 3 2 2 2" xfId="16983" xr:uid="{00000000-0005-0000-0000-0000D01A0000}"/>
    <cellStyle name="Heading 3 5 3 2 2 2 2" xfId="31815" xr:uid="{00000000-0005-0000-0000-0000D11A0000}"/>
    <cellStyle name="Heading 3 5 3 2 2 3" xfId="23265" xr:uid="{00000000-0005-0000-0000-0000D21A0000}"/>
    <cellStyle name="Heading 3 5 3 2 3" xfId="13466" xr:uid="{00000000-0005-0000-0000-0000D31A0000}"/>
    <cellStyle name="Heading 3 5 3 2 3 2" xfId="28298" xr:uid="{00000000-0005-0000-0000-0000D41A0000}"/>
    <cellStyle name="Heading 3 5 3 2 4" xfId="20956" xr:uid="{00000000-0005-0000-0000-0000D51A0000}"/>
    <cellStyle name="Heading 3 5 3 3" xfId="5872" xr:uid="{00000000-0005-0000-0000-0000D61A0000}"/>
    <cellStyle name="Heading 3 5 3 3 2" xfId="16064" xr:uid="{00000000-0005-0000-0000-0000D71A0000}"/>
    <cellStyle name="Heading 3 5 3 3 2 2" xfId="30896" xr:uid="{00000000-0005-0000-0000-0000D81A0000}"/>
    <cellStyle name="Heading 3 5 3 3 3" xfId="22469" xr:uid="{00000000-0005-0000-0000-0000D91A0000}"/>
    <cellStyle name="Heading 3 5 3 4" xfId="12134" xr:uid="{00000000-0005-0000-0000-0000DA1A0000}"/>
    <cellStyle name="Heading 3 5 3 4 2" xfId="26966" xr:uid="{00000000-0005-0000-0000-0000DB1A0000}"/>
    <cellStyle name="Heading 3 5 3 5" xfId="20293" xr:uid="{00000000-0005-0000-0000-0000DC1A0000}"/>
    <cellStyle name="Heading 3 5 4" xfId="3180" xr:uid="{00000000-0005-0000-0000-0000DD1A0000}"/>
    <cellStyle name="Heading 3 5 4 2" xfId="7244" xr:uid="{00000000-0005-0000-0000-0000DE1A0000}"/>
    <cellStyle name="Heading 3 5 4 2 2" xfId="17016" xr:uid="{00000000-0005-0000-0000-0000DF1A0000}"/>
    <cellStyle name="Heading 3 5 4 2 2 2" xfId="31848" xr:uid="{00000000-0005-0000-0000-0000E01A0000}"/>
    <cellStyle name="Heading 3 5 4 2 3" xfId="23302" xr:uid="{00000000-0005-0000-0000-0000E11A0000}"/>
    <cellStyle name="Heading 3 5 4 3" xfId="13518" xr:uid="{00000000-0005-0000-0000-0000E21A0000}"/>
    <cellStyle name="Heading 3 5 4 3 2" xfId="28350" xr:uid="{00000000-0005-0000-0000-0000E31A0000}"/>
    <cellStyle name="Heading 3 5 4 4" xfId="20992" xr:uid="{00000000-0005-0000-0000-0000E41A0000}"/>
    <cellStyle name="Heading 3 5 5" xfId="5378" xr:uid="{00000000-0005-0000-0000-0000E51A0000}"/>
    <cellStyle name="Heading 3 5 5 2" xfId="22139" xr:uid="{00000000-0005-0000-0000-0000E61A0000}"/>
    <cellStyle name="Heading 3 5 6" xfId="20263" xr:uid="{00000000-0005-0000-0000-0000E71A0000}"/>
    <cellStyle name="Heading 3 6" xfId="1078" xr:uid="{00000000-0005-0000-0000-0000E81A0000}"/>
    <cellStyle name="Heading 3 6 2" xfId="1464" xr:uid="{00000000-0005-0000-0000-0000E91A0000}"/>
    <cellStyle name="Heading 3 6 2 2" xfId="1965" xr:uid="{00000000-0005-0000-0000-0000EA1A0000}"/>
    <cellStyle name="Heading 3 6 2 2 2" xfId="3126" xr:uid="{00000000-0005-0000-0000-0000EB1A0000}"/>
    <cellStyle name="Heading 3 6 2 2 2 2" xfId="7190" xr:uid="{00000000-0005-0000-0000-0000EC1A0000}"/>
    <cellStyle name="Heading 3 6 2 2 2 2 2" xfId="16982" xr:uid="{00000000-0005-0000-0000-0000ED1A0000}"/>
    <cellStyle name="Heading 3 6 2 2 2 2 2 2" xfId="31814" xr:uid="{00000000-0005-0000-0000-0000EE1A0000}"/>
    <cellStyle name="Heading 3 6 2 2 2 2 3" xfId="23263" xr:uid="{00000000-0005-0000-0000-0000EF1A0000}"/>
    <cellStyle name="Heading 3 6 2 2 2 3" xfId="13464" xr:uid="{00000000-0005-0000-0000-0000F01A0000}"/>
    <cellStyle name="Heading 3 6 2 2 2 3 2" xfId="28296" xr:uid="{00000000-0005-0000-0000-0000F11A0000}"/>
    <cellStyle name="Heading 3 6 2 2 2 4" xfId="20954" xr:uid="{00000000-0005-0000-0000-0000F21A0000}"/>
    <cellStyle name="Heading 3 6 2 2 3" xfId="6095" xr:uid="{00000000-0005-0000-0000-0000F31A0000}"/>
    <cellStyle name="Heading 3 6 2 2 3 2" xfId="16282" xr:uid="{00000000-0005-0000-0000-0000F41A0000}"/>
    <cellStyle name="Heading 3 6 2 2 3 2 2" xfId="31114" xr:uid="{00000000-0005-0000-0000-0000F51A0000}"/>
    <cellStyle name="Heading 3 6 2 2 3 3" xfId="22628" xr:uid="{00000000-0005-0000-0000-0000F61A0000}"/>
    <cellStyle name="Heading 3 6 2 2 4" xfId="12352" xr:uid="{00000000-0005-0000-0000-0000F71A0000}"/>
    <cellStyle name="Heading 3 6 2 2 4 2" xfId="27184" xr:uid="{00000000-0005-0000-0000-0000F81A0000}"/>
    <cellStyle name="Heading 3 6 2 2 5" xfId="20340" xr:uid="{00000000-0005-0000-0000-0000F91A0000}"/>
    <cellStyle name="Heading 3 6 2 3" xfId="4281" xr:uid="{00000000-0005-0000-0000-0000FA1A0000}"/>
    <cellStyle name="Heading 3 6 2 3 2" xfId="8320" xr:uid="{00000000-0005-0000-0000-0000FB1A0000}"/>
    <cellStyle name="Heading 3 6 2 3 2 2" xfId="17603" xr:uid="{00000000-0005-0000-0000-0000FC1A0000}"/>
    <cellStyle name="Heading 3 6 2 3 2 2 2" xfId="32435" xr:uid="{00000000-0005-0000-0000-0000FD1A0000}"/>
    <cellStyle name="Heading 3 6 2 3 2 3" xfId="24011" xr:uid="{00000000-0005-0000-0000-0000FE1A0000}"/>
    <cellStyle name="Heading 3 6 2 3 3" xfId="14613" xr:uid="{00000000-0005-0000-0000-0000FF1A0000}"/>
    <cellStyle name="Heading 3 6 2 3 3 2" xfId="29445" xr:uid="{00000000-0005-0000-0000-0000001B0000}"/>
    <cellStyle name="Heading 3 6 2 3 4" xfId="21610" xr:uid="{00000000-0005-0000-0000-0000011B0000}"/>
    <cellStyle name="Heading 3 6 2 4" xfId="11881" xr:uid="{00000000-0005-0000-0000-0000021B0000}"/>
    <cellStyle name="Heading 3 6 2 4 2" xfId="26713" xr:uid="{00000000-0005-0000-0000-0000031B0000}"/>
    <cellStyle name="Heading 3 6 2 5" xfId="20279" xr:uid="{00000000-0005-0000-0000-0000041B0000}"/>
    <cellStyle name="Heading 3 6 3" xfId="1741" xr:uid="{00000000-0005-0000-0000-0000051B0000}"/>
    <cellStyle name="Heading 3 6 3 2" xfId="3237" xr:uid="{00000000-0005-0000-0000-0000061B0000}"/>
    <cellStyle name="Heading 3 6 3 2 2" xfId="7301" xr:uid="{00000000-0005-0000-0000-0000071B0000}"/>
    <cellStyle name="Heading 3 6 3 2 2 2" xfId="17060" xr:uid="{00000000-0005-0000-0000-0000081B0000}"/>
    <cellStyle name="Heading 3 6 3 2 2 2 2" xfId="31892" xr:uid="{00000000-0005-0000-0000-0000091B0000}"/>
    <cellStyle name="Heading 3 6 3 2 2 3" xfId="23341" xr:uid="{00000000-0005-0000-0000-00000A1B0000}"/>
    <cellStyle name="Heading 3 6 3 2 3" xfId="13574" xr:uid="{00000000-0005-0000-0000-00000B1B0000}"/>
    <cellStyle name="Heading 3 6 3 2 3 2" xfId="28406" xr:uid="{00000000-0005-0000-0000-00000C1B0000}"/>
    <cellStyle name="Heading 3 6 3 2 4" xfId="21029" xr:uid="{00000000-0005-0000-0000-00000D1B0000}"/>
    <cellStyle name="Heading 3 6 3 3" xfId="5873" xr:uid="{00000000-0005-0000-0000-00000E1B0000}"/>
    <cellStyle name="Heading 3 6 3 3 2" xfId="16065" xr:uid="{00000000-0005-0000-0000-00000F1B0000}"/>
    <cellStyle name="Heading 3 6 3 3 2 2" xfId="30897" xr:uid="{00000000-0005-0000-0000-0000101B0000}"/>
    <cellStyle name="Heading 3 6 3 3 3" xfId="22470" xr:uid="{00000000-0005-0000-0000-0000111B0000}"/>
    <cellStyle name="Heading 3 6 3 4" xfId="12135" xr:uid="{00000000-0005-0000-0000-0000121B0000}"/>
    <cellStyle name="Heading 3 6 3 4 2" xfId="26967" xr:uid="{00000000-0005-0000-0000-0000131B0000}"/>
    <cellStyle name="Heading 3 6 3 5" xfId="20294" xr:uid="{00000000-0005-0000-0000-0000141B0000}"/>
    <cellStyle name="Heading 3 6 4" xfId="3296" xr:uid="{00000000-0005-0000-0000-0000151B0000}"/>
    <cellStyle name="Heading 3 6 4 2" xfId="7360" xr:uid="{00000000-0005-0000-0000-0000161B0000}"/>
    <cellStyle name="Heading 3 6 4 2 2" xfId="17101" xr:uid="{00000000-0005-0000-0000-0000171B0000}"/>
    <cellStyle name="Heading 3 6 4 2 2 2" xfId="31933" xr:uid="{00000000-0005-0000-0000-0000181B0000}"/>
    <cellStyle name="Heading 3 6 4 2 3" xfId="23383" xr:uid="{00000000-0005-0000-0000-0000191B0000}"/>
    <cellStyle name="Heading 3 6 4 3" xfId="13633" xr:uid="{00000000-0005-0000-0000-00001A1B0000}"/>
    <cellStyle name="Heading 3 6 4 3 2" xfId="28465" xr:uid="{00000000-0005-0000-0000-00001B1B0000}"/>
    <cellStyle name="Heading 3 6 4 4" xfId="21070" xr:uid="{00000000-0005-0000-0000-00001C1B0000}"/>
    <cellStyle name="Heading 3 6 5" xfId="5377" xr:uid="{00000000-0005-0000-0000-00001D1B0000}"/>
    <cellStyle name="Heading 3 6 5 2" xfId="22138" xr:uid="{00000000-0005-0000-0000-00001E1B0000}"/>
    <cellStyle name="Heading 3 6 6" xfId="20264" xr:uid="{00000000-0005-0000-0000-00001F1B0000}"/>
    <cellStyle name="Heading 3 7" xfId="1079" xr:uid="{00000000-0005-0000-0000-0000201B0000}"/>
    <cellStyle name="Heading 3 7 2" xfId="1465" xr:uid="{00000000-0005-0000-0000-0000211B0000}"/>
    <cellStyle name="Heading 3 7 2 2" xfId="1966" xr:uid="{00000000-0005-0000-0000-0000221B0000}"/>
    <cellStyle name="Heading 3 7 2 2 2" xfId="3235" xr:uid="{00000000-0005-0000-0000-0000231B0000}"/>
    <cellStyle name="Heading 3 7 2 2 2 2" xfId="7299" xr:uid="{00000000-0005-0000-0000-0000241B0000}"/>
    <cellStyle name="Heading 3 7 2 2 2 2 2" xfId="17058" xr:uid="{00000000-0005-0000-0000-0000251B0000}"/>
    <cellStyle name="Heading 3 7 2 2 2 2 2 2" xfId="31890" xr:uid="{00000000-0005-0000-0000-0000261B0000}"/>
    <cellStyle name="Heading 3 7 2 2 2 2 3" xfId="23339" xr:uid="{00000000-0005-0000-0000-0000271B0000}"/>
    <cellStyle name="Heading 3 7 2 2 2 3" xfId="13572" xr:uid="{00000000-0005-0000-0000-0000281B0000}"/>
    <cellStyle name="Heading 3 7 2 2 2 3 2" xfId="28404" xr:uid="{00000000-0005-0000-0000-0000291B0000}"/>
    <cellStyle name="Heading 3 7 2 2 2 4" xfId="21027" xr:uid="{00000000-0005-0000-0000-00002A1B0000}"/>
    <cellStyle name="Heading 3 7 2 2 3" xfId="6096" xr:uid="{00000000-0005-0000-0000-00002B1B0000}"/>
    <cellStyle name="Heading 3 7 2 2 3 2" xfId="16283" xr:uid="{00000000-0005-0000-0000-00002C1B0000}"/>
    <cellStyle name="Heading 3 7 2 2 3 2 2" xfId="31115" xr:uid="{00000000-0005-0000-0000-00002D1B0000}"/>
    <cellStyle name="Heading 3 7 2 2 3 3" xfId="22629" xr:uid="{00000000-0005-0000-0000-00002E1B0000}"/>
    <cellStyle name="Heading 3 7 2 2 4" xfId="12353" xr:uid="{00000000-0005-0000-0000-00002F1B0000}"/>
    <cellStyle name="Heading 3 7 2 2 4 2" xfId="27185" xr:uid="{00000000-0005-0000-0000-0000301B0000}"/>
    <cellStyle name="Heading 3 7 2 2 5" xfId="20341" xr:uid="{00000000-0005-0000-0000-0000311B0000}"/>
    <cellStyle name="Heading 3 7 2 3" xfId="3231" xr:uid="{00000000-0005-0000-0000-0000321B0000}"/>
    <cellStyle name="Heading 3 7 2 3 2" xfId="7295" xr:uid="{00000000-0005-0000-0000-0000331B0000}"/>
    <cellStyle name="Heading 3 7 2 3 2 2" xfId="17055" xr:uid="{00000000-0005-0000-0000-0000341B0000}"/>
    <cellStyle name="Heading 3 7 2 3 2 2 2" xfId="31887" xr:uid="{00000000-0005-0000-0000-0000351B0000}"/>
    <cellStyle name="Heading 3 7 2 3 2 3" xfId="23335" xr:uid="{00000000-0005-0000-0000-0000361B0000}"/>
    <cellStyle name="Heading 3 7 2 3 3" xfId="13569" xr:uid="{00000000-0005-0000-0000-0000371B0000}"/>
    <cellStyle name="Heading 3 7 2 3 3 2" xfId="28401" xr:uid="{00000000-0005-0000-0000-0000381B0000}"/>
    <cellStyle name="Heading 3 7 2 3 4" xfId="21024" xr:uid="{00000000-0005-0000-0000-0000391B0000}"/>
    <cellStyle name="Heading 3 7 2 4" xfId="11882" xr:uid="{00000000-0005-0000-0000-00003A1B0000}"/>
    <cellStyle name="Heading 3 7 2 4 2" xfId="26714" xr:uid="{00000000-0005-0000-0000-00003B1B0000}"/>
    <cellStyle name="Heading 3 7 2 5" xfId="20280" xr:uid="{00000000-0005-0000-0000-00003C1B0000}"/>
    <cellStyle name="Heading 3 7 3" xfId="1742" xr:uid="{00000000-0005-0000-0000-00003D1B0000}"/>
    <cellStyle name="Heading 3 7 3 2" xfId="4270" xr:uid="{00000000-0005-0000-0000-00003E1B0000}"/>
    <cellStyle name="Heading 3 7 3 2 2" xfId="8309" xr:uid="{00000000-0005-0000-0000-00003F1B0000}"/>
    <cellStyle name="Heading 3 7 3 2 2 2" xfId="17596" xr:uid="{00000000-0005-0000-0000-0000401B0000}"/>
    <cellStyle name="Heading 3 7 3 2 2 2 2" xfId="32428" xr:uid="{00000000-0005-0000-0000-0000411B0000}"/>
    <cellStyle name="Heading 3 7 3 2 2 3" xfId="24003" xr:uid="{00000000-0005-0000-0000-0000421B0000}"/>
    <cellStyle name="Heading 3 7 3 2 3" xfId="14602" xr:uid="{00000000-0005-0000-0000-0000431B0000}"/>
    <cellStyle name="Heading 3 7 3 2 3 2" xfId="29434" xr:uid="{00000000-0005-0000-0000-0000441B0000}"/>
    <cellStyle name="Heading 3 7 3 2 4" xfId="21603" xr:uid="{00000000-0005-0000-0000-0000451B0000}"/>
    <cellStyle name="Heading 3 7 3 3" xfId="5874" xr:uid="{00000000-0005-0000-0000-0000461B0000}"/>
    <cellStyle name="Heading 3 7 3 3 2" xfId="16066" xr:uid="{00000000-0005-0000-0000-0000471B0000}"/>
    <cellStyle name="Heading 3 7 3 3 2 2" xfId="30898" xr:uid="{00000000-0005-0000-0000-0000481B0000}"/>
    <cellStyle name="Heading 3 7 3 3 3" xfId="22471" xr:uid="{00000000-0005-0000-0000-0000491B0000}"/>
    <cellStyle name="Heading 3 7 3 4" xfId="12136" xr:uid="{00000000-0005-0000-0000-00004A1B0000}"/>
    <cellStyle name="Heading 3 7 3 4 2" xfId="26968" xr:uid="{00000000-0005-0000-0000-00004B1B0000}"/>
    <cellStyle name="Heading 3 7 3 5" xfId="20295" xr:uid="{00000000-0005-0000-0000-00004C1B0000}"/>
    <cellStyle name="Heading 3 7 4" xfId="3150" xr:uid="{00000000-0005-0000-0000-00004D1B0000}"/>
    <cellStyle name="Heading 3 7 4 2" xfId="7214" xr:uid="{00000000-0005-0000-0000-00004E1B0000}"/>
    <cellStyle name="Heading 3 7 4 2 2" xfId="16993" xr:uid="{00000000-0005-0000-0000-00004F1B0000}"/>
    <cellStyle name="Heading 3 7 4 2 2 2" xfId="31825" xr:uid="{00000000-0005-0000-0000-0000501B0000}"/>
    <cellStyle name="Heading 3 7 4 2 3" xfId="23283" xr:uid="{00000000-0005-0000-0000-0000511B0000}"/>
    <cellStyle name="Heading 3 7 4 3" xfId="13488" xr:uid="{00000000-0005-0000-0000-0000521B0000}"/>
    <cellStyle name="Heading 3 7 4 3 2" xfId="28320" xr:uid="{00000000-0005-0000-0000-0000531B0000}"/>
    <cellStyle name="Heading 3 7 4 4" xfId="20974" xr:uid="{00000000-0005-0000-0000-0000541B0000}"/>
    <cellStyle name="Heading 3 7 5" xfId="5376" xr:uid="{00000000-0005-0000-0000-0000551B0000}"/>
    <cellStyle name="Heading 3 7 5 2" xfId="22137" xr:uid="{00000000-0005-0000-0000-0000561B0000}"/>
    <cellStyle name="Heading 3 7 6" xfId="20265" xr:uid="{00000000-0005-0000-0000-0000571B0000}"/>
    <cellStyle name="Heading 3 8" xfId="1080" xr:uid="{00000000-0005-0000-0000-0000581B0000}"/>
    <cellStyle name="Heading 3 8 2" xfId="1466" xr:uid="{00000000-0005-0000-0000-0000591B0000}"/>
    <cellStyle name="Heading 3 8 2 2" xfId="1967" xr:uid="{00000000-0005-0000-0000-00005A1B0000}"/>
    <cellStyle name="Heading 3 8 2 2 2" xfId="4276" xr:uid="{00000000-0005-0000-0000-00005B1B0000}"/>
    <cellStyle name="Heading 3 8 2 2 2 2" xfId="8315" xr:uid="{00000000-0005-0000-0000-00005C1B0000}"/>
    <cellStyle name="Heading 3 8 2 2 2 2 2" xfId="17599" xr:uid="{00000000-0005-0000-0000-00005D1B0000}"/>
    <cellStyle name="Heading 3 8 2 2 2 2 2 2" xfId="32431" xr:uid="{00000000-0005-0000-0000-00005E1B0000}"/>
    <cellStyle name="Heading 3 8 2 2 2 2 3" xfId="24009" xr:uid="{00000000-0005-0000-0000-00005F1B0000}"/>
    <cellStyle name="Heading 3 8 2 2 2 3" xfId="14608" xr:uid="{00000000-0005-0000-0000-0000601B0000}"/>
    <cellStyle name="Heading 3 8 2 2 2 3 2" xfId="29440" xr:uid="{00000000-0005-0000-0000-0000611B0000}"/>
    <cellStyle name="Heading 3 8 2 2 2 4" xfId="21608" xr:uid="{00000000-0005-0000-0000-0000621B0000}"/>
    <cellStyle name="Heading 3 8 2 2 3" xfId="6097" xr:uid="{00000000-0005-0000-0000-0000631B0000}"/>
    <cellStyle name="Heading 3 8 2 2 3 2" xfId="16284" xr:uid="{00000000-0005-0000-0000-0000641B0000}"/>
    <cellStyle name="Heading 3 8 2 2 3 2 2" xfId="31116" xr:uid="{00000000-0005-0000-0000-0000651B0000}"/>
    <cellStyle name="Heading 3 8 2 2 3 3" xfId="22630" xr:uid="{00000000-0005-0000-0000-0000661B0000}"/>
    <cellStyle name="Heading 3 8 2 2 4" xfId="12354" xr:uid="{00000000-0005-0000-0000-0000671B0000}"/>
    <cellStyle name="Heading 3 8 2 2 4 2" xfId="27186" xr:uid="{00000000-0005-0000-0000-0000681B0000}"/>
    <cellStyle name="Heading 3 8 2 2 5" xfId="20342" xr:uid="{00000000-0005-0000-0000-0000691B0000}"/>
    <cellStyle name="Heading 3 8 2 3" xfId="4267" xr:uid="{00000000-0005-0000-0000-00006A1B0000}"/>
    <cellStyle name="Heading 3 8 2 3 2" xfId="8306" xr:uid="{00000000-0005-0000-0000-00006B1B0000}"/>
    <cellStyle name="Heading 3 8 2 3 2 2" xfId="17594" xr:uid="{00000000-0005-0000-0000-00006C1B0000}"/>
    <cellStyle name="Heading 3 8 2 3 2 2 2" xfId="32426" xr:uid="{00000000-0005-0000-0000-00006D1B0000}"/>
    <cellStyle name="Heading 3 8 2 3 2 3" xfId="24000" xr:uid="{00000000-0005-0000-0000-00006E1B0000}"/>
    <cellStyle name="Heading 3 8 2 3 3" xfId="14599" xr:uid="{00000000-0005-0000-0000-00006F1B0000}"/>
    <cellStyle name="Heading 3 8 2 3 3 2" xfId="29431" xr:uid="{00000000-0005-0000-0000-0000701B0000}"/>
    <cellStyle name="Heading 3 8 2 3 4" xfId="21600" xr:uid="{00000000-0005-0000-0000-0000711B0000}"/>
    <cellStyle name="Heading 3 8 2 4" xfId="11883" xr:uid="{00000000-0005-0000-0000-0000721B0000}"/>
    <cellStyle name="Heading 3 8 2 4 2" xfId="26715" xr:uid="{00000000-0005-0000-0000-0000731B0000}"/>
    <cellStyle name="Heading 3 8 2 5" xfId="20281" xr:uid="{00000000-0005-0000-0000-0000741B0000}"/>
    <cellStyle name="Heading 3 8 3" xfId="1743" xr:uid="{00000000-0005-0000-0000-0000751B0000}"/>
    <cellStyle name="Heading 3 8 3 2" xfId="3213" xr:uid="{00000000-0005-0000-0000-0000761B0000}"/>
    <cellStyle name="Heading 3 8 3 2 2" xfId="7277" xr:uid="{00000000-0005-0000-0000-0000771B0000}"/>
    <cellStyle name="Heading 3 8 3 2 2 2" xfId="17043" xr:uid="{00000000-0005-0000-0000-0000781B0000}"/>
    <cellStyle name="Heading 3 8 3 2 2 2 2" xfId="31875" xr:uid="{00000000-0005-0000-0000-0000791B0000}"/>
    <cellStyle name="Heading 3 8 3 2 2 3" xfId="23322" xr:uid="{00000000-0005-0000-0000-00007A1B0000}"/>
    <cellStyle name="Heading 3 8 3 2 3" xfId="13551" xr:uid="{00000000-0005-0000-0000-00007B1B0000}"/>
    <cellStyle name="Heading 3 8 3 2 3 2" xfId="28383" xr:uid="{00000000-0005-0000-0000-00007C1B0000}"/>
    <cellStyle name="Heading 3 8 3 2 4" xfId="21012" xr:uid="{00000000-0005-0000-0000-00007D1B0000}"/>
    <cellStyle name="Heading 3 8 3 3" xfId="5875" xr:uid="{00000000-0005-0000-0000-00007E1B0000}"/>
    <cellStyle name="Heading 3 8 3 3 2" xfId="16067" xr:uid="{00000000-0005-0000-0000-00007F1B0000}"/>
    <cellStyle name="Heading 3 8 3 3 2 2" xfId="30899" xr:uid="{00000000-0005-0000-0000-0000801B0000}"/>
    <cellStyle name="Heading 3 8 3 3 3" xfId="22472" xr:uid="{00000000-0005-0000-0000-0000811B0000}"/>
    <cellStyle name="Heading 3 8 3 4" xfId="12137" xr:uid="{00000000-0005-0000-0000-0000821B0000}"/>
    <cellStyle name="Heading 3 8 3 4 2" xfId="26969" xr:uid="{00000000-0005-0000-0000-0000831B0000}"/>
    <cellStyle name="Heading 3 8 3 5" xfId="20296" xr:uid="{00000000-0005-0000-0000-0000841B0000}"/>
    <cellStyle name="Heading 3 8 4" xfId="3266" xr:uid="{00000000-0005-0000-0000-0000851B0000}"/>
    <cellStyle name="Heading 3 8 4 2" xfId="7330" xr:uid="{00000000-0005-0000-0000-0000861B0000}"/>
    <cellStyle name="Heading 3 8 4 2 2" xfId="17075" xr:uid="{00000000-0005-0000-0000-0000871B0000}"/>
    <cellStyle name="Heading 3 8 4 2 2 2" xfId="31907" xr:uid="{00000000-0005-0000-0000-0000881B0000}"/>
    <cellStyle name="Heading 3 8 4 2 3" xfId="23364" xr:uid="{00000000-0005-0000-0000-0000891B0000}"/>
    <cellStyle name="Heading 3 8 4 3" xfId="13603" xr:uid="{00000000-0005-0000-0000-00008A1B0000}"/>
    <cellStyle name="Heading 3 8 4 3 2" xfId="28435" xr:uid="{00000000-0005-0000-0000-00008B1B0000}"/>
    <cellStyle name="Heading 3 8 4 4" xfId="21051" xr:uid="{00000000-0005-0000-0000-00008C1B0000}"/>
    <cellStyle name="Heading 3 8 5" xfId="5375" xr:uid="{00000000-0005-0000-0000-00008D1B0000}"/>
    <cellStyle name="Heading 3 8 5 2" xfId="22136" xr:uid="{00000000-0005-0000-0000-00008E1B0000}"/>
    <cellStyle name="Heading 3 8 6" xfId="20266" xr:uid="{00000000-0005-0000-0000-00008F1B0000}"/>
    <cellStyle name="Heading 3 9" xfId="1066" xr:uid="{00000000-0005-0000-0000-0000901B0000}"/>
    <cellStyle name="Heading 3 9 2" xfId="1453" xr:uid="{00000000-0005-0000-0000-0000911B0000}"/>
    <cellStyle name="Heading 3 9 2 2" xfId="1954" xr:uid="{00000000-0005-0000-0000-0000921B0000}"/>
    <cellStyle name="Heading 3 9 2 2 2" xfId="6084" xr:uid="{00000000-0005-0000-0000-0000931B0000}"/>
    <cellStyle name="Heading 3 9 2 2 2 2" xfId="16271" xr:uid="{00000000-0005-0000-0000-0000941B0000}"/>
    <cellStyle name="Heading 3 9 2 2 2 2 2" xfId="31103" xr:uid="{00000000-0005-0000-0000-0000951B0000}"/>
    <cellStyle name="Heading 3 9 2 2 2 3" xfId="22617" xr:uid="{00000000-0005-0000-0000-0000961B0000}"/>
    <cellStyle name="Heading 3 9 2 2 3" xfId="12341" xr:uid="{00000000-0005-0000-0000-0000971B0000}"/>
    <cellStyle name="Heading 3 9 2 2 3 2" xfId="27173" xr:uid="{00000000-0005-0000-0000-0000981B0000}"/>
    <cellStyle name="Heading 3 9 2 2 4" xfId="20329" xr:uid="{00000000-0005-0000-0000-0000991B0000}"/>
    <cellStyle name="Heading 3 9 2 3" xfId="4011" xr:uid="{00000000-0005-0000-0000-00009A1B0000}"/>
    <cellStyle name="Heading 3 9 2 3 2" xfId="8058" xr:uid="{00000000-0005-0000-0000-00009B1B0000}"/>
    <cellStyle name="Heading 3 9 2 3 2 2" xfId="17474" xr:uid="{00000000-0005-0000-0000-00009C1B0000}"/>
    <cellStyle name="Heading 3 9 2 3 2 2 2" xfId="32306" xr:uid="{00000000-0005-0000-0000-00009D1B0000}"/>
    <cellStyle name="Heading 3 9 2 3 2 3" xfId="23835" xr:uid="{00000000-0005-0000-0000-00009E1B0000}"/>
    <cellStyle name="Heading 3 9 2 3 3" xfId="14343" xr:uid="{00000000-0005-0000-0000-00009F1B0000}"/>
    <cellStyle name="Heading 3 9 2 3 3 2" xfId="29175" xr:uid="{00000000-0005-0000-0000-0000A01B0000}"/>
    <cellStyle name="Heading 3 9 2 3 4" xfId="21473" xr:uid="{00000000-0005-0000-0000-0000A11B0000}"/>
    <cellStyle name="Heading 3 9 2 4" xfId="11870" xr:uid="{00000000-0005-0000-0000-0000A21B0000}"/>
    <cellStyle name="Heading 3 9 2 4 2" xfId="26702" xr:uid="{00000000-0005-0000-0000-0000A31B0000}"/>
    <cellStyle name="Heading 3 9 2 5" xfId="20268" xr:uid="{00000000-0005-0000-0000-0000A41B0000}"/>
    <cellStyle name="Heading 3 9 3" xfId="1729" xr:uid="{00000000-0005-0000-0000-0000A51B0000}"/>
    <cellStyle name="Heading 3 9 3 2" xfId="5861" xr:uid="{00000000-0005-0000-0000-0000A61B0000}"/>
    <cellStyle name="Heading 3 9 3 2 2" xfId="16053" xr:uid="{00000000-0005-0000-0000-0000A71B0000}"/>
    <cellStyle name="Heading 3 9 3 2 2 2" xfId="30885" xr:uid="{00000000-0005-0000-0000-0000A81B0000}"/>
    <cellStyle name="Heading 3 9 3 2 3" xfId="22458" xr:uid="{00000000-0005-0000-0000-0000A91B0000}"/>
    <cellStyle name="Heading 3 9 3 3" xfId="12123" xr:uid="{00000000-0005-0000-0000-0000AA1B0000}"/>
    <cellStyle name="Heading 3 9 3 3 2" xfId="26955" xr:uid="{00000000-0005-0000-0000-0000AB1B0000}"/>
    <cellStyle name="Heading 3 9 3 4" xfId="20282" xr:uid="{00000000-0005-0000-0000-0000AC1B0000}"/>
    <cellStyle name="Heading 3 9 4" xfId="3181" xr:uid="{00000000-0005-0000-0000-0000AD1B0000}"/>
    <cellStyle name="Heading 3 9 4 2" xfId="7245" xr:uid="{00000000-0005-0000-0000-0000AE1B0000}"/>
    <cellStyle name="Heading 3 9 4 2 2" xfId="17017" xr:uid="{00000000-0005-0000-0000-0000AF1B0000}"/>
    <cellStyle name="Heading 3 9 4 2 2 2" xfId="31849" xr:uid="{00000000-0005-0000-0000-0000B01B0000}"/>
    <cellStyle name="Heading 3 9 4 2 3" xfId="23303" xr:uid="{00000000-0005-0000-0000-0000B11B0000}"/>
    <cellStyle name="Heading 3 9 4 3" xfId="13519" xr:uid="{00000000-0005-0000-0000-0000B21B0000}"/>
    <cellStyle name="Heading 3 9 4 3 2" xfId="28351" xr:uid="{00000000-0005-0000-0000-0000B31B0000}"/>
    <cellStyle name="Heading 3 9 4 4" xfId="20993" xr:uid="{00000000-0005-0000-0000-0000B41B0000}"/>
    <cellStyle name="Heading 3 9 5" xfId="5389" xr:uid="{00000000-0005-0000-0000-0000B51B0000}"/>
    <cellStyle name="Heading 3 9 5 2" xfId="22150" xr:uid="{00000000-0005-0000-0000-0000B61B0000}"/>
    <cellStyle name="Heading 3 9 6" xfId="20252" xr:uid="{00000000-0005-0000-0000-0000B71B0000}"/>
    <cellStyle name="Heading 4 2" xfId="1082" xr:uid="{00000000-0005-0000-0000-0000B81B0000}"/>
    <cellStyle name="Heading 4 2 2" xfId="1083" xr:uid="{00000000-0005-0000-0000-0000B91B0000}"/>
    <cellStyle name="Heading 4 2 3" xfId="1084" xr:uid="{00000000-0005-0000-0000-0000BA1B0000}"/>
    <cellStyle name="Heading 4 2 4" xfId="1085" xr:uid="{00000000-0005-0000-0000-0000BB1B0000}"/>
    <cellStyle name="Heading 4 2 5" xfId="1086" xr:uid="{00000000-0005-0000-0000-0000BC1B0000}"/>
    <cellStyle name="Heading 4 2 6" xfId="1087" xr:uid="{00000000-0005-0000-0000-0000BD1B0000}"/>
    <cellStyle name="Heading 4 2 7" xfId="1088" xr:uid="{00000000-0005-0000-0000-0000BE1B0000}"/>
    <cellStyle name="Heading 4 2 8" xfId="1089" xr:uid="{00000000-0005-0000-0000-0000BF1B0000}"/>
    <cellStyle name="Heading 4 3" xfId="1090" xr:uid="{00000000-0005-0000-0000-0000C01B0000}"/>
    <cellStyle name="Heading 4 4" xfId="1091" xr:uid="{00000000-0005-0000-0000-0000C11B0000}"/>
    <cellStyle name="Heading 4 5" xfId="1092" xr:uid="{00000000-0005-0000-0000-0000C21B0000}"/>
    <cellStyle name="Heading 4 6" xfId="1093" xr:uid="{00000000-0005-0000-0000-0000C31B0000}"/>
    <cellStyle name="Heading 4 7" xfId="1094" xr:uid="{00000000-0005-0000-0000-0000C41B0000}"/>
    <cellStyle name="Heading 4 8" xfId="1095" xr:uid="{00000000-0005-0000-0000-0000C51B0000}"/>
    <cellStyle name="Heading 4 9" xfId="1081" xr:uid="{00000000-0005-0000-0000-0000C61B0000}"/>
    <cellStyle name="Headline" xfId="1096" xr:uid="{00000000-0005-0000-0000-0000C71B0000}"/>
    <cellStyle name="Hyperlink 2" xfId="3" xr:uid="{00000000-0005-0000-0000-0000C91B0000}"/>
    <cellStyle name="Hyperlink 2 2" xfId="1098" xr:uid="{00000000-0005-0000-0000-0000CA1B0000}"/>
    <cellStyle name="Hyperlink 2 3" xfId="1099" xr:uid="{00000000-0005-0000-0000-0000CB1B0000}"/>
    <cellStyle name="Hyperlink 2 4" xfId="1100" xr:uid="{00000000-0005-0000-0000-0000CC1B0000}"/>
    <cellStyle name="Hyperlink 2 5" xfId="1101" xr:uid="{00000000-0005-0000-0000-0000CD1B0000}"/>
    <cellStyle name="Hyperlink 2 6" xfId="1102" xr:uid="{00000000-0005-0000-0000-0000CE1B0000}"/>
    <cellStyle name="Hyperlink 2 7" xfId="1103" xr:uid="{00000000-0005-0000-0000-0000CF1B0000}"/>
    <cellStyle name="Hyperlink 2 8" xfId="1104" xr:uid="{00000000-0005-0000-0000-0000D01B0000}"/>
    <cellStyle name="Hyperlink 2 9" xfId="1097" xr:uid="{00000000-0005-0000-0000-0000D11B0000}"/>
    <cellStyle name="Hyperlink 3" xfId="1105" xr:uid="{00000000-0005-0000-0000-0000D21B0000}"/>
    <cellStyle name="Hyperlink 4" xfId="1106" xr:uid="{00000000-0005-0000-0000-0000D31B0000}"/>
    <cellStyle name="Hyperlink 5" xfId="1107" xr:uid="{00000000-0005-0000-0000-0000D41B0000}"/>
    <cellStyle name="Hyperlink 6" xfId="1108" xr:uid="{00000000-0005-0000-0000-0000D51B0000}"/>
    <cellStyle name="Hyperlink 7" xfId="1109" xr:uid="{00000000-0005-0000-0000-0000D61B0000}"/>
    <cellStyle name="Hyperlink 8" xfId="1110" xr:uid="{00000000-0005-0000-0000-0000D71B0000}"/>
    <cellStyle name="Input 10" xfId="1111" xr:uid="{00000000-0005-0000-0000-0000D81B0000}"/>
    <cellStyle name="Input 10 10" xfId="2282" xr:uid="{00000000-0005-0000-0000-0000D91B0000}"/>
    <cellStyle name="Input 10 10 2" xfId="6394" xr:uid="{00000000-0005-0000-0000-0000DA1B0000}"/>
    <cellStyle name="Input 10 10 2 2" xfId="22796" xr:uid="{00000000-0005-0000-0000-0000DB1B0000}"/>
    <cellStyle name="Input 10 10 3" xfId="12622" xr:uid="{00000000-0005-0000-0000-0000DC1B0000}"/>
    <cellStyle name="Input 10 10 3 2" xfId="27454" xr:uid="{00000000-0005-0000-0000-0000DD1B0000}"/>
    <cellStyle name="Input 10 10 4" xfId="20448" xr:uid="{00000000-0005-0000-0000-0000DE1B0000}"/>
    <cellStyle name="Input 10 11" xfId="5248" xr:uid="{00000000-0005-0000-0000-0000DF1B0000}"/>
    <cellStyle name="Input 10 11 2" xfId="15564" xr:uid="{00000000-0005-0000-0000-0000E01B0000}"/>
    <cellStyle name="Input 10 11 2 2" xfId="30396" xr:uid="{00000000-0005-0000-0000-0000E11B0000}"/>
    <cellStyle name="Input 10 11 3" xfId="22105" xr:uid="{00000000-0005-0000-0000-0000E21B0000}"/>
    <cellStyle name="Input 10 12" xfId="5406" xr:uid="{00000000-0005-0000-0000-0000E31B0000}"/>
    <cellStyle name="Input 10 12 2" xfId="15642" xr:uid="{00000000-0005-0000-0000-0000E41B0000}"/>
    <cellStyle name="Input 10 12 2 2" xfId="30474" xr:uid="{00000000-0005-0000-0000-0000E51B0000}"/>
    <cellStyle name="Input 10 12 3" xfId="22167" xr:uid="{00000000-0005-0000-0000-0000E61B0000}"/>
    <cellStyle name="Input 10 13" xfId="9385" xr:uid="{00000000-0005-0000-0000-0000E71B0000}"/>
    <cellStyle name="Input 10 13 2" xfId="24691" xr:uid="{00000000-0005-0000-0000-0000E81B0000}"/>
    <cellStyle name="Input 10 14" xfId="5374" xr:uid="{00000000-0005-0000-0000-0000E91B0000}"/>
    <cellStyle name="Input 10 14 2" xfId="18248" xr:uid="{00000000-0005-0000-0000-0000EA1B0000}"/>
    <cellStyle name="Input 10 2" xfId="1318" xr:uid="{00000000-0005-0000-0000-0000EB1B0000}"/>
    <cellStyle name="Input 10 2 2" xfId="1822" xr:uid="{00000000-0005-0000-0000-0000EC1B0000}"/>
    <cellStyle name="Input 10 2 2 2" xfId="3378" xr:uid="{00000000-0005-0000-0000-0000ED1B0000}"/>
    <cellStyle name="Input 10 2 2 2 2" xfId="7441" xr:uid="{00000000-0005-0000-0000-0000EE1B0000}"/>
    <cellStyle name="Input 10 2 2 2 2 2" xfId="23436" xr:uid="{00000000-0005-0000-0000-0000EF1B0000}"/>
    <cellStyle name="Input 10 2 2 2 3" xfId="13715" xr:uid="{00000000-0005-0000-0000-0000F01B0000}"/>
    <cellStyle name="Input 10 2 2 2 3 2" xfId="28547" xr:uid="{00000000-0005-0000-0000-0000F11B0000}"/>
    <cellStyle name="Input 10 2 2 2 4" xfId="21118" xr:uid="{00000000-0005-0000-0000-0000F21B0000}"/>
    <cellStyle name="Input 10 2 2 3" xfId="4800" xr:uid="{00000000-0005-0000-0000-0000F31B0000}"/>
    <cellStyle name="Input 10 2 2 3 2" xfId="8839" xr:uid="{00000000-0005-0000-0000-0000F41B0000}"/>
    <cellStyle name="Input 10 2 2 3 2 2" xfId="24337" xr:uid="{00000000-0005-0000-0000-0000F51B0000}"/>
    <cellStyle name="Input 10 2 2 3 3" xfId="15124" xr:uid="{00000000-0005-0000-0000-0000F61B0000}"/>
    <cellStyle name="Input 10 2 2 3 3 2" xfId="29956" xr:uid="{00000000-0005-0000-0000-0000F71B0000}"/>
    <cellStyle name="Input 10 2 2 3 4" xfId="21875" xr:uid="{00000000-0005-0000-0000-0000F81B0000}"/>
    <cellStyle name="Input 10 2 2 4" xfId="2790" xr:uid="{00000000-0005-0000-0000-0000F91B0000}"/>
    <cellStyle name="Input 10 2 2 4 2" xfId="6881" xr:uid="{00000000-0005-0000-0000-0000FA1B0000}"/>
    <cellStyle name="Input 10 2 2 4 2 2" xfId="23088" xr:uid="{00000000-0005-0000-0000-0000FB1B0000}"/>
    <cellStyle name="Input 10 2 2 4 3" xfId="13128" xr:uid="{00000000-0005-0000-0000-0000FC1B0000}"/>
    <cellStyle name="Input 10 2 2 4 3 2" xfId="27960" xr:uid="{00000000-0005-0000-0000-0000FD1B0000}"/>
    <cellStyle name="Input 10 2 2 4 4" xfId="20748" xr:uid="{00000000-0005-0000-0000-0000FE1B0000}"/>
    <cellStyle name="Input 10 2 2 5" xfId="5954" xr:uid="{00000000-0005-0000-0000-0000FF1B0000}"/>
    <cellStyle name="Input 10 2 2 5 2" xfId="16146" xr:uid="{00000000-0005-0000-0000-0000001C0000}"/>
    <cellStyle name="Input 10 2 2 5 2 2" xfId="30978" xr:uid="{00000000-0005-0000-0000-0000011C0000}"/>
    <cellStyle name="Input 10 2 2 5 3" xfId="22519" xr:uid="{00000000-0005-0000-0000-0000021C0000}"/>
    <cellStyle name="Input 10 2 2 6" xfId="12216" xr:uid="{00000000-0005-0000-0000-0000031C0000}"/>
    <cellStyle name="Input 10 2 2 6 2" xfId="27048" xr:uid="{00000000-0005-0000-0000-0000041C0000}"/>
    <cellStyle name="Input 10 2 2 7" xfId="9812" xr:uid="{00000000-0005-0000-0000-0000051C0000}"/>
    <cellStyle name="Input 10 2 2 7 2" xfId="20063" xr:uid="{00000000-0005-0000-0000-0000061C0000}"/>
    <cellStyle name="Input 10 2 3" xfId="4080" xr:uid="{00000000-0005-0000-0000-0000071C0000}"/>
    <cellStyle name="Input 10 2 3 2" xfId="8126" xr:uid="{00000000-0005-0000-0000-0000081C0000}"/>
    <cellStyle name="Input 10 2 3 2 2" xfId="23877" xr:uid="{00000000-0005-0000-0000-0000091C0000}"/>
    <cellStyle name="Input 10 2 3 3" xfId="14412" xr:uid="{00000000-0005-0000-0000-00000A1C0000}"/>
    <cellStyle name="Input 10 2 3 3 2" xfId="29244" xr:uid="{00000000-0005-0000-0000-00000B1C0000}"/>
    <cellStyle name="Input 10 2 3 4" xfId="21507" xr:uid="{00000000-0005-0000-0000-00000C1C0000}"/>
    <cellStyle name="Input 10 2 4" xfId="4380" xr:uid="{00000000-0005-0000-0000-00000D1C0000}"/>
    <cellStyle name="Input 10 2 4 2" xfId="8419" xr:uid="{00000000-0005-0000-0000-00000E1C0000}"/>
    <cellStyle name="Input 10 2 4 2 2" xfId="24077" xr:uid="{00000000-0005-0000-0000-00000F1C0000}"/>
    <cellStyle name="Input 10 2 4 3" xfId="14709" xr:uid="{00000000-0005-0000-0000-0000101C0000}"/>
    <cellStyle name="Input 10 2 4 3 2" xfId="29541" xr:uid="{00000000-0005-0000-0000-0000111C0000}"/>
    <cellStyle name="Input 10 2 4 4" xfId="21645" xr:uid="{00000000-0005-0000-0000-0000121C0000}"/>
    <cellStyle name="Input 10 2 5" xfId="2370" xr:uid="{00000000-0005-0000-0000-0000131C0000}"/>
    <cellStyle name="Input 10 2 5 2" xfId="6482" xr:uid="{00000000-0005-0000-0000-0000141C0000}"/>
    <cellStyle name="Input 10 2 5 2 2" xfId="22852" xr:uid="{00000000-0005-0000-0000-0000151C0000}"/>
    <cellStyle name="Input 10 2 5 3" xfId="12709" xr:uid="{00000000-0005-0000-0000-0000161C0000}"/>
    <cellStyle name="Input 10 2 5 3 2" xfId="27541" xr:uid="{00000000-0005-0000-0000-0000171C0000}"/>
    <cellStyle name="Input 10 2 5 4" xfId="20494" xr:uid="{00000000-0005-0000-0000-0000181C0000}"/>
    <cellStyle name="Input 10 2 6" xfId="5495" xr:uid="{00000000-0005-0000-0000-0000191C0000}"/>
    <cellStyle name="Input 10 2 6 2" xfId="15730" xr:uid="{00000000-0005-0000-0000-00001A1C0000}"/>
    <cellStyle name="Input 10 2 6 2 2" xfId="30562" xr:uid="{00000000-0005-0000-0000-00001B1C0000}"/>
    <cellStyle name="Input 10 2 6 3" xfId="22223" xr:uid="{00000000-0005-0000-0000-00001C1C0000}"/>
    <cellStyle name="Input 10 2 7" xfId="11745" xr:uid="{00000000-0005-0000-0000-00001D1C0000}"/>
    <cellStyle name="Input 10 2 7 2" xfId="26577" xr:uid="{00000000-0005-0000-0000-00001E1C0000}"/>
    <cellStyle name="Input 10 2 8" xfId="9416" xr:uid="{00000000-0005-0000-0000-00001F1C0000}"/>
    <cellStyle name="Input 10 2 8 2" xfId="19720" xr:uid="{00000000-0005-0000-0000-0000201C0000}"/>
    <cellStyle name="Input 10 3" xfId="1476" xr:uid="{00000000-0005-0000-0000-0000211C0000}"/>
    <cellStyle name="Input 10 3 2" xfId="1977" xr:uid="{00000000-0005-0000-0000-0000221C0000}"/>
    <cellStyle name="Input 10 3 2 2" xfId="4143" xr:uid="{00000000-0005-0000-0000-0000231C0000}"/>
    <cellStyle name="Input 10 3 2 2 2" xfId="8187" xr:uid="{00000000-0005-0000-0000-0000241C0000}"/>
    <cellStyle name="Input 10 3 2 2 2 2" xfId="23916" xr:uid="{00000000-0005-0000-0000-0000251C0000}"/>
    <cellStyle name="Input 10 3 2 2 3" xfId="14475" xr:uid="{00000000-0005-0000-0000-0000261C0000}"/>
    <cellStyle name="Input 10 3 2 2 3 2" xfId="29307" xr:uid="{00000000-0005-0000-0000-0000271C0000}"/>
    <cellStyle name="Input 10 3 2 2 4" xfId="21543" xr:uid="{00000000-0005-0000-0000-0000281C0000}"/>
    <cellStyle name="Input 10 3 2 3" xfId="4941" xr:uid="{00000000-0005-0000-0000-0000291C0000}"/>
    <cellStyle name="Input 10 3 2 3 2" xfId="8980" xr:uid="{00000000-0005-0000-0000-00002A1C0000}"/>
    <cellStyle name="Input 10 3 2 3 2 2" xfId="24446" xr:uid="{00000000-0005-0000-0000-00002B1C0000}"/>
    <cellStyle name="Input 10 3 2 3 3" xfId="15263" xr:uid="{00000000-0005-0000-0000-00002C1C0000}"/>
    <cellStyle name="Input 10 3 2 3 3 2" xfId="30095" xr:uid="{00000000-0005-0000-0000-00002D1C0000}"/>
    <cellStyle name="Input 10 3 2 3 4" xfId="21976" xr:uid="{00000000-0005-0000-0000-00002E1C0000}"/>
    <cellStyle name="Input 10 3 2 4" xfId="2931" xr:uid="{00000000-0005-0000-0000-00002F1C0000}"/>
    <cellStyle name="Input 10 3 2 4 2" xfId="7015" xr:uid="{00000000-0005-0000-0000-0000301C0000}"/>
    <cellStyle name="Input 10 3 2 4 2 2" xfId="23189" xr:uid="{00000000-0005-0000-0000-0000311C0000}"/>
    <cellStyle name="Input 10 3 2 4 3" xfId="13269" xr:uid="{00000000-0005-0000-0000-0000321C0000}"/>
    <cellStyle name="Input 10 3 2 4 3 2" xfId="28101" xr:uid="{00000000-0005-0000-0000-0000331C0000}"/>
    <cellStyle name="Input 10 3 2 4 4" xfId="20857" xr:uid="{00000000-0005-0000-0000-0000341C0000}"/>
    <cellStyle name="Input 10 3 2 5" xfId="6107" xr:uid="{00000000-0005-0000-0000-0000351C0000}"/>
    <cellStyle name="Input 10 3 2 5 2" xfId="16294" xr:uid="{00000000-0005-0000-0000-0000361C0000}"/>
    <cellStyle name="Input 10 3 2 5 2 2" xfId="31126" xr:uid="{00000000-0005-0000-0000-0000371C0000}"/>
    <cellStyle name="Input 10 3 2 5 3" xfId="22640" xr:uid="{00000000-0005-0000-0000-0000381C0000}"/>
    <cellStyle name="Input 10 3 2 6" xfId="12364" xr:uid="{00000000-0005-0000-0000-0000391C0000}"/>
    <cellStyle name="Input 10 3 2 6 2" xfId="27196" xr:uid="{00000000-0005-0000-0000-00003A1C0000}"/>
    <cellStyle name="Input 10 3 2 7" xfId="9946" xr:uid="{00000000-0005-0000-0000-00003B1C0000}"/>
    <cellStyle name="Input 10 3 2 7 2" xfId="20148" xr:uid="{00000000-0005-0000-0000-00003C1C0000}"/>
    <cellStyle name="Input 10 3 3" xfId="3338" xr:uid="{00000000-0005-0000-0000-00003D1C0000}"/>
    <cellStyle name="Input 10 3 3 2" xfId="7401" xr:uid="{00000000-0005-0000-0000-00003E1C0000}"/>
    <cellStyle name="Input 10 3 3 2 2" xfId="23406" xr:uid="{00000000-0005-0000-0000-00003F1C0000}"/>
    <cellStyle name="Input 10 3 3 3" xfId="13675" xr:uid="{00000000-0005-0000-0000-0000401C0000}"/>
    <cellStyle name="Input 10 3 3 3 2" xfId="28507" xr:uid="{00000000-0005-0000-0000-0000411C0000}"/>
    <cellStyle name="Input 10 3 3 4" xfId="21093" xr:uid="{00000000-0005-0000-0000-0000421C0000}"/>
    <cellStyle name="Input 10 3 4" xfId="4521" xr:uid="{00000000-0005-0000-0000-0000431C0000}"/>
    <cellStyle name="Input 10 3 4 2" xfId="8560" xr:uid="{00000000-0005-0000-0000-0000441C0000}"/>
    <cellStyle name="Input 10 3 4 2 2" xfId="24186" xr:uid="{00000000-0005-0000-0000-0000451C0000}"/>
    <cellStyle name="Input 10 3 4 3" xfId="14848" xr:uid="{00000000-0005-0000-0000-0000461C0000}"/>
    <cellStyle name="Input 10 3 4 3 2" xfId="29680" xr:uid="{00000000-0005-0000-0000-0000471C0000}"/>
    <cellStyle name="Input 10 3 4 4" xfId="21746" xr:uid="{00000000-0005-0000-0000-0000481C0000}"/>
    <cellStyle name="Input 10 3 5" xfId="2511" xr:uid="{00000000-0005-0000-0000-0000491C0000}"/>
    <cellStyle name="Input 10 3 5 2" xfId="6617" xr:uid="{00000000-0005-0000-0000-00004A1C0000}"/>
    <cellStyle name="Input 10 3 5 2 2" xfId="22955" xr:uid="{00000000-0005-0000-0000-00004B1C0000}"/>
    <cellStyle name="Input 10 3 5 3" xfId="12849" xr:uid="{00000000-0005-0000-0000-00004C1C0000}"/>
    <cellStyle name="Input 10 3 5 3 2" xfId="27681" xr:uid="{00000000-0005-0000-0000-00004D1C0000}"/>
    <cellStyle name="Input 10 3 5 4" xfId="20601" xr:uid="{00000000-0005-0000-0000-00004E1C0000}"/>
    <cellStyle name="Input 10 3 6" xfId="5634" xr:uid="{00000000-0005-0000-0000-00004F1C0000}"/>
    <cellStyle name="Input 10 3 6 2" xfId="15869" xr:uid="{00000000-0005-0000-0000-0000501C0000}"/>
    <cellStyle name="Input 10 3 6 2 2" xfId="30701" xr:uid="{00000000-0005-0000-0000-0000511C0000}"/>
    <cellStyle name="Input 10 3 6 3" xfId="22330" xr:uid="{00000000-0005-0000-0000-0000521C0000}"/>
    <cellStyle name="Input 10 3 7" xfId="11893" xr:uid="{00000000-0005-0000-0000-0000531C0000}"/>
    <cellStyle name="Input 10 3 7 2" xfId="26725" xr:uid="{00000000-0005-0000-0000-0000541C0000}"/>
    <cellStyle name="Input 10 3 8" xfId="9551" xr:uid="{00000000-0005-0000-0000-0000551C0000}"/>
    <cellStyle name="Input 10 3 8 2" xfId="19853" xr:uid="{00000000-0005-0000-0000-0000561C0000}"/>
    <cellStyle name="Input 10 4" xfId="1389" xr:uid="{00000000-0005-0000-0000-0000571C0000}"/>
    <cellStyle name="Input 10 4 2" xfId="1891" xr:uid="{00000000-0005-0000-0000-0000581C0000}"/>
    <cellStyle name="Input 10 4 2 2" xfId="3256" xr:uid="{00000000-0005-0000-0000-0000591C0000}"/>
    <cellStyle name="Input 10 4 2 2 2" xfId="7320" xr:uid="{00000000-0005-0000-0000-00005A1C0000}"/>
    <cellStyle name="Input 10 4 2 2 2 2" xfId="23356" xr:uid="{00000000-0005-0000-0000-00005B1C0000}"/>
    <cellStyle name="Input 10 4 2 2 3" xfId="13593" xr:uid="{00000000-0005-0000-0000-00005C1C0000}"/>
    <cellStyle name="Input 10 4 2 2 3 2" xfId="28425" xr:uid="{00000000-0005-0000-0000-00005D1C0000}"/>
    <cellStyle name="Input 10 4 2 2 4" xfId="21043" xr:uid="{00000000-0005-0000-0000-00005E1C0000}"/>
    <cellStyle name="Input 10 4 2 3" xfId="4869" xr:uid="{00000000-0005-0000-0000-00005F1C0000}"/>
    <cellStyle name="Input 10 4 2 3 2" xfId="8908" xr:uid="{00000000-0005-0000-0000-0000601C0000}"/>
    <cellStyle name="Input 10 4 2 3 2 2" xfId="24374" xr:uid="{00000000-0005-0000-0000-0000611C0000}"/>
    <cellStyle name="Input 10 4 2 3 3" xfId="15192" xr:uid="{00000000-0005-0000-0000-0000621C0000}"/>
    <cellStyle name="Input 10 4 2 3 3 2" xfId="30024" xr:uid="{00000000-0005-0000-0000-0000631C0000}"/>
    <cellStyle name="Input 10 4 2 3 4" xfId="21906" xr:uid="{00000000-0005-0000-0000-0000641C0000}"/>
    <cellStyle name="Input 10 4 2 4" xfId="2859" xr:uid="{00000000-0005-0000-0000-0000651C0000}"/>
    <cellStyle name="Input 10 4 2 4 2" xfId="6944" xr:uid="{00000000-0005-0000-0000-0000661C0000}"/>
    <cellStyle name="Input 10 4 2 4 2 2" xfId="23119" xr:uid="{00000000-0005-0000-0000-0000671C0000}"/>
    <cellStyle name="Input 10 4 2 4 3" xfId="13197" xr:uid="{00000000-0005-0000-0000-0000681C0000}"/>
    <cellStyle name="Input 10 4 2 4 3 2" xfId="28029" xr:uid="{00000000-0005-0000-0000-0000691C0000}"/>
    <cellStyle name="Input 10 4 2 4 4" xfId="20785" xr:uid="{00000000-0005-0000-0000-00006A1C0000}"/>
    <cellStyle name="Input 10 4 2 5" xfId="6022" xr:uid="{00000000-0005-0000-0000-00006B1C0000}"/>
    <cellStyle name="Input 10 4 2 5 2" xfId="16209" xr:uid="{00000000-0005-0000-0000-00006C1C0000}"/>
    <cellStyle name="Input 10 4 2 5 2 2" xfId="31041" xr:uid="{00000000-0005-0000-0000-00006D1C0000}"/>
    <cellStyle name="Input 10 4 2 5 3" xfId="22555" xr:uid="{00000000-0005-0000-0000-00006E1C0000}"/>
    <cellStyle name="Input 10 4 2 6" xfId="12279" xr:uid="{00000000-0005-0000-0000-00006F1C0000}"/>
    <cellStyle name="Input 10 4 2 6 2" xfId="27111" xr:uid="{00000000-0005-0000-0000-0000701C0000}"/>
    <cellStyle name="Input 10 4 2 7" xfId="9875" xr:uid="{00000000-0005-0000-0000-0000711C0000}"/>
    <cellStyle name="Input 10 4 2 7 2" xfId="20079" xr:uid="{00000000-0005-0000-0000-0000721C0000}"/>
    <cellStyle name="Input 10 4 3" xfId="3678" xr:uid="{00000000-0005-0000-0000-0000731C0000}"/>
    <cellStyle name="Input 10 4 3 2" xfId="7736" xr:uid="{00000000-0005-0000-0000-0000741C0000}"/>
    <cellStyle name="Input 10 4 3 2 2" xfId="23626" xr:uid="{00000000-0005-0000-0000-0000751C0000}"/>
    <cellStyle name="Input 10 4 3 3" xfId="14013" xr:uid="{00000000-0005-0000-0000-0000761C0000}"/>
    <cellStyle name="Input 10 4 3 3 2" xfId="28845" xr:uid="{00000000-0005-0000-0000-0000771C0000}"/>
    <cellStyle name="Input 10 4 3 4" xfId="21286" xr:uid="{00000000-0005-0000-0000-0000781C0000}"/>
    <cellStyle name="Input 10 4 4" xfId="4449" xr:uid="{00000000-0005-0000-0000-0000791C0000}"/>
    <cellStyle name="Input 10 4 4 2" xfId="8488" xr:uid="{00000000-0005-0000-0000-00007A1C0000}"/>
    <cellStyle name="Input 10 4 4 2 2" xfId="24114" xr:uid="{00000000-0005-0000-0000-00007B1C0000}"/>
    <cellStyle name="Input 10 4 4 3" xfId="14777" xr:uid="{00000000-0005-0000-0000-00007C1C0000}"/>
    <cellStyle name="Input 10 4 4 3 2" xfId="29609" xr:uid="{00000000-0005-0000-0000-00007D1C0000}"/>
    <cellStyle name="Input 10 4 4 4" xfId="21676" xr:uid="{00000000-0005-0000-0000-00007E1C0000}"/>
    <cellStyle name="Input 10 4 5" xfId="2439" xr:uid="{00000000-0005-0000-0000-00007F1C0000}"/>
    <cellStyle name="Input 10 4 5 2" xfId="6545" xr:uid="{00000000-0005-0000-0000-0000801C0000}"/>
    <cellStyle name="Input 10 4 5 2 2" xfId="22883" xr:uid="{00000000-0005-0000-0000-0000811C0000}"/>
    <cellStyle name="Input 10 4 5 3" xfId="12778" xr:uid="{00000000-0005-0000-0000-0000821C0000}"/>
    <cellStyle name="Input 10 4 5 3 2" xfId="27610" xr:uid="{00000000-0005-0000-0000-0000831C0000}"/>
    <cellStyle name="Input 10 4 5 4" xfId="20531" xr:uid="{00000000-0005-0000-0000-0000841C0000}"/>
    <cellStyle name="Input 10 4 6" xfId="5563" xr:uid="{00000000-0005-0000-0000-0000851C0000}"/>
    <cellStyle name="Input 10 4 6 2" xfId="15798" xr:uid="{00000000-0005-0000-0000-0000861C0000}"/>
    <cellStyle name="Input 10 4 6 2 2" xfId="30630" xr:uid="{00000000-0005-0000-0000-0000871C0000}"/>
    <cellStyle name="Input 10 4 6 3" xfId="22259" xr:uid="{00000000-0005-0000-0000-0000881C0000}"/>
    <cellStyle name="Input 10 4 7" xfId="11808" xr:uid="{00000000-0005-0000-0000-0000891C0000}"/>
    <cellStyle name="Input 10 4 7 2" xfId="26640" xr:uid="{00000000-0005-0000-0000-00008A1C0000}"/>
    <cellStyle name="Input 10 4 8" xfId="9480" xr:uid="{00000000-0005-0000-0000-00008B1C0000}"/>
    <cellStyle name="Input 10 4 8 2" xfId="19783" xr:uid="{00000000-0005-0000-0000-00008C1C0000}"/>
    <cellStyle name="Input 10 5" xfId="1468" xr:uid="{00000000-0005-0000-0000-00008D1C0000}"/>
    <cellStyle name="Input 10 5 2" xfId="1969" xr:uid="{00000000-0005-0000-0000-00008E1C0000}"/>
    <cellStyle name="Input 10 5 2 2" xfId="3387" xr:uid="{00000000-0005-0000-0000-00008F1C0000}"/>
    <cellStyle name="Input 10 5 2 2 2" xfId="7450" xr:uid="{00000000-0005-0000-0000-0000901C0000}"/>
    <cellStyle name="Input 10 5 2 2 2 2" xfId="23442" xr:uid="{00000000-0005-0000-0000-0000911C0000}"/>
    <cellStyle name="Input 10 5 2 2 3" xfId="13724" xr:uid="{00000000-0005-0000-0000-0000921C0000}"/>
    <cellStyle name="Input 10 5 2 2 3 2" xfId="28556" xr:uid="{00000000-0005-0000-0000-0000931C0000}"/>
    <cellStyle name="Input 10 5 2 2 4" xfId="21124" xr:uid="{00000000-0005-0000-0000-0000941C0000}"/>
    <cellStyle name="Input 10 5 2 3" xfId="4933" xr:uid="{00000000-0005-0000-0000-0000951C0000}"/>
    <cellStyle name="Input 10 5 2 3 2" xfId="8972" xr:uid="{00000000-0005-0000-0000-0000961C0000}"/>
    <cellStyle name="Input 10 5 2 3 2 2" xfId="24438" xr:uid="{00000000-0005-0000-0000-0000971C0000}"/>
    <cellStyle name="Input 10 5 2 3 3" xfId="15255" xr:uid="{00000000-0005-0000-0000-0000981C0000}"/>
    <cellStyle name="Input 10 5 2 3 3 2" xfId="30087" xr:uid="{00000000-0005-0000-0000-0000991C0000}"/>
    <cellStyle name="Input 10 5 2 3 4" xfId="21968" xr:uid="{00000000-0005-0000-0000-00009A1C0000}"/>
    <cellStyle name="Input 10 5 2 4" xfId="2923" xr:uid="{00000000-0005-0000-0000-00009B1C0000}"/>
    <cellStyle name="Input 10 5 2 4 2" xfId="7007" xr:uid="{00000000-0005-0000-0000-00009C1C0000}"/>
    <cellStyle name="Input 10 5 2 4 2 2" xfId="23181" xr:uid="{00000000-0005-0000-0000-00009D1C0000}"/>
    <cellStyle name="Input 10 5 2 4 3" xfId="13261" xr:uid="{00000000-0005-0000-0000-00009E1C0000}"/>
    <cellStyle name="Input 10 5 2 4 3 2" xfId="28093" xr:uid="{00000000-0005-0000-0000-00009F1C0000}"/>
    <cellStyle name="Input 10 5 2 4 4" xfId="20849" xr:uid="{00000000-0005-0000-0000-0000A01C0000}"/>
    <cellStyle name="Input 10 5 2 5" xfId="6099" xr:uid="{00000000-0005-0000-0000-0000A11C0000}"/>
    <cellStyle name="Input 10 5 2 5 2" xfId="16286" xr:uid="{00000000-0005-0000-0000-0000A21C0000}"/>
    <cellStyle name="Input 10 5 2 5 2 2" xfId="31118" xr:uid="{00000000-0005-0000-0000-0000A31C0000}"/>
    <cellStyle name="Input 10 5 2 5 3" xfId="22632" xr:uid="{00000000-0005-0000-0000-0000A41C0000}"/>
    <cellStyle name="Input 10 5 2 6" xfId="12356" xr:uid="{00000000-0005-0000-0000-0000A51C0000}"/>
    <cellStyle name="Input 10 5 2 6 2" xfId="27188" xr:uid="{00000000-0005-0000-0000-0000A61C0000}"/>
    <cellStyle name="Input 10 5 2 7" xfId="9938" xr:uid="{00000000-0005-0000-0000-0000A71C0000}"/>
    <cellStyle name="Input 10 5 2 7 2" xfId="20140" xr:uid="{00000000-0005-0000-0000-0000A81C0000}"/>
    <cellStyle name="Input 10 5 3" xfId="4337" xr:uid="{00000000-0005-0000-0000-0000A91C0000}"/>
    <cellStyle name="Input 10 5 3 2" xfId="8376" xr:uid="{00000000-0005-0000-0000-0000AA1C0000}"/>
    <cellStyle name="Input 10 5 3 2 2" xfId="24036" xr:uid="{00000000-0005-0000-0000-0000AB1C0000}"/>
    <cellStyle name="Input 10 5 3 3" xfId="14668" xr:uid="{00000000-0005-0000-0000-0000AC1C0000}"/>
    <cellStyle name="Input 10 5 3 3 2" xfId="29500" xr:uid="{00000000-0005-0000-0000-0000AD1C0000}"/>
    <cellStyle name="Input 10 5 3 4" xfId="21632" xr:uid="{00000000-0005-0000-0000-0000AE1C0000}"/>
    <cellStyle name="Input 10 5 4" xfId="4513" xr:uid="{00000000-0005-0000-0000-0000AF1C0000}"/>
    <cellStyle name="Input 10 5 4 2" xfId="8552" xr:uid="{00000000-0005-0000-0000-0000B01C0000}"/>
    <cellStyle name="Input 10 5 4 2 2" xfId="24178" xr:uid="{00000000-0005-0000-0000-0000B11C0000}"/>
    <cellStyle name="Input 10 5 4 3" xfId="14840" xr:uid="{00000000-0005-0000-0000-0000B21C0000}"/>
    <cellStyle name="Input 10 5 4 3 2" xfId="29672" xr:uid="{00000000-0005-0000-0000-0000B31C0000}"/>
    <cellStyle name="Input 10 5 4 4" xfId="21738" xr:uid="{00000000-0005-0000-0000-0000B41C0000}"/>
    <cellStyle name="Input 10 5 5" xfId="2503" xr:uid="{00000000-0005-0000-0000-0000B51C0000}"/>
    <cellStyle name="Input 10 5 5 2" xfId="6609" xr:uid="{00000000-0005-0000-0000-0000B61C0000}"/>
    <cellStyle name="Input 10 5 5 2 2" xfId="22947" xr:uid="{00000000-0005-0000-0000-0000B71C0000}"/>
    <cellStyle name="Input 10 5 5 3" xfId="12841" xr:uid="{00000000-0005-0000-0000-0000B81C0000}"/>
    <cellStyle name="Input 10 5 5 3 2" xfId="27673" xr:uid="{00000000-0005-0000-0000-0000B91C0000}"/>
    <cellStyle name="Input 10 5 5 4" xfId="20593" xr:uid="{00000000-0005-0000-0000-0000BA1C0000}"/>
    <cellStyle name="Input 10 5 6" xfId="5626" xr:uid="{00000000-0005-0000-0000-0000BB1C0000}"/>
    <cellStyle name="Input 10 5 6 2" xfId="15861" xr:uid="{00000000-0005-0000-0000-0000BC1C0000}"/>
    <cellStyle name="Input 10 5 6 2 2" xfId="30693" xr:uid="{00000000-0005-0000-0000-0000BD1C0000}"/>
    <cellStyle name="Input 10 5 6 3" xfId="22322" xr:uid="{00000000-0005-0000-0000-0000BE1C0000}"/>
    <cellStyle name="Input 10 5 7" xfId="11885" xr:uid="{00000000-0005-0000-0000-0000BF1C0000}"/>
    <cellStyle name="Input 10 5 7 2" xfId="26717" xr:uid="{00000000-0005-0000-0000-0000C01C0000}"/>
    <cellStyle name="Input 10 5 8" xfId="9543" xr:uid="{00000000-0005-0000-0000-0000C11C0000}"/>
    <cellStyle name="Input 10 5 8 2" xfId="19845" xr:uid="{00000000-0005-0000-0000-0000C21C0000}"/>
    <cellStyle name="Input 10 6" xfId="1744" xr:uid="{00000000-0005-0000-0000-0000C31C0000}"/>
    <cellStyle name="Input 10 6 2" xfId="3867" xr:uid="{00000000-0005-0000-0000-0000C41C0000}"/>
    <cellStyle name="Input 10 6 2 2" xfId="7919" xr:uid="{00000000-0005-0000-0000-0000C51C0000}"/>
    <cellStyle name="Input 10 6 2 2 2" xfId="23750" xr:uid="{00000000-0005-0000-0000-0000C61C0000}"/>
    <cellStyle name="Input 10 6 2 3" xfId="14202" xr:uid="{00000000-0005-0000-0000-0000C71C0000}"/>
    <cellStyle name="Input 10 6 2 3 2" xfId="29034" xr:uid="{00000000-0005-0000-0000-0000C81C0000}"/>
    <cellStyle name="Input 10 6 2 4" xfId="21392" xr:uid="{00000000-0005-0000-0000-0000C91C0000}"/>
    <cellStyle name="Input 10 6 3" xfId="4722" xr:uid="{00000000-0005-0000-0000-0000CA1C0000}"/>
    <cellStyle name="Input 10 6 3 2" xfId="8761" xr:uid="{00000000-0005-0000-0000-0000CB1C0000}"/>
    <cellStyle name="Input 10 6 3 2 2" xfId="24291" xr:uid="{00000000-0005-0000-0000-0000CC1C0000}"/>
    <cellStyle name="Input 10 6 3 3" xfId="15046" xr:uid="{00000000-0005-0000-0000-0000CD1C0000}"/>
    <cellStyle name="Input 10 6 3 3 2" xfId="29878" xr:uid="{00000000-0005-0000-0000-0000CE1C0000}"/>
    <cellStyle name="Input 10 6 3 4" xfId="21829" xr:uid="{00000000-0005-0000-0000-0000CF1C0000}"/>
    <cellStyle name="Input 10 6 4" xfId="2712" xr:uid="{00000000-0005-0000-0000-0000D01C0000}"/>
    <cellStyle name="Input 10 6 4 2" xfId="6803" xr:uid="{00000000-0005-0000-0000-0000D11C0000}"/>
    <cellStyle name="Input 10 6 4 2 2" xfId="23042" xr:uid="{00000000-0005-0000-0000-0000D21C0000}"/>
    <cellStyle name="Input 10 6 4 3" xfId="13050" xr:uid="{00000000-0005-0000-0000-0000D31C0000}"/>
    <cellStyle name="Input 10 6 4 3 2" xfId="27882" xr:uid="{00000000-0005-0000-0000-0000D41C0000}"/>
    <cellStyle name="Input 10 6 4 4" xfId="20702" xr:uid="{00000000-0005-0000-0000-0000D51C0000}"/>
    <cellStyle name="Input 10 6 5" xfId="5876" xr:uid="{00000000-0005-0000-0000-0000D61C0000}"/>
    <cellStyle name="Input 10 6 5 2" xfId="16068" xr:uid="{00000000-0005-0000-0000-0000D71C0000}"/>
    <cellStyle name="Input 10 6 5 2 2" xfId="30900" xr:uid="{00000000-0005-0000-0000-0000D81C0000}"/>
    <cellStyle name="Input 10 6 5 3" xfId="22473" xr:uid="{00000000-0005-0000-0000-0000D91C0000}"/>
    <cellStyle name="Input 10 6 6" xfId="12138" xr:uid="{00000000-0005-0000-0000-0000DA1C0000}"/>
    <cellStyle name="Input 10 6 6 2" xfId="26970" xr:uid="{00000000-0005-0000-0000-0000DB1C0000}"/>
    <cellStyle name="Input 10 6 7" xfId="9734" xr:uid="{00000000-0005-0000-0000-0000DC1C0000}"/>
    <cellStyle name="Input 10 6 7 2" xfId="20032" xr:uid="{00000000-0005-0000-0000-0000DD1C0000}"/>
    <cellStyle name="Input 10 7" xfId="2222" xr:uid="{00000000-0005-0000-0000-0000DE1C0000}"/>
    <cellStyle name="Input 10 7 2" xfId="3241" xr:uid="{00000000-0005-0000-0000-0000DF1C0000}"/>
    <cellStyle name="Input 10 7 2 2" xfId="7305" xr:uid="{00000000-0005-0000-0000-0000E01C0000}"/>
    <cellStyle name="Input 10 7 2 2 2" xfId="23345" xr:uid="{00000000-0005-0000-0000-0000E11C0000}"/>
    <cellStyle name="Input 10 7 2 3" xfId="13578" xr:uid="{00000000-0005-0000-0000-0000E21C0000}"/>
    <cellStyle name="Input 10 7 2 3 2" xfId="28410" xr:uid="{00000000-0005-0000-0000-0000E31C0000}"/>
    <cellStyle name="Input 10 7 2 4" xfId="21032" xr:uid="{00000000-0005-0000-0000-0000E41C0000}"/>
    <cellStyle name="Input 10 7 3" xfId="5190" xr:uid="{00000000-0005-0000-0000-0000E51C0000}"/>
    <cellStyle name="Input 10 7 3 2" xfId="9229" xr:uid="{00000000-0005-0000-0000-0000E61C0000}"/>
    <cellStyle name="Input 10 7 3 2 2" xfId="24567" xr:uid="{00000000-0005-0000-0000-0000E71C0000}"/>
    <cellStyle name="Input 10 7 3 3" xfId="15508" xr:uid="{00000000-0005-0000-0000-0000E81C0000}"/>
    <cellStyle name="Input 10 7 3 3 2" xfId="30340" xr:uid="{00000000-0005-0000-0000-0000E91C0000}"/>
    <cellStyle name="Input 10 7 3 4" xfId="22074" xr:uid="{00000000-0005-0000-0000-0000EA1C0000}"/>
    <cellStyle name="Input 10 7 4" xfId="4220" xr:uid="{00000000-0005-0000-0000-0000EB1C0000}"/>
    <cellStyle name="Input 10 7 4 2" xfId="8261" xr:uid="{00000000-0005-0000-0000-0000EC1C0000}"/>
    <cellStyle name="Input 10 7 4 2 2" xfId="23956" xr:uid="{00000000-0005-0000-0000-0000ED1C0000}"/>
    <cellStyle name="Input 10 7 4 3" xfId="14552" xr:uid="{00000000-0005-0000-0000-0000EE1C0000}"/>
    <cellStyle name="Input 10 7 4 3 2" xfId="29384" xr:uid="{00000000-0005-0000-0000-0000EF1C0000}"/>
    <cellStyle name="Input 10 7 4 4" xfId="21581" xr:uid="{00000000-0005-0000-0000-0000F01C0000}"/>
    <cellStyle name="Input 10 7 5" xfId="6336" xr:uid="{00000000-0005-0000-0000-0000F11C0000}"/>
    <cellStyle name="Input 10 7 5 2" xfId="22738" xr:uid="{00000000-0005-0000-0000-0000F21C0000}"/>
    <cellStyle name="Input 10 7 6" xfId="12590" xr:uid="{00000000-0005-0000-0000-0000F31C0000}"/>
    <cellStyle name="Input 10 7 6 2" xfId="27422" xr:uid="{00000000-0005-0000-0000-0000F41C0000}"/>
    <cellStyle name="Input 10 7 7" xfId="20417" xr:uid="{00000000-0005-0000-0000-0000F51C0000}"/>
    <cellStyle name="Input 10 8" xfId="3137" xr:uid="{00000000-0005-0000-0000-0000F61C0000}"/>
    <cellStyle name="Input 10 8 2" xfId="7201" xr:uid="{00000000-0005-0000-0000-0000F71C0000}"/>
    <cellStyle name="Input 10 8 2 2" xfId="23273" xr:uid="{00000000-0005-0000-0000-0000F81C0000}"/>
    <cellStyle name="Input 10 8 3" xfId="13475" xr:uid="{00000000-0005-0000-0000-0000F91C0000}"/>
    <cellStyle name="Input 10 8 3 2" xfId="28307" xr:uid="{00000000-0005-0000-0000-0000FA1C0000}"/>
    <cellStyle name="Input 10 8 4" xfId="20964" xr:uid="{00000000-0005-0000-0000-0000FB1C0000}"/>
    <cellStyle name="Input 10 9" xfId="3218" xr:uid="{00000000-0005-0000-0000-0000FC1C0000}"/>
    <cellStyle name="Input 10 9 2" xfId="7282" xr:uid="{00000000-0005-0000-0000-0000FD1C0000}"/>
    <cellStyle name="Input 10 9 2 2" xfId="23327" xr:uid="{00000000-0005-0000-0000-0000FE1C0000}"/>
    <cellStyle name="Input 10 9 3" xfId="13556" xr:uid="{00000000-0005-0000-0000-0000FF1C0000}"/>
    <cellStyle name="Input 10 9 3 2" xfId="28388" xr:uid="{00000000-0005-0000-0000-0000001D0000}"/>
    <cellStyle name="Input 10 9 4" xfId="21016" xr:uid="{00000000-0005-0000-0000-0000011D0000}"/>
    <cellStyle name="Input 2" xfId="1112" xr:uid="{00000000-0005-0000-0000-0000021D0000}"/>
    <cellStyle name="Input 2 10" xfId="1477" xr:uid="{00000000-0005-0000-0000-0000031D0000}"/>
    <cellStyle name="Input 2 10 2" xfId="1978" xr:uid="{00000000-0005-0000-0000-0000041D0000}"/>
    <cellStyle name="Input 2 10 2 2" xfId="4083" xr:uid="{00000000-0005-0000-0000-0000051D0000}"/>
    <cellStyle name="Input 2 10 2 2 2" xfId="8129" xr:uid="{00000000-0005-0000-0000-0000061D0000}"/>
    <cellStyle name="Input 2 10 2 2 2 2" xfId="23879" xr:uid="{00000000-0005-0000-0000-0000071D0000}"/>
    <cellStyle name="Input 2 10 2 2 3" xfId="14415" xr:uid="{00000000-0005-0000-0000-0000081D0000}"/>
    <cellStyle name="Input 2 10 2 2 3 2" xfId="29247" xr:uid="{00000000-0005-0000-0000-0000091D0000}"/>
    <cellStyle name="Input 2 10 2 2 4" xfId="21509" xr:uid="{00000000-0005-0000-0000-00000A1D0000}"/>
    <cellStyle name="Input 2 10 2 3" xfId="4942" xr:uid="{00000000-0005-0000-0000-00000B1D0000}"/>
    <cellStyle name="Input 2 10 2 3 2" xfId="8981" xr:uid="{00000000-0005-0000-0000-00000C1D0000}"/>
    <cellStyle name="Input 2 10 2 3 2 2" xfId="24447" xr:uid="{00000000-0005-0000-0000-00000D1D0000}"/>
    <cellStyle name="Input 2 10 2 3 3" xfId="15264" xr:uid="{00000000-0005-0000-0000-00000E1D0000}"/>
    <cellStyle name="Input 2 10 2 3 3 2" xfId="30096" xr:uid="{00000000-0005-0000-0000-00000F1D0000}"/>
    <cellStyle name="Input 2 10 2 3 4" xfId="21977" xr:uid="{00000000-0005-0000-0000-0000101D0000}"/>
    <cellStyle name="Input 2 10 2 4" xfId="2932" xr:uid="{00000000-0005-0000-0000-0000111D0000}"/>
    <cellStyle name="Input 2 10 2 4 2" xfId="7016" xr:uid="{00000000-0005-0000-0000-0000121D0000}"/>
    <cellStyle name="Input 2 10 2 4 2 2" xfId="23190" xr:uid="{00000000-0005-0000-0000-0000131D0000}"/>
    <cellStyle name="Input 2 10 2 4 3" xfId="13270" xr:uid="{00000000-0005-0000-0000-0000141D0000}"/>
    <cellStyle name="Input 2 10 2 4 3 2" xfId="28102" xr:uid="{00000000-0005-0000-0000-0000151D0000}"/>
    <cellStyle name="Input 2 10 2 4 4" xfId="20858" xr:uid="{00000000-0005-0000-0000-0000161D0000}"/>
    <cellStyle name="Input 2 10 2 5" xfId="6108" xr:uid="{00000000-0005-0000-0000-0000171D0000}"/>
    <cellStyle name="Input 2 10 2 5 2" xfId="16295" xr:uid="{00000000-0005-0000-0000-0000181D0000}"/>
    <cellStyle name="Input 2 10 2 5 2 2" xfId="31127" xr:uid="{00000000-0005-0000-0000-0000191D0000}"/>
    <cellStyle name="Input 2 10 2 5 3" xfId="22641" xr:uid="{00000000-0005-0000-0000-00001A1D0000}"/>
    <cellStyle name="Input 2 10 2 6" xfId="12365" xr:uid="{00000000-0005-0000-0000-00001B1D0000}"/>
    <cellStyle name="Input 2 10 2 6 2" xfId="27197" xr:uid="{00000000-0005-0000-0000-00001C1D0000}"/>
    <cellStyle name="Input 2 10 2 7" xfId="9947" xr:uid="{00000000-0005-0000-0000-00001D1D0000}"/>
    <cellStyle name="Input 2 10 2 7 2" xfId="20149" xr:uid="{00000000-0005-0000-0000-00001E1D0000}"/>
    <cellStyle name="Input 2 10 3" xfId="3346" xr:uid="{00000000-0005-0000-0000-00001F1D0000}"/>
    <cellStyle name="Input 2 10 3 2" xfId="7409" xr:uid="{00000000-0005-0000-0000-0000201D0000}"/>
    <cellStyle name="Input 2 10 3 2 2" xfId="23414" xr:uid="{00000000-0005-0000-0000-0000211D0000}"/>
    <cellStyle name="Input 2 10 3 3" xfId="13683" xr:uid="{00000000-0005-0000-0000-0000221D0000}"/>
    <cellStyle name="Input 2 10 3 3 2" xfId="28515" xr:uid="{00000000-0005-0000-0000-0000231D0000}"/>
    <cellStyle name="Input 2 10 3 4" xfId="21101" xr:uid="{00000000-0005-0000-0000-0000241D0000}"/>
    <cellStyle name="Input 2 10 4" xfId="4522" xr:uid="{00000000-0005-0000-0000-0000251D0000}"/>
    <cellStyle name="Input 2 10 4 2" xfId="8561" xr:uid="{00000000-0005-0000-0000-0000261D0000}"/>
    <cellStyle name="Input 2 10 4 2 2" xfId="24187" xr:uid="{00000000-0005-0000-0000-0000271D0000}"/>
    <cellStyle name="Input 2 10 4 3" xfId="14849" xr:uid="{00000000-0005-0000-0000-0000281D0000}"/>
    <cellStyle name="Input 2 10 4 3 2" xfId="29681" xr:uid="{00000000-0005-0000-0000-0000291D0000}"/>
    <cellStyle name="Input 2 10 4 4" xfId="21747" xr:uid="{00000000-0005-0000-0000-00002A1D0000}"/>
    <cellStyle name="Input 2 10 5" xfId="2512" xr:uid="{00000000-0005-0000-0000-00002B1D0000}"/>
    <cellStyle name="Input 2 10 5 2" xfId="6618" xr:uid="{00000000-0005-0000-0000-00002C1D0000}"/>
    <cellStyle name="Input 2 10 5 2 2" xfId="22956" xr:uid="{00000000-0005-0000-0000-00002D1D0000}"/>
    <cellStyle name="Input 2 10 5 3" xfId="12850" xr:uid="{00000000-0005-0000-0000-00002E1D0000}"/>
    <cellStyle name="Input 2 10 5 3 2" xfId="27682" xr:uid="{00000000-0005-0000-0000-00002F1D0000}"/>
    <cellStyle name="Input 2 10 5 4" xfId="20602" xr:uid="{00000000-0005-0000-0000-0000301D0000}"/>
    <cellStyle name="Input 2 10 6" xfId="5635" xr:uid="{00000000-0005-0000-0000-0000311D0000}"/>
    <cellStyle name="Input 2 10 6 2" xfId="15870" xr:uid="{00000000-0005-0000-0000-0000321D0000}"/>
    <cellStyle name="Input 2 10 6 2 2" xfId="30702" xr:uid="{00000000-0005-0000-0000-0000331D0000}"/>
    <cellStyle name="Input 2 10 6 3" xfId="22331" xr:uid="{00000000-0005-0000-0000-0000341D0000}"/>
    <cellStyle name="Input 2 10 7" xfId="11894" xr:uid="{00000000-0005-0000-0000-0000351D0000}"/>
    <cellStyle name="Input 2 10 7 2" xfId="26726" xr:uid="{00000000-0005-0000-0000-0000361D0000}"/>
    <cellStyle name="Input 2 10 8" xfId="9552" xr:uid="{00000000-0005-0000-0000-0000371D0000}"/>
    <cellStyle name="Input 2 10 8 2" xfId="19854" xr:uid="{00000000-0005-0000-0000-0000381D0000}"/>
    <cellStyle name="Input 2 11" xfId="1405" xr:uid="{00000000-0005-0000-0000-0000391D0000}"/>
    <cellStyle name="Input 2 11 2" xfId="1907" xr:uid="{00000000-0005-0000-0000-00003A1D0000}"/>
    <cellStyle name="Input 2 11 2 2" xfId="3733" xr:uid="{00000000-0005-0000-0000-00003B1D0000}"/>
    <cellStyle name="Input 2 11 2 2 2" xfId="7789" xr:uid="{00000000-0005-0000-0000-00003C1D0000}"/>
    <cellStyle name="Input 2 11 2 2 2 2" xfId="23663" xr:uid="{00000000-0005-0000-0000-00003D1D0000}"/>
    <cellStyle name="Input 2 11 2 2 3" xfId="14068" xr:uid="{00000000-0005-0000-0000-00003E1D0000}"/>
    <cellStyle name="Input 2 11 2 2 3 2" xfId="28900" xr:uid="{00000000-0005-0000-0000-00003F1D0000}"/>
    <cellStyle name="Input 2 11 2 2 4" xfId="21323" xr:uid="{00000000-0005-0000-0000-0000401D0000}"/>
    <cellStyle name="Input 2 11 2 3" xfId="4885" xr:uid="{00000000-0005-0000-0000-0000411D0000}"/>
    <cellStyle name="Input 2 11 2 3 2" xfId="8924" xr:uid="{00000000-0005-0000-0000-0000421D0000}"/>
    <cellStyle name="Input 2 11 2 3 2 2" xfId="24390" xr:uid="{00000000-0005-0000-0000-0000431D0000}"/>
    <cellStyle name="Input 2 11 2 3 3" xfId="15208" xr:uid="{00000000-0005-0000-0000-0000441D0000}"/>
    <cellStyle name="Input 2 11 2 3 3 2" xfId="30040" xr:uid="{00000000-0005-0000-0000-0000451D0000}"/>
    <cellStyle name="Input 2 11 2 3 4" xfId="21922" xr:uid="{00000000-0005-0000-0000-0000461D0000}"/>
    <cellStyle name="Input 2 11 2 4" xfId="2875" xr:uid="{00000000-0005-0000-0000-0000471D0000}"/>
    <cellStyle name="Input 2 11 2 4 2" xfId="6960" xr:uid="{00000000-0005-0000-0000-0000481D0000}"/>
    <cellStyle name="Input 2 11 2 4 2 2" xfId="23135" xr:uid="{00000000-0005-0000-0000-0000491D0000}"/>
    <cellStyle name="Input 2 11 2 4 3" xfId="13213" xr:uid="{00000000-0005-0000-0000-00004A1D0000}"/>
    <cellStyle name="Input 2 11 2 4 3 2" xfId="28045" xr:uid="{00000000-0005-0000-0000-00004B1D0000}"/>
    <cellStyle name="Input 2 11 2 4 4" xfId="20801" xr:uid="{00000000-0005-0000-0000-00004C1D0000}"/>
    <cellStyle name="Input 2 11 2 5" xfId="6038" xr:uid="{00000000-0005-0000-0000-00004D1D0000}"/>
    <cellStyle name="Input 2 11 2 5 2" xfId="16225" xr:uid="{00000000-0005-0000-0000-00004E1D0000}"/>
    <cellStyle name="Input 2 11 2 5 2 2" xfId="31057" xr:uid="{00000000-0005-0000-0000-00004F1D0000}"/>
    <cellStyle name="Input 2 11 2 5 3" xfId="22571" xr:uid="{00000000-0005-0000-0000-0000501D0000}"/>
    <cellStyle name="Input 2 11 2 6" xfId="12295" xr:uid="{00000000-0005-0000-0000-0000511D0000}"/>
    <cellStyle name="Input 2 11 2 6 2" xfId="27127" xr:uid="{00000000-0005-0000-0000-0000521D0000}"/>
    <cellStyle name="Input 2 11 2 7" xfId="9891" xr:uid="{00000000-0005-0000-0000-0000531D0000}"/>
    <cellStyle name="Input 2 11 2 7 2" xfId="20094" xr:uid="{00000000-0005-0000-0000-0000541D0000}"/>
    <cellStyle name="Input 2 11 3" xfId="3565" xr:uid="{00000000-0005-0000-0000-0000551D0000}"/>
    <cellStyle name="Input 2 11 3 2" xfId="7627" xr:uid="{00000000-0005-0000-0000-0000561D0000}"/>
    <cellStyle name="Input 2 11 3 2 2" xfId="23555" xr:uid="{00000000-0005-0000-0000-0000571D0000}"/>
    <cellStyle name="Input 2 11 3 3" xfId="13901" xr:uid="{00000000-0005-0000-0000-0000581D0000}"/>
    <cellStyle name="Input 2 11 3 3 2" xfId="28733" xr:uid="{00000000-0005-0000-0000-0000591D0000}"/>
    <cellStyle name="Input 2 11 3 4" xfId="21225" xr:uid="{00000000-0005-0000-0000-00005A1D0000}"/>
    <cellStyle name="Input 2 11 4" xfId="4465" xr:uid="{00000000-0005-0000-0000-00005B1D0000}"/>
    <cellStyle name="Input 2 11 4 2" xfId="8504" xr:uid="{00000000-0005-0000-0000-00005C1D0000}"/>
    <cellStyle name="Input 2 11 4 2 2" xfId="24130" xr:uid="{00000000-0005-0000-0000-00005D1D0000}"/>
    <cellStyle name="Input 2 11 4 3" xfId="14793" xr:uid="{00000000-0005-0000-0000-00005E1D0000}"/>
    <cellStyle name="Input 2 11 4 3 2" xfId="29625" xr:uid="{00000000-0005-0000-0000-00005F1D0000}"/>
    <cellStyle name="Input 2 11 4 4" xfId="21692" xr:uid="{00000000-0005-0000-0000-0000601D0000}"/>
    <cellStyle name="Input 2 11 5" xfId="2455" xr:uid="{00000000-0005-0000-0000-0000611D0000}"/>
    <cellStyle name="Input 2 11 5 2" xfId="6561" xr:uid="{00000000-0005-0000-0000-0000621D0000}"/>
    <cellStyle name="Input 2 11 5 2 2" xfId="22899" xr:uid="{00000000-0005-0000-0000-0000631D0000}"/>
    <cellStyle name="Input 2 11 5 3" xfId="12794" xr:uid="{00000000-0005-0000-0000-0000641D0000}"/>
    <cellStyle name="Input 2 11 5 3 2" xfId="27626" xr:uid="{00000000-0005-0000-0000-0000651D0000}"/>
    <cellStyle name="Input 2 11 5 4" xfId="20547" xr:uid="{00000000-0005-0000-0000-0000661D0000}"/>
    <cellStyle name="Input 2 11 6" xfId="5579" xr:uid="{00000000-0005-0000-0000-0000671D0000}"/>
    <cellStyle name="Input 2 11 6 2" xfId="15814" xr:uid="{00000000-0005-0000-0000-0000681D0000}"/>
    <cellStyle name="Input 2 11 6 2 2" xfId="30646" xr:uid="{00000000-0005-0000-0000-0000691D0000}"/>
    <cellStyle name="Input 2 11 6 3" xfId="22275" xr:uid="{00000000-0005-0000-0000-00006A1D0000}"/>
    <cellStyle name="Input 2 11 7" xfId="11824" xr:uid="{00000000-0005-0000-0000-00006B1D0000}"/>
    <cellStyle name="Input 2 11 7 2" xfId="26656" xr:uid="{00000000-0005-0000-0000-00006C1D0000}"/>
    <cellStyle name="Input 2 11 8" xfId="9496" xr:uid="{00000000-0005-0000-0000-00006D1D0000}"/>
    <cellStyle name="Input 2 11 8 2" xfId="19799" xr:uid="{00000000-0005-0000-0000-00006E1D0000}"/>
    <cellStyle name="Input 2 12" xfId="1469" xr:uid="{00000000-0005-0000-0000-00006F1D0000}"/>
    <cellStyle name="Input 2 12 2" xfId="1970" xr:uid="{00000000-0005-0000-0000-0000701D0000}"/>
    <cellStyle name="Input 2 12 2 2" xfId="3871" xr:uid="{00000000-0005-0000-0000-0000711D0000}"/>
    <cellStyle name="Input 2 12 2 2 2" xfId="7923" xr:uid="{00000000-0005-0000-0000-0000721D0000}"/>
    <cellStyle name="Input 2 12 2 2 2 2" xfId="23752" xr:uid="{00000000-0005-0000-0000-0000731D0000}"/>
    <cellStyle name="Input 2 12 2 2 3" xfId="14206" xr:uid="{00000000-0005-0000-0000-0000741D0000}"/>
    <cellStyle name="Input 2 12 2 2 3 2" xfId="29038" xr:uid="{00000000-0005-0000-0000-0000751D0000}"/>
    <cellStyle name="Input 2 12 2 2 4" xfId="21394" xr:uid="{00000000-0005-0000-0000-0000761D0000}"/>
    <cellStyle name="Input 2 12 2 3" xfId="4934" xr:uid="{00000000-0005-0000-0000-0000771D0000}"/>
    <cellStyle name="Input 2 12 2 3 2" xfId="8973" xr:uid="{00000000-0005-0000-0000-0000781D0000}"/>
    <cellStyle name="Input 2 12 2 3 2 2" xfId="24439" xr:uid="{00000000-0005-0000-0000-0000791D0000}"/>
    <cellStyle name="Input 2 12 2 3 3" xfId="15256" xr:uid="{00000000-0005-0000-0000-00007A1D0000}"/>
    <cellStyle name="Input 2 12 2 3 3 2" xfId="30088" xr:uid="{00000000-0005-0000-0000-00007B1D0000}"/>
    <cellStyle name="Input 2 12 2 3 4" xfId="21969" xr:uid="{00000000-0005-0000-0000-00007C1D0000}"/>
    <cellStyle name="Input 2 12 2 4" xfId="2924" xr:uid="{00000000-0005-0000-0000-00007D1D0000}"/>
    <cellStyle name="Input 2 12 2 4 2" xfId="7008" xr:uid="{00000000-0005-0000-0000-00007E1D0000}"/>
    <cellStyle name="Input 2 12 2 4 2 2" xfId="23182" xr:uid="{00000000-0005-0000-0000-00007F1D0000}"/>
    <cellStyle name="Input 2 12 2 4 3" xfId="13262" xr:uid="{00000000-0005-0000-0000-0000801D0000}"/>
    <cellStyle name="Input 2 12 2 4 3 2" xfId="28094" xr:uid="{00000000-0005-0000-0000-0000811D0000}"/>
    <cellStyle name="Input 2 12 2 4 4" xfId="20850" xr:uid="{00000000-0005-0000-0000-0000821D0000}"/>
    <cellStyle name="Input 2 12 2 5" xfId="6100" xr:uid="{00000000-0005-0000-0000-0000831D0000}"/>
    <cellStyle name="Input 2 12 2 5 2" xfId="16287" xr:uid="{00000000-0005-0000-0000-0000841D0000}"/>
    <cellStyle name="Input 2 12 2 5 2 2" xfId="31119" xr:uid="{00000000-0005-0000-0000-0000851D0000}"/>
    <cellStyle name="Input 2 12 2 5 3" xfId="22633" xr:uid="{00000000-0005-0000-0000-0000861D0000}"/>
    <cellStyle name="Input 2 12 2 6" xfId="12357" xr:uid="{00000000-0005-0000-0000-0000871D0000}"/>
    <cellStyle name="Input 2 12 2 6 2" xfId="27189" xr:uid="{00000000-0005-0000-0000-0000881D0000}"/>
    <cellStyle name="Input 2 12 2 7" xfId="9939" xr:uid="{00000000-0005-0000-0000-0000891D0000}"/>
    <cellStyle name="Input 2 12 2 7 2" xfId="20141" xr:uid="{00000000-0005-0000-0000-00008A1D0000}"/>
    <cellStyle name="Input 2 12 3" xfId="3210" xr:uid="{00000000-0005-0000-0000-00008B1D0000}"/>
    <cellStyle name="Input 2 12 3 2" xfId="7274" xr:uid="{00000000-0005-0000-0000-00008C1D0000}"/>
    <cellStyle name="Input 2 12 3 2 2" xfId="23321" xr:uid="{00000000-0005-0000-0000-00008D1D0000}"/>
    <cellStyle name="Input 2 12 3 3" xfId="13548" xr:uid="{00000000-0005-0000-0000-00008E1D0000}"/>
    <cellStyle name="Input 2 12 3 3 2" xfId="28380" xr:uid="{00000000-0005-0000-0000-00008F1D0000}"/>
    <cellStyle name="Input 2 12 3 4" xfId="21011" xr:uid="{00000000-0005-0000-0000-0000901D0000}"/>
    <cellStyle name="Input 2 12 4" xfId="4514" xr:uid="{00000000-0005-0000-0000-0000911D0000}"/>
    <cellStyle name="Input 2 12 4 2" xfId="8553" xr:uid="{00000000-0005-0000-0000-0000921D0000}"/>
    <cellStyle name="Input 2 12 4 2 2" xfId="24179" xr:uid="{00000000-0005-0000-0000-0000931D0000}"/>
    <cellStyle name="Input 2 12 4 3" xfId="14841" xr:uid="{00000000-0005-0000-0000-0000941D0000}"/>
    <cellStyle name="Input 2 12 4 3 2" xfId="29673" xr:uid="{00000000-0005-0000-0000-0000951D0000}"/>
    <cellStyle name="Input 2 12 4 4" xfId="21739" xr:uid="{00000000-0005-0000-0000-0000961D0000}"/>
    <cellStyle name="Input 2 12 5" xfId="2504" xr:uid="{00000000-0005-0000-0000-0000971D0000}"/>
    <cellStyle name="Input 2 12 5 2" xfId="6610" xr:uid="{00000000-0005-0000-0000-0000981D0000}"/>
    <cellStyle name="Input 2 12 5 2 2" xfId="22948" xr:uid="{00000000-0005-0000-0000-0000991D0000}"/>
    <cellStyle name="Input 2 12 5 3" xfId="12842" xr:uid="{00000000-0005-0000-0000-00009A1D0000}"/>
    <cellStyle name="Input 2 12 5 3 2" xfId="27674" xr:uid="{00000000-0005-0000-0000-00009B1D0000}"/>
    <cellStyle name="Input 2 12 5 4" xfId="20594" xr:uid="{00000000-0005-0000-0000-00009C1D0000}"/>
    <cellStyle name="Input 2 12 6" xfId="5627" xr:uid="{00000000-0005-0000-0000-00009D1D0000}"/>
    <cellStyle name="Input 2 12 6 2" xfId="15862" xr:uid="{00000000-0005-0000-0000-00009E1D0000}"/>
    <cellStyle name="Input 2 12 6 2 2" xfId="30694" xr:uid="{00000000-0005-0000-0000-00009F1D0000}"/>
    <cellStyle name="Input 2 12 6 3" xfId="22323" xr:uid="{00000000-0005-0000-0000-0000A01D0000}"/>
    <cellStyle name="Input 2 12 7" xfId="11886" xr:uid="{00000000-0005-0000-0000-0000A11D0000}"/>
    <cellStyle name="Input 2 12 7 2" xfId="26718" xr:uid="{00000000-0005-0000-0000-0000A21D0000}"/>
    <cellStyle name="Input 2 12 8" xfId="9544" xr:uid="{00000000-0005-0000-0000-0000A31D0000}"/>
    <cellStyle name="Input 2 12 8 2" xfId="19846" xr:uid="{00000000-0005-0000-0000-0000A41D0000}"/>
    <cellStyle name="Input 2 13" xfId="1745" xr:uid="{00000000-0005-0000-0000-0000A51D0000}"/>
    <cellStyle name="Input 2 13 2" xfId="4045" xr:uid="{00000000-0005-0000-0000-0000A61D0000}"/>
    <cellStyle name="Input 2 13 2 2" xfId="8092" xr:uid="{00000000-0005-0000-0000-0000A71D0000}"/>
    <cellStyle name="Input 2 13 2 2 2" xfId="23857" xr:uid="{00000000-0005-0000-0000-0000A81D0000}"/>
    <cellStyle name="Input 2 13 2 3" xfId="14377" xr:uid="{00000000-0005-0000-0000-0000A91D0000}"/>
    <cellStyle name="Input 2 13 2 3 2" xfId="29209" xr:uid="{00000000-0005-0000-0000-0000AA1D0000}"/>
    <cellStyle name="Input 2 13 2 4" xfId="21491" xr:uid="{00000000-0005-0000-0000-0000AB1D0000}"/>
    <cellStyle name="Input 2 13 3" xfId="4723" xr:uid="{00000000-0005-0000-0000-0000AC1D0000}"/>
    <cellStyle name="Input 2 13 3 2" xfId="8762" xr:uid="{00000000-0005-0000-0000-0000AD1D0000}"/>
    <cellStyle name="Input 2 13 3 2 2" xfId="24292" xr:uid="{00000000-0005-0000-0000-0000AE1D0000}"/>
    <cellStyle name="Input 2 13 3 3" xfId="15047" xr:uid="{00000000-0005-0000-0000-0000AF1D0000}"/>
    <cellStyle name="Input 2 13 3 3 2" xfId="29879" xr:uid="{00000000-0005-0000-0000-0000B01D0000}"/>
    <cellStyle name="Input 2 13 3 4" xfId="21830" xr:uid="{00000000-0005-0000-0000-0000B11D0000}"/>
    <cellStyle name="Input 2 13 4" xfId="2713" xr:uid="{00000000-0005-0000-0000-0000B21D0000}"/>
    <cellStyle name="Input 2 13 4 2" xfId="6804" xr:uid="{00000000-0005-0000-0000-0000B31D0000}"/>
    <cellStyle name="Input 2 13 4 2 2" xfId="23043" xr:uid="{00000000-0005-0000-0000-0000B41D0000}"/>
    <cellStyle name="Input 2 13 4 3" xfId="13051" xr:uid="{00000000-0005-0000-0000-0000B51D0000}"/>
    <cellStyle name="Input 2 13 4 3 2" xfId="27883" xr:uid="{00000000-0005-0000-0000-0000B61D0000}"/>
    <cellStyle name="Input 2 13 4 4" xfId="20703" xr:uid="{00000000-0005-0000-0000-0000B71D0000}"/>
    <cellStyle name="Input 2 13 5" xfId="5877" xr:uid="{00000000-0005-0000-0000-0000B81D0000}"/>
    <cellStyle name="Input 2 13 5 2" xfId="16069" xr:uid="{00000000-0005-0000-0000-0000B91D0000}"/>
    <cellStyle name="Input 2 13 5 2 2" xfId="30901" xr:uid="{00000000-0005-0000-0000-0000BA1D0000}"/>
    <cellStyle name="Input 2 13 5 3" xfId="22474" xr:uid="{00000000-0005-0000-0000-0000BB1D0000}"/>
    <cellStyle name="Input 2 13 6" xfId="12139" xr:uid="{00000000-0005-0000-0000-0000BC1D0000}"/>
    <cellStyle name="Input 2 13 6 2" xfId="26971" xr:uid="{00000000-0005-0000-0000-0000BD1D0000}"/>
    <cellStyle name="Input 2 13 7" xfId="9735" xr:uid="{00000000-0005-0000-0000-0000BE1D0000}"/>
    <cellStyle name="Input 2 13 7 2" xfId="20033" xr:uid="{00000000-0005-0000-0000-0000BF1D0000}"/>
    <cellStyle name="Input 2 14" xfId="2221" xr:uid="{00000000-0005-0000-0000-0000C01D0000}"/>
    <cellStyle name="Input 2 14 2" xfId="3444" xr:uid="{00000000-0005-0000-0000-0000C11D0000}"/>
    <cellStyle name="Input 2 14 2 2" xfId="7507" xr:uid="{00000000-0005-0000-0000-0000C21D0000}"/>
    <cellStyle name="Input 2 14 2 2 2" xfId="23480" xr:uid="{00000000-0005-0000-0000-0000C31D0000}"/>
    <cellStyle name="Input 2 14 2 3" xfId="13781" xr:uid="{00000000-0005-0000-0000-0000C41D0000}"/>
    <cellStyle name="Input 2 14 2 3 2" xfId="28613" xr:uid="{00000000-0005-0000-0000-0000C51D0000}"/>
    <cellStyle name="Input 2 14 2 4" xfId="21156" xr:uid="{00000000-0005-0000-0000-0000C61D0000}"/>
    <cellStyle name="Input 2 14 3" xfId="5189" xr:uid="{00000000-0005-0000-0000-0000C71D0000}"/>
    <cellStyle name="Input 2 14 3 2" xfId="9228" xr:uid="{00000000-0005-0000-0000-0000C81D0000}"/>
    <cellStyle name="Input 2 14 3 2 2" xfId="24566" xr:uid="{00000000-0005-0000-0000-0000C91D0000}"/>
    <cellStyle name="Input 2 14 3 3" xfId="15507" xr:uid="{00000000-0005-0000-0000-0000CA1D0000}"/>
    <cellStyle name="Input 2 14 3 3 2" xfId="30339" xr:uid="{00000000-0005-0000-0000-0000CB1D0000}"/>
    <cellStyle name="Input 2 14 3 4" xfId="22073" xr:uid="{00000000-0005-0000-0000-0000CC1D0000}"/>
    <cellStyle name="Input 2 14 4" xfId="4219" xr:uid="{00000000-0005-0000-0000-0000CD1D0000}"/>
    <cellStyle name="Input 2 14 4 2" xfId="8260" xr:uid="{00000000-0005-0000-0000-0000CE1D0000}"/>
    <cellStyle name="Input 2 14 4 2 2" xfId="23955" xr:uid="{00000000-0005-0000-0000-0000CF1D0000}"/>
    <cellStyle name="Input 2 14 4 3" xfId="14551" xr:uid="{00000000-0005-0000-0000-0000D01D0000}"/>
    <cellStyle name="Input 2 14 4 3 2" xfId="29383" xr:uid="{00000000-0005-0000-0000-0000D11D0000}"/>
    <cellStyle name="Input 2 14 4 4" xfId="21580" xr:uid="{00000000-0005-0000-0000-0000D21D0000}"/>
    <cellStyle name="Input 2 14 5" xfId="6335" xr:uid="{00000000-0005-0000-0000-0000D31D0000}"/>
    <cellStyle name="Input 2 14 5 2" xfId="22737" xr:uid="{00000000-0005-0000-0000-0000D41D0000}"/>
    <cellStyle name="Input 2 14 6" xfId="12589" xr:uid="{00000000-0005-0000-0000-0000D51D0000}"/>
    <cellStyle name="Input 2 14 6 2" xfId="27421" xr:uid="{00000000-0005-0000-0000-0000D61D0000}"/>
    <cellStyle name="Input 2 14 7" xfId="20416" xr:uid="{00000000-0005-0000-0000-0000D71D0000}"/>
    <cellStyle name="Input 2 15" xfId="3143" xr:uid="{00000000-0005-0000-0000-0000D81D0000}"/>
    <cellStyle name="Input 2 15 2" xfId="7207" xr:uid="{00000000-0005-0000-0000-0000D91D0000}"/>
    <cellStyle name="Input 2 15 2 2" xfId="23276" xr:uid="{00000000-0005-0000-0000-0000DA1D0000}"/>
    <cellStyle name="Input 2 15 3" xfId="13481" xr:uid="{00000000-0005-0000-0000-0000DB1D0000}"/>
    <cellStyle name="Input 2 15 3 2" xfId="28313" xr:uid="{00000000-0005-0000-0000-0000DC1D0000}"/>
    <cellStyle name="Input 2 15 4" xfId="20967" xr:uid="{00000000-0005-0000-0000-0000DD1D0000}"/>
    <cellStyle name="Input 2 16" xfId="3986" xr:uid="{00000000-0005-0000-0000-0000DE1D0000}"/>
    <cellStyle name="Input 2 16 2" xfId="8034" xr:uid="{00000000-0005-0000-0000-0000DF1D0000}"/>
    <cellStyle name="Input 2 16 2 2" xfId="23823" xr:uid="{00000000-0005-0000-0000-0000E01D0000}"/>
    <cellStyle name="Input 2 16 3" xfId="14319" xr:uid="{00000000-0005-0000-0000-0000E11D0000}"/>
    <cellStyle name="Input 2 16 3 2" xfId="29151" xr:uid="{00000000-0005-0000-0000-0000E21D0000}"/>
    <cellStyle name="Input 2 16 4" xfId="21462" xr:uid="{00000000-0005-0000-0000-0000E31D0000}"/>
    <cellStyle name="Input 2 17" xfId="2283" xr:uid="{00000000-0005-0000-0000-0000E41D0000}"/>
    <cellStyle name="Input 2 17 2" xfId="6395" xr:uid="{00000000-0005-0000-0000-0000E51D0000}"/>
    <cellStyle name="Input 2 17 2 2" xfId="22797" xr:uid="{00000000-0005-0000-0000-0000E61D0000}"/>
    <cellStyle name="Input 2 17 3" xfId="12623" xr:uid="{00000000-0005-0000-0000-0000E71D0000}"/>
    <cellStyle name="Input 2 17 3 2" xfId="27455" xr:uid="{00000000-0005-0000-0000-0000E81D0000}"/>
    <cellStyle name="Input 2 17 4" xfId="20449" xr:uid="{00000000-0005-0000-0000-0000E91D0000}"/>
    <cellStyle name="Input 2 18" xfId="5249" xr:uid="{00000000-0005-0000-0000-0000EA1D0000}"/>
    <cellStyle name="Input 2 18 2" xfId="15565" xr:uid="{00000000-0005-0000-0000-0000EB1D0000}"/>
    <cellStyle name="Input 2 18 2 2" xfId="30397" xr:uid="{00000000-0005-0000-0000-0000EC1D0000}"/>
    <cellStyle name="Input 2 18 3" xfId="22106" xr:uid="{00000000-0005-0000-0000-0000ED1D0000}"/>
    <cellStyle name="Input 2 19" xfId="5407" xr:uid="{00000000-0005-0000-0000-0000EE1D0000}"/>
    <cellStyle name="Input 2 19 2" xfId="15643" xr:uid="{00000000-0005-0000-0000-0000EF1D0000}"/>
    <cellStyle name="Input 2 19 2 2" xfId="30475" xr:uid="{00000000-0005-0000-0000-0000F01D0000}"/>
    <cellStyle name="Input 2 19 3" xfId="22168" xr:uid="{00000000-0005-0000-0000-0000F11D0000}"/>
    <cellStyle name="Input 2 2" xfId="1113" xr:uid="{00000000-0005-0000-0000-0000F21D0000}"/>
    <cellStyle name="Input 2 2 10" xfId="2284" xr:uid="{00000000-0005-0000-0000-0000F31D0000}"/>
    <cellStyle name="Input 2 2 10 2" xfId="6396" xr:uid="{00000000-0005-0000-0000-0000F41D0000}"/>
    <cellStyle name="Input 2 2 10 2 2" xfId="22798" xr:uid="{00000000-0005-0000-0000-0000F51D0000}"/>
    <cellStyle name="Input 2 2 10 3" xfId="12624" xr:uid="{00000000-0005-0000-0000-0000F61D0000}"/>
    <cellStyle name="Input 2 2 10 3 2" xfId="27456" xr:uid="{00000000-0005-0000-0000-0000F71D0000}"/>
    <cellStyle name="Input 2 2 10 4" xfId="20450" xr:uid="{00000000-0005-0000-0000-0000F81D0000}"/>
    <cellStyle name="Input 2 2 11" xfId="5250" xr:uid="{00000000-0005-0000-0000-0000F91D0000}"/>
    <cellStyle name="Input 2 2 11 2" xfId="15566" xr:uid="{00000000-0005-0000-0000-0000FA1D0000}"/>
    <cellStyle name="Input 2 2 11 2 2" xfId="30398" xr:uid="{00000000-0005-0000-0000-0000FB1D0000}"/>
    <cellStyle name="Input 2 2 11 3" xfId="22107" xr:uid="{00000000-0005-0000-0000-0000FC1D0000}"/>
    <cellStyle name="Input 2 2 12" xfId="5408" xr:uid="{00000000-0005-0000-0000-0000FD1D0000}"/>
    <cellStyle name="Input 2 2 12 2" xfId="15644" xr:uid="{00000000-0005-0000-0000-0000FE1D0000}"/>
    <cellStyle name="Input 2 2 12 2 2" xfId="30476" xr:uid="{00000000-0005-0000-0000-0000FF1D0000}"/>
    <cellStyle name="Input 2 2 12 3" xfId="22169" xr:uid="{00000000-0005-0000-0000-0000001E0000}"/>
    <cellStyle name="Input 2 2 13" xfId="9383" xr:uid="{00000000-0005-0000-0000-0000011E0000}"/>
    <cellStyle name="Input 2 2 13 2" xfId="24689" xr:uid="{00000000-0005-0000-0000-0000021E0000}"/>
    <cellStyle name="Input 2 2 14" xfId="5372" xr:uid="{00000000-0005-0000-0000-0000031E0000}"/>
    <cellStyle name="Input 2 2 14 2" xfId="18246" xr:uid="{00000000-0005-0000-0000-0000041E0000}"/>
    <cellStyle name="Input 2 2 2" xfId="1320" xr:uid="{00000000-0005-0000-0000-0000051E0000}"/>
    <cellStyle name="Input 2 2 2 2" xfId="1824" xr:uid="{00000000-0005-0000-0000-0000061E0000}"/>
    <cellStyle name="Input 2 2 2 2 2" xfId="3642" xr:uid="{00000000-0005-0000-0000-0000071E0000}"/>
    <cellStyle name="Input 2 2 2 2 2 2" xfId="7701" xr:uid="{00000000-0005-0000-0000-0000081E0000}"/>
    <cellStyle name="Input 2 2 2 2 2 2 2" xfId="23601" xr:uid="{00000000-0005-0000-0000-0000091E0000}"/>
    <cellStyle name="Input 2 2 2 2 2 3" xfId="13977" xr:uid="{00000000-0005-0000-0000-00000A1E0000}"/>
    <cellStyle name="Input 2 2 2 2 2 3 2" xfId="28809" xr:uid="{00000000-0005-0000-0000-00000B1E0000}"/>
    <cellStyle name="Input 2 2 2 2 2 4" xfId="21267" xr:uid="{00000000-0005-0000-0000-00000C1E0000}"/>
    <cellStyle name="Input 2 2 2 2 3" xfId="4802" xr:uid="{00000000-0005-0000-0000-00000D1E0000}"/>
    <cellStyle name="Input 2 2 2 2 3 2" xfId="8841" xr:uid="{00000000-0005-0000-0000-00000E1E0000}"/>
    <cellStyle name="Input 2 2 2 2 3 2 2" xfId="24339" xr:uid="{00000000-0005-0000-0000-00000F1E0000}"/>
    <cellStyle name="Input 2 2 2 2 3 3" xfId="15126" xr:uid="{00000000-0005-0000-0000-0000101E0000}"/>
    <cellStyle name="Input 2 2 2 2 3 3 2" xfId="29958" xr:uid="{00000000-0005-0000-0000-0000111E0000}"/>
    <cellStyle name="Input 2 2 2 2 3 4" xfId="21877" xr:uid="{00000000-0005-0000-0000-0000121E0000}"/>
    <cellStyle name="Input 2 2 2 2 4" xfId="2792" xr:uid="{00000000-0005-0000-0000-0000131E0000}"/>
    <cellStyle name="Input 2 2 2 2 4 2" xfId="6883" xr:uid="{00000000-0005-0000-0000-0000141E0000}"/>
    <cellStyle name="Input 2 2 2 2 4 2 2" xfId="23090" xr:uid="{00000000-0005-0000-0000-0000151E0000}"/>
    <cellStyle name="Input 2 2 2 2 4 3" xfId="13130" xr:uid="{00000000-0005-0000-0000-0000161E0000}"/>
    <cellStyle name="Input 2 2 2 2 4 3 2" xfId="27962" xr:uid="{00000000-0005-0000-0000-0000171E0000}"/>
    <cellStyle name="Input 2 2 2 2 4 4" xfId="20750" xr:uid="{00000000-0005-0000-0000-0000181E0000}"/>
    <cellStyle name="Input 2 2 2 2 5" xfId="5956" xr:uid="{00000000-0005-0000-0000-0000191E0000}"/>
    <cellStyle name="Input 2 2 2 2 5 2" xfId="16148" xr:uid="{00000000-0005-0000-0000-00001A1E0000}"/>
    <cellStyle name="Input 2 2 2 2 5 2 2" xfId="30980" xr:uid="{00000000-0005-0000-0000-00001B1E0000}"/>
    <cellStyle name="Input 2 2 2 2 5 3" xfId="22521" xr:uid="{00000000-0005-0000-0000-00001C1E0000}"/>
    <cellStyle name="Input 2 2 2 2 6" xfId="12218" xr:uid="{00000000-0005-0000-0000-00001D1E0000}"/>
    <cellStyle name="Input 2 2 2 2 6 2" xfId="27050" xr:uid="{00000000-0005-0000-0000-00001E1E0000}"/>
    <cellStyle name="Input 2 2 2 2 7" xfId="9814" xr:uid="{00000000-0005-0000-0000-00001F1E0000}"/>
    <cellStyle name="Input 2 2 2 2 7 2" xfId="20065" xr:uid="{00000000-0005-0000-0000-0000201E0000}"/>
    <cellStyle name="Input 2 2 2 3" xfId="3268" xr:uid="{00000000-0005-0000-0000-0000211E0000}"/>
    <cellStyle name="Input 2 2 2 3 2" xfId="7332" xr:uid="{00000000-0005-0000-0000-0000221E0000}"/>
    <cellStyle name="Input 2 2 2 3 2 2" xfId="23365" xr:uid="{00000000-0005-0000-0000-0000231E0000}"/>
    <cellStyle name="Input 2 2 2 3 3" xfId="13605" xr:uid="{00000000-0005-0000-0000-0000241E0000}"/>
    <cellStyle name="Input 2 2 2 3 3 2" xfId="28437" xr:uid="{00000000-0005-0000-0000-0000251E0000}"/>
    <cellStyle name="Input 2 2 2 3 4" xfId="21052" xr:uid="{00000000-0005-0000-0000-0000261E0000}"/>
    <cellStyle name="Input 2 2 2 4" xfId="4382" xr:uid="{00000000-0005-0000-0000-0000271E0000}"/>
    <cellStyle name="Input 2 2 2 4 2" xfId="8421" xr:uid="{00000000-0005-0000-0000-0000281E0000}"/>
    <cellStyle name="Input 2 2 2 4 2 2" xfId="24079" xr:uid="{00000000-0005-0000-0000-0000291E0000}"/>
    <cellStyle name="Input 2 2 2 4 3" xfId="14711" xr:uid="{00000000-0005-0000-0000-00002A1E0000}"/>
    <cellStyle name="Input 2 2 2 4 3 2" xfId="29543" xr:uid="{00000000-0005-0000-0000-00002B1E0000}"/>
    <cellStyle name="Input 2 2 2 4 4" xfId="21647" xr:uid="{00000000-0005-0000-0000-00002C1E0000}"/>
    <cellStyle name="Input 2 2 2 5" xfId="2372" xr:uid="{00000000-0005-0000-0000-00002D1E0000}"/>
    <cellStyle name="Input 2 2 2 5 2" xfId="6484" xr:uid="{00000000-0005-0000-0000-00002E1E0000}"/>
    <cellStyle name="Input 2 2 2 5 2 2" xfId="22854" xr:uid="{00000000-0005-0000-0000-00002F1E0000}"/>
    <cellStyle name="Input 2 2 2 5 3" xfId="12711" xr:uid="{00000000-0005-0000-0000-0000301E0000}"/>
    <cellStyle name="Input 2 2 2 5 3 2" xfId="27543" xr:uid="{00000000-0005-0000-0000-0000311E0000}"/>
    <cellStyle name="Input 2 2 2 5 4" xfId="20496" xr:uid="{00000000-0005-0000-0000-0000321E0000}"/>
    <cellStyle name="Input 2 2 2 6" xfId="5497" xr:uid="{00000000-0005-0000-0000-0000331E0000}"/>
    <cellStyle name="Input 2 2 2 6 2" xfId="15732" xr:uid="{00000000-0005-0000-0000-0000341E0000}"/>
    <cellStyle name="Input 2 2 2 6 2 2" xfId="30564" xr:uid="{00000000-0005-0000-0000-0000351E0000}"/>
    <cellStyle name="Input 2 2 2 6 3" xfId="22225" xr:uid="{00000000-0005-0000-0000-0000361E0000}"/>
    <cellStyle name="Input 2 2 2 7" xfId="11747" xr:uid="{00000000-0005-0000-0000-0000371E0000}"/>
    <cellStyle name="Input 2 2 2 7 2" xfId="26579" xr:uid="{00000000-0005-0000-0000-0000381E0000}"/>
    <cellStyle name="Input 2 2 2 8" xfId="9418" xr:uid="{00000000-0005-0000-0000-0000391E0000}"/>
    <cellStyle name="Input 2 2 2 8 2" xfId="19722" xr:uid="{00000000-0005-0000-0000-00003A1E0000}"/>
    <cellStyle name="Input 2 2 3" xfId="1478" xr:uid="{00000000-0005-0000-0000-00003B1E0000}"/>
    <cellStyle name="Input 2 2 3 2" xfId="1979" xr:uid="{00000000-0005-0000-0000-00003C1E0000}"/>
    <cellStyle name="Input 2 2 3 2 2" xfId="3604" xr:uid="{00000000-0005-0000-0000-00003D1E0000}"/>
    <cellStyle name="Input 2 2 3 2 2 2" xfId="7665" xr:uid="{00000000-0005-0000-0000-00003E1E0000}"/>
    <cellStyle name="Input 2 2 3 2 2 2 2" xfId="23576" xr:uid="{00000000-0005-0000-0000-00003F1E0000}"/>
    <cellStyle name="Input 2 2 3 2 2 3" xfId="13940" xr:uid="{00000000-0005-0000-0000-0000401E0000}"/>
    <cellStyle name="Input 2 2 3 2 2 3 2" xfId="28772" xr:uid="{00000000-0005-0000-0000-0000411E0000}"/>
    <cellStyle name="Input 2 2 3 2 2 4" xfId="21246" xr:uid="{00000000-0005-0000-0000-0000421E0000}"/>
    <cellStyle name="Input 2 2 3 2 3" xfId="4943" xr:uid="{00000000-0005-0000-0000-0000431E0000}"/>
    <cellStyle name="Input 2 2 3 2 3 2" xfId="8982" xr:uid="{00000000-0005-0000-0000-0000441E0000}"/>
    <cellStyle name="Input 2 2 3 2 3 2 2" xfId="24448" xr:uid="{00000000-0005-0000-0000-0000451E0000}"/>
    <cellStyle name="Input 2 2 3 2 3 3" xfId="15265" xr:uid="{00000000-0005-0000-0000-0000461E0000}"/>
    <cellStyle name="Input 2 2 3 2 3 3 2" xfId="30097" xr:uid="{00000000-0005-0000-0000-0000471E0000}"/>
    <cellStyle name="Input 2 2 3 2 3 4" xfId="21978" xr:uid="{00000000-0005-0000-0000-0000481E0000}"/>
    <cellStyle name="Input 2 2 3 2 4" xfId="2933" xr:uid="{00000000-0005-0000-0000-0000491E0000}"/>
    <cellStyle name="Input 2 2 3 2 4 2" xfId="7017" xr:uid="{00000000-0005-0000-0000-00004A1E0000}"/>
    <cellStyle name="Input 2 2 3 2 4 2 2" xfId="23191" xr:uid="{00000000-0005-0000-0000-00004B1E0000}"/>
    <cellStyle name="Input 2 2 3 2 4 3" xfId="13271" xr:uid="{00000000-0005-0000-0000-00004C1E0000}"/>
    <cellStyle name="Input 2 2 3 2 4 3 2" xfId="28103" xr:uid="{00000000-0005-0000-0000-00004D1E0000}"/>
    <cellStyle name="Input 2 2 3 2 4 4" xfId="20859" xr:uid="{00000000-0005-0000-0000-00004E1E0000}"/>
    <cellStyle name="Input 2 2 3 2 5" xfId="6109" xr:uid="{00000000-0005-0000-0000-00004F1E0000}"/>
    <cellStyle name="Input 2 2 3 2 5 2" xfId="16296" xr:uid="{00000000-0005-0000-0000-0000501E0000}"/>
    <cellStyle name="Input 2 2 3 2 5 2 2" xfId="31128" xr:uid="{00000000-0005-0000-0000-0000511E0000}"/>
    <cellStyle name="Input 2 2 3 2 5 3" xfId="22642" xr:uid="{00000000-0005-0000-0000-0000521E0000}"/>
    <cellStyle name="Input 2 2 3 2 6" xfId="12366" xr:uid="{00000000-0005-0000-0000-0000531E0000}"/>
    <cellStyle name="Input 2 2 3 2 6 2" xfId="27198" xr:uid="{00000000-0005-0000-0000-0000541E0000}"/>
    <cellStyle name="Input 2 2 3 2 7" xfId="9948" xr:uid="{00000000-0005-0000-0000-0000551E0000}"/>
    <cellStyle name="Input 2 2 3 2 7 2" xfId="20150" xr:uid="{00000000-0005-0000-0000-0000561E0000}"/>
    <cellStyle name="Input 2 2 3 3" xfId="3245" xr:uid="{00000000-0005-0000-0000-0000571E0000}"/>
    <cellStyle name="Input 2 2 3 3 2" xfId="7309" xr:uid="{00000000-0005-0000-0000-0000581E0000}"/>
    <cellStyle name="Input 2 2 3 3 2 2" xfId="23348" xr:uid="{00000000-0005-0000-0000-0000591E0000}"/>
    <cellStyle name="Input 2 2 3 3 3" xfId="13582" xr:uid="{00000000-0005-0000-0000-00005A1E0000}"/>
    <cellStyle name="Input 2 2 3 3 3 2" xfId="28414" xr:uid="{00000000-0005-0000-0000-00005B1E0000}"/>
    <cellStyle name="Input 2 2 3 3 4" xfId="21035" xr:uid="{00000000-0005-0000-0000-00005C1E0000}"/>
    <cellStyle name="Input 2 2 3 4" xfId="4523" xr:uid="{00000000-0005-0000-0000-00005D1E0000}"/>
    <cellStyle name="Input 2 2 3 4 2" xfId="8562" xr:uid="{00000000-0005-0000-0000-00005E1E0000}"/>
    <cellStyle name="Input 2 2 3 4 2 2" xfId="24188" xr:uid="{00000000-0005-0000-0000-00005F1E0000}"/>
    <cellStyle name="Input 2 2 3 4 3" xfId="14850" xr:uid="{00000000-0005-0000-0000-0000601E0000}"/>
    <cellStyle name="Input 2 2 3 4 3 2" xfId="29682" xr:uid="{00000000-0005-0000-0000-0000611E0000}"/>
    <cellStyle name="Input 2 2 3 4 4" xfId="21748" xr:uid="{00000000-0005-0000-0000-0000621E0000}"/>
    <cellStyle name="Input 2 2 3 5" xfId="2513" xr:uid="{00000000-0005-0000-0000-0000631E0000}"/>
    <cellStyle name="Input 2 2 3 5 2" xfId="6619" xr:uid="{00000000-0005-0000-0000-0000641E0000}"/>
    <cellStyle name="Input 2 2 3 5 2 2" xfId="22957" xr:uid="{00000000-0005-0000-0000-0000651E0000}"/>
    <cellStyle name="Input 2 2 3 5 3" xfId="12851" xr:uid="{00000000-0005-0000-0000-0000661E0000}"/>
    <cellStyle name="Input 2 2 3 5 3 2" xfId="27683" xr:uid="{00000000-0005-0000-0000-0000671E0000}"/>
    <cellStyle name="Input 2 2 3 5 4" xfId="20603" xr:uid="{00000000-0005-0000-0000-0000681E0000}"/>
    <cellStyle name="Input 2 2 3 6" xfId="5636" xr:uid="{00000000-0005-0000-0000-0000691E0000}"/>
    <cellStyle name="Input 2 2 3 6 2" xfId="15871" xr:uid="{00000000-0005-0000-0000-00006A1E0000}"/>
    <cellStyle name="Input 2 2 3 6 2 2" xfId="30703" xr:uid="{00000000-0005-0000-0000-00006B1E0000}"/>
    <cellStyle name="Input 2 2 3 6 3" xfId="22332" xr:uid="{00000000-0005-0000-0000-00006C1E0000}"/>
    <cellStyle name="Input 2 2 3 7" xfId="11895" xr:uid="{00000000-0005-0000-0000-00006D1E0000}"/>
    <cellStyle name="Input 2 2 3 7 2" xfId="26727" xr:uid="{00000000-0005-0000-0000-00006E1E0000}"/>
    <cellStyle name="Input 2 2 3 8" xfId="9553" xr:uid="{00000000-0005-0000-0000-00006F1E0000}"/>
    <cellStyle name="Input 2 2 3 8 2" xfId="19855" xr:uid="{00000000-0005-0000-0000-0000701E0000}"/>
    <cellStyle name="Input 2 2 4" xfId="1399" xr:uid="{00000000-0005-0000-0000-0000711E0000}"/>
    <cellStyle name="Input 2 2 4 2" xfId="1901" xr:uid="{00000000-0005-0000-0000-0000721E0000}"/>
    <cellStyle name="Input 2 2 4 2 2" xfId="3848" xr:uid="{00000000-0005-0000-0000-0000731E0000}"/>
    <cellStyle name="Input 2 2 4 2 2 2" xfId="7901" xr:uid="{00000000-0005-0000-0000-0000741E0000}"/>
    <cellStyle name="Input 2 2 4 2 2 2 2" xfId="23738" xr:uid="{00000000-0005-0000-0000-0000751E0000}"/>
    <cellStyle name="Input 2 2 4 2 2 3" xfId="14183" xr:uid="{00000000-0005-0000-0000-0000761E0000}"/>
    <cellStyle name="Input 2 2 4 2 2 3 2" xfId="29015" xr:uid="{00000000-0005-0000-0000-0000771E0000}"/>
    <cellStyle name="Input 2 2 4 2 2 4" xfId="21384" xr:uid="{00000000-0005-0000-0000-0000781E0000}"/>
    <cellStyle name="Input 2 2 4 2 3" xfId="4879" xr:uid="{00000000-0005-0000-0000-0000791E0000}"/>
    <cellStyle name="Input 2 2 4 2 3 2" xfId="8918" xr:uid="{00000000-0005-0000-0000-00007A1E0000}"/>
    <cellStyle name="Input 2 2 4 2 3 2 2" xfId="24384" xr:uid="{00000000-0005-0000-0000-00007B1E0000}"/>
    <cellStyle name="Input 2 2 4 2 3 3" xfId="15202" xr:uid="{00000000-0005-0000-0000-00007C1E0000}"/>
    <cellStyle name="Input 2 2 4 2 3 3 2" xfId="30034" xr:uid="{00000000-0005-0000-0000-00007D1E0000}"/>
    <cellStyle name="Input 2 2 4 2 3 4" xfId="21916" xr:uid="{00000000-0005-0000-0000-00007E1E0000}"/>
    <cellStyle name="Input 2 2 4 2 4" xfId="2869" xr:uid="{00000000-0005-0000-0000-00007F1E0000}"/>
    <cellStyle name="Input 2 2 4 2 4 2" xfId="6954" xr:uid="{00000000-0005-0000-0000-0000801E0000}"/>
    <cellStyle name="Input 2 2 4 2 4 2 2" xfId="23129" xr:uid="{00000000-0005-0000-0000-0000811E0000}"/>
    <cellStyle name="Input 2 2 4 2 4 3" xfId="13207" xr:uid="{00000000-0005-0000-0000-0000821E0000}"/>
    <cellStyle name="Input 2 2 4 2 4 3 2" xfId="28039" xr:uid="{00000000-0005-0000-0000-0000831E0000}"/>
    <cellStyle name="Input 2 2 4 2 4 4" xfId="20795" xr:uid="{00000000-0005-0000-0000-0000841E0000}"/>
    <cellStyle name="Input 2 2 4 2 5" xfId="6032" xr:uid="{00000000-0005-0000-0000-0000851E0000}"/>
    <cellStyle name="Input 2 2 4 2 5 2" xfId="16219" xr:uid="{00000000-0005-0000-0000-0000861E0000}"/>
    <cellStyle name="Input 2 2 4 2 5 2 2" xfId="31051" xr:uid="{00000000-0005-0000-0000-0000871E0000}"/>
    <cellStyle name="Input 2 2 4 2 5 3" xfId="22565" xr:uid="{00000000-0005-0000-0000-0000881E0000}"/>
    <cellStyle name="Input 2 2 4 2 6" xfId="12289" xr:uid="{00000000-0005-0000-0000-0000891E0000}"/>
    <cellStyle name="Input 2 2 4 2 6 2" xfId="27121" xr:uid="{00000000-0005-0000-0000-00008A1E0000}"/>
    <cellStyle name="Input 2 2 4 2 7" xfId="9885" xr:uid="{00000000-0005-0000-0000-00008B1E0000}"/>
    <cellStyle name="Input 2 2 4 2 7 2" xfId="20089" xr:uid="{00000000-0005-0000-0000-00008C1E0000}"/>
    <cellStyle name="Input 2 2 4 3" xfId="3223" xr:uid="{00000000-0005-0000-0000-00008D1E0000}"/>
    <cellStyle name="Input 2 2 4 3 2" xfId="7287" xr:uid="{00000000-0005-0000-0000-00008E1E0000}"/>
    <cellStyle name="Input 2 2 4 3 2 2" xfId="23330" xr:uid="{00000000-0005-0000-0000-00008F1E0000}"/>
    <cellStyle name="Input 2 2 4 3 3" xfId="13561" xr:uid="{00000000-0005-0000-0000-0000901E0000}"/>
    <cellStyle name="Input 2 2 4 3 3 2" xfId="28393" xr:uid="{00000000-0005-0000-0000-0000911E0000}"/>
    <cellStyle name="Input 2 2 4 3 4" xfId="21019" xr:uid="{00000000-0005-0000-0000-0000921E0000}"/>
    <cellStyle name="Input 2 2 4 4" xfId="4459" xr:uid="{00000000-0005-0000-0000-0000931E0000}"/>
    <cellStyle name="Input 2 2 4 4 2" xfId="8498" xr:uid="{00000000-0005-0000-0000-0000941E0000}"/>
    <cellStyle name="Input 2 2 4 4 2 2" xfId="24124" xr:uid="{00000000-0005-0000-0000-0000951E0000}"/>
    <cellStyle name="Input 2 2 4 4 3" xfId="14787" xr:uid="{00000000-0005-0000-0000-0000961E0000}"/>
    <cellStyle name="Input 2 2 4 4 3 2" xfId="29619" xr:uid="{00000000-0005-0000-0000-0000971E0000}"/>
    <cellStyle name="Input 2 2 4 4 4" xfId="21686" xr:uid="{00000000-0005-0000-0000-0000981E0000}"/>
    <cellStyle name="Input 2 2 4 5" xfId="2449" xr:uid="{00000000-0005-0000-0000-0000991E0000}"/>
    <cellStyle name="Input 2 2 4 5 2" xfId="6555" xr:uid="{00000000-0005-0000-0000-00009A1E0000}"/>
    <cellStyle name="Input 2 2 4 5 2 2" xfId="22893" xr:uid="{00000000-0005-0000-0000-00009B1E0000}"/>
    <cellStyle name="Input 2 2 4 5 3" xfId="12788" xr:uid="{00000000-0005-0000-0000-00009C1E0000}"/>
    <cellStyle name="Input 2 2 4 5 3 2" xfId="27620" xr:uid="{00000000-0005-0000-0000-00009D1E0000}"/>
    <cellStyle name="Input 2 2 4 5 4" xfId="20541" xr:uid="{00000000-0005-0000-0000-00009E1E0000}"/>
    <cellStyle name="Input 2 2 4 6" xfId="5573" xr:uid="{00000000-0005-0000-0000-00009F1E0000}"/>
    <cellStyle name="Input 2 2 4 6 2" xfId="15808" xr:uid="{00000000-0005-0000-0000-0000A01E0000}"/>
    <cellStyle name="Input 2 2 4 6 2 2" xfId="30640" xr:uid="{00000000-0005-0000-0000-0000A11E0000}"/>
    <cellStyle name="Input 2 2 4 6 3" xfId="22269" xr:uid="{00000000-0005-0000-0000-0000A21E0000}"/>
    <cellStyle name="Input 2 2 4 7" xfId="11818" xr:uid="{00000000-0005-0000-0000-0000A31E0000}"/>
    <cellStyle name="Input 2 2 4 7 2" xfId="26650" xr:uid="{00000000-0005-0000-0000-0000A41E0000}"/>
    <cellStyle name="Input 2 2 4 8" xfId="9490" xr:uid="{00000000-0005-0000-0000-0000A51E0000}"/>
    <cellStyle name="Input 2 2 4 8 2" xfId="19793" xr:uid="{00000000-0005-0000-0000-0000A61E0000}"/>
    <cellStyle name="Input 2 2 5" xfId="1390" xr:uid="{00000000-0005-0000-0000-0000A71E0000}"/>
    <cellStyle name="Input 2 2 5 2" xfId="1892" xr:uid="{00000000-0005-0000-0000-0000A81E0000}"/>
    <cellStyle name="Input 2 2 5 2 2" xfId="3612" xr:uid="{00000000-0005-0000-0000-0000A91E0000}"/>
    <cellStyle name="Input 2 2 5 2 2 2" xfId="7673" xr:uid="{00000000-0005-0000-0000-0000AA1E0000}"/>
    <cellStyle name="Input 2 2 5 2 2 2 2" xfId="23583" xr:uid="{00000000-0005-0000-0000-0000AB1E0000}"/>
    <cellStyle name="Input 2 2 5 2 2 3" xfId="13947" xr:uid="{00000000-0005-0000-0000-0000AC1E0000}"/>
    <cellStyle name="Input 2 2 5 2 2 3 2" xfId="28779" xr:uid="{00000000-0005-0000-0000-0000AD1E0000}"/>
    <cellStyle name="Input 2 2 5 2 2 4" xfId="21251" xr:uid="{00000000-0005-0000-0000-0000AE1E0000}"/>
    <cellStyle name="Input 2 2 5 2 3" xfId="4870" xr:uid="{00000000-0005-0000-0000-0000AF1E0000}"/>
    <cellStyle name="Input 2 2 5 2 3 2" xfId="8909" xr:uid="{00000000-0005-0000-0000-0000B01E0000}"/>
    <cellStyle name="Input 2 2 5 2 3 2 2" xfId="24375" xr:uid="{00000000-0005-0000-0000-0000B11E0000}"/>
    <cellStyle name="Input 2 2 5 2 3 3" xfId="15193" xr:uid="{00000000-0005-0000-0000-0000B21E0000}"/>
    <cellStyle name="Input 2 2 5 2 3 3 2" xfId="30025" xr:uid="{00000000-0005-0000-0000-0000B31E0000}"/>
    <cellStyle name="Input 2 2 5 2 3 4" xfId="21907" xr:uid="{00000000-0005-0000-0000-0000B41E0000}"/>
    <cellStyle name="Input 2 2 5 2 4" xfId="2860" xr:uid="{00000000-0005-0000-0000-0000B51E0000}"/>
    <cellStyle name="Input 2 2 5 2 4 2" xfId="6945" xr:uid="{00000000-0005-0000-0000-0000B61E0000}"/>
    <cellStyle name="Input 2 2 5 2 4 2 2" xfId="23120" xr:uid="{00000000-0005-0000-0000-0000B71E0000}"/>
    <cellStyle name="Input 2 2 5 2 4 3" xfId="13198" xr:uid="{00000000-0005-0000-0000-0000B81E0000}"/>
    <cellStyle name="Input 2 2 5 2 4 3 2" xfId="28030" xr:uid="{00000000-0005-0000-0000-0000B91E0000}"/>
    <cellStyle name="Input 2 2 5 2 4 4" xfId="20786" xr:uid="{00000000-0005-0000-0000-0000BA1E0000}"/>
    <cellStyle name="Input 2 2 5 2 5" xfId="6023" xr:uid="{00000000-0005-0000-0000-0000BB1E0000}"/>
    <cellStyle name="Input 2 2 5 2 5 2" xfId="16210" xr:uid="{00000000-0005-0000-0000-0000BC1E0000}"/>
    <cellStyle name="Input 2 2 5 2 5 2 2" xfId="31042" xr:uid="{00000000-0005-0000-0000-0000BD1E0000}"/>
    <cellStyle name="Input 2 2 5 2 5 3" xfId="22556" xr:uid="{00000000-0005-0000-0000-0000BE1E0000}"/>
    <cellStyle name="Input 2 2 5 2 6" xfId="12280" xr:uid="{00000000-0005-0000-0000-0000BF1E0000}"/>
    <cellStyle name="Input 2 2 5 2 6 2" xfId="27112" xr:uid="{00000000-0005-0000-0000-0000C01E0000}"/>
    <cellStyle name="Input 2 2 5 2 7" xfId="9876" xr:uid="{00000000-0005-0000-0000-0000C11E0000}"/>
    <cellStyle name="Input 2 2 5 2 7 2" xfId="20080" xr:uid="{00000000-0005-0000-0000-0000C21E0000}"/>
    <cellStyle name="Input 2 2 5 3" xfId="3898" xr:uid="{00000000-0005-0000-0000-0000C31E0000}"/>
    <cellStyle name="Input 2 2 5 3 2" xfId="7949" xr:uid="{00000000-0005-0000-0000-0000C41E0000}"/>
    <cellStyle name="Input 2 2 5 3 2 2" xfId="23768" xr:uid="{00000000-0005-0000-0000-0000C51E0000}"/>
    <cellStyle name="Input 2 2 5 3 3" xfId="14231" xr:uid="{00000000-0005-0000-0000-0000C61E0000}"/>
    <cellStyle name="Input 2 2 5 3 3 2" xfId="29063" xr:uid="{00000000-0005-0000-0000-0000C71E0000}"/>
    <cellStyle name="Input 2 2 5 3 4" xfId="21409" xr:uid="{00000000-0005-0000-0000-0000C81E0000}"/>
    <cellStyle name="Input 2 2 5 4" xfId="4450" xr:uid="{00000000-0005-0000-0000-0000C91E0000}"/>
    <cellStyle name="Input 2 2 5 4 2" xfId="8489" xr:uid="{00000000-0005-0000-0000-0000CA1E0000}"/>
    <cellStyle name="Input 2 2 5 4 2 2" xfId="24115" xr:uid="{00000000-0005-0000-0000-0000CB1E0000}"/>
    <cellStyle name="Input 2 2 5 4 3" xfId="14778" xr:uid="{00000000-0005-0000-0000-0000CC1E0000}"/>
    <cellStyle name="Input 2 2 5 4 3 2" xfId="29610" xr:uid="{00000000-0005-0000-0000-0000CD1E0000}"/>
    <cellStyle name="Input 2 2 5 4 4" xfId="21677" xr:uid="{00000000-0005-0000-0000-0000CE1E0000}"/>
    <cellStyle name="Input 2 2 5 5" xfId="2440" xr:uid="{00000000-0005-0000-0000-0000CF1E0000}"/>
    <cellStyle name="Input 2 2 5 5 2" xfId="6546" xr:uid="{00000000-0005-0000-0000-0000D01E0000}"/>
    <cellStyle name="Input 2 2 5 5 2 2" xfId="22884" xr:uid="{00000000-0005-0000-0000-0000D11E0000}"/>
    <cellStyle name="Input 2 2 5 5 3" xfId="12779" xr:uid="{00000000-0005-0000-0000-0000D21E0000}"/>
    <cellStyle name="Input 2 2 5 5 3 2" xfId="27611" xr:uid="{00000000-0005-0000-0000-0000D31E0000}"/>
    <cellStyle name="Input 2 2 5 5 4" xfId="20532" xr:uid="{00000000-0005-0000-0000-0000D41E0000}"/>
    <cellStyle name="Input 2 2 5 6" xfId="5564" xr:uid="{00000000-0005-0000-0000-0000D51E0000}"/>
    <cellStyle name="Input 2 2 5 6 2" xfId="15799" xr:uid="{00000000-0005-0000-0000-0000D61E0000}"/>
    <cellStyle name="Input 2 2 5 6 2 2" xfId="30631" xr:uid="{00000000-0005-0000-0000-0000D71E0000}"/>
    <cellStyle name="Input 2 2 5 6 3" xfId="22260" xr:uid="{00000000-0005-0000-0000-0000D81E0000}"/>
    <cellStyle name="Input 2 2 5 7" xfId="11809" xr:uid="{00000000-0005-0000-0000-0000D91E0000}"/>
    <cellStyle name="Input 2 2 5 7 2" xfId="26641" xr:uid="{00000000-0005-0000-0000-0000DA1E0000}"/>
    <cellStyle name="Input 2 2 5 8" xfId="9481" xr:uid="{00000000-0005-0000-0000-0000DB1E0000}"/>
    <cellStyle name="Input 2 2 5 8 2" xfId="19784" xr:uid="{00000000-0005-0000-0000-0000DC1E0000}"/>
    <cellStyle name="Input 2 2 6" xfId="1746" xr:uid="{00000000-0005-0000-0000-0000DD1E0000}"/>
    <cellStyle name="Input 2 2 6 2" xfId="3472" xr:uid="{00000000-0005-0000-0000-0000DE1E0000}"/>
    <cellStyle name="Input 2 2 6 2 2" xfId="7534" xr:uid="{00000000-0005-0000-0000-0000DF1E0000}"/>
    <cellStyle name="Input 2 2 6 2 2 2" xfId="23501" xr:uid="{00000000-0005-0000-0000-0000E01E0000}"/>
    <cellStyle name="Input 2 2 6 2 3" xfId="13809" xr:uid="{00000000-0005-0000-0000-0000E11E0000}"/>
    <cellStyle name="Input 2 2 6 2 3 2" xfId="28641" xr:uid="{00000000-0005-0000-0000-0000E21E0000}"/>
    <cellStyle name="Input 2 2 6 2 4" xfId="21177" xr:uid="{00000000-0005-0000-0000-0000E31E0000}"/>
    <cellStyle name="Input 2 2 6 3" xfId="4724" xr:uid="{00000000-0005-0000-0000-0000E41E0000}"/>
    <cellStyle name="Input 2 2 6 3 2" xfId="8763" xr:uid="{00000000-0005-0000-0000-0000E51E0000}"/>
    <cellStyle name="Input 2 2 6 3 2 2" xfId="24293" xr:uid="{00000000-0005-0000-0000-0000E61E0000}"/>
    <cellStyle name="Input 2 2 6 3 3" xfId="15048" xr:uid="{00000000-0005-0000-0000-0000E71E0000}"/>
    <cellStyle name="Input 2 2 6 3 3 2" xfId="29880" xr:uid="{00000000-0005-0000-0000-0000E81E0000}"/>
    <cellStyle name="Input 2 2 6 3 4" xfId="21831" xr:uid="{00000000-0005-0000-0000-0000E91E0000}"/>
    <cellStyle name="Input 2 2 6 4" xfId="2714" xr:uid="{00000000-0005-0000-0000-0000EA1E0000}"/>
    <cellStyle name="Input 2 2 6 4 2" xfId="6805" xr:uid="{00000000-0005-0000-0000-0000EB1E0000}"/>
    <cellStyle name="Input 2 2 6 4 2 2" xfId="23044" xr:uid="{00000000-0005-0000-0000-0000EC1E0000}"/>
    <cellStyle name="Input 2 2 6 4 3" xfId="13052" xr:uid="{00000000-0005-0000-0000-0000ED1E0000}"/>
    <cellStyle name="Input 2 2 6 4 3 2" xfId="27884" xr:uid="{00000000-0005-0000-0000-0000EE1E0000}"/>
    <cellStyle name="Input 2 2 6 4 4" xfId="20704" xr:uid="{00000000-0005-0000-0000-0000EF1E0000}"/>
    <cellStyle name="Input 2 2 6 5" xfId="5878" xr:uid="{00000000-0005-0000-0000-0000F01E0000}"/>
    <cellStyle name="Input 2 2 6 5 2" xfId="16070" xr:uid="{00000000-0005-0000-0000-0000F11E0000}"/>
    <cellStyle name="Input 2 2 6 5 2 2" xfId="30902" xr:uid="{00000000-0005-0000-0000-0000F21E0000}"/>
    <cellStyle name="Input 2 2 6 5 3" xfId="22475" xr:uid="{00000000-0005-0000-0000-0000F31E0000}"/>
    <cellStyle name="Input 2 2 6 6" xfId="12140" xr:uid="{00000000-0005-0000-0000-0000F41E0000}"/>
    <cellStyle name="Input 2 2 6 6 2" xfId="26972" xr:uid="{00000000-0005-0000-0000-0000F51E0000}"/>
    <cellStyle name="Input 2 2 6 7" xfId="9736" xr:uid="{00000000-0005-0000-0000-0000F61E0000}"/>
    <cellStyle name="Input 2 2 6 7 2" xfId="20034" xr:uid="{00000000-0005-0000-0000-0000F71E0000}"/>
    <cellStyle name="Input 2 2 7" xfId="2220" xr:uid="{00000000-0005-0000-0000-0000F81E0000}"/>
    <cellStyle name="Input 2 2 7 2" xfId="3423" xr:uid="{00000000-0005-0000-0000-0000F91E0000}"/>
    <cellStyle name="Input 2 2 7 2 2" xfId="7486" xr:uid="{00000000-0005-0000-0000-0000FA1E0000}"/>
    <cellStyle name="Input 2 2 7 2 2 2" xfId="23466" xr:uid="{00000000-0005-0000-0000-0000FB1E0000}"/>
    <cellStyle name="Input 2 2 7 2 3" xfId="13760" xr:uid="{00000000-0005-0000-0000-0000FC1E0000}"/>
    <cellStyle name="Input 2 2 7 2 3 2" xfId="28592" xr:uid="{00000000-0005-0000-0000-0000FD1E0000}"/>
    <cellStyle name="Input 2 2 7 2 4" xfId="21143" xr:uid="{00000000-0005-0000-0000-0000FE1E0000}"/>
    <cellStyle name="Input 2 2 7 3" xfId="5188" xr:uid="{00000000-0005-0000-0000-0000FF1E0000}"/>
    <cellStyle name="Input 2 2 7 3 2" xfId="9227" xr:uid="{00000000-0005-0000-0000-0000001F0000}"/>
    <cellStyle name="Input 2 2 7 3 2 2" xfId="24565" xr:uid="{00000000-0005-0000-0000-0000011F0000}"/>
    <cellStyle name="Input 2 2 7 3 3" xfId="15506" xr:uid="{00000000-0005-0000-0000-0000021F0000}"/>
    <cellStyle name="Input 2 2 7 3 3 2" xfId="30338" xr:uid="{00000000-0005-0000-0000-0000031F0000}"/>
    <cellStyle name="Input 2 2 7 3 4" xfId="22072" xr:uid="{00000000-0005-0000-0000-0000041F0000}"/>
    <cellStyle name="Input 2 2 7 4" xfId="4218" xr:uid="{00000000-0005-0000-0000-0000051F0000}"/>
    <cellStyle name="Input 2 2 7 4 2" xfId="8259" xr:uid="{00000000-0005-0000-0000-0000061F0000}"/>
    <cellStyle name="Input 2 2 7 4 2 2" xfId="23954" xr:uid="{00000000-0005-0000-0000-0000071F0000}"/>
    <cellStyle name="Input 2 2 7 4 3" xfId="14550" xr:uid="{00000000-0005-0000-0000-0000081F0000}"/>
    <cellStyle name="Input 2 2 7 4 3 2" xfId="29382" xr:uid="{00000000-0005-0000-0000-0000091F0000}"/>
    <cellStyle name="Input 2 2 7 4 4" xfId="21579" xr:uid="{00000000-0005-0000-0000-00000A1F0000}"/>
    <cellStyle name="Input 2 2 7 5" xfId="6334" xr:uid="{00000000-0005-0000-0000-00000B1F0000}"/>
    <cellStyle name="Input 2 2 7 5 2" xfId="22736" xr:uid="{00000000-0005-0000-0000-00000C1F0000}"/>
    <cellStyle name="Input 2 2 7 6" xfId="12588" xr:uid="{00000000-0005-0000-0000-00000D1F0000}"/>
    <cellStyle name="Input 2 2 7 6 2" xfId="27420" xr:uid="{00000000-0005-0000-0000-00000E1F0000}"/>
    <cellStyle name="Input 2 2 7 7" xfId="20415" xr:uid="{00000000-0005-0000-0000-00000F1F0000}"/>
    <cellStyle name="Input 2 2 8" xfId="4038" xr:uid="{00000000-0005-0000-0000-0000101F0000}"/>
    <cellStyle name="Input 2 2 8 2" xfId="8085" xr:uid="{00000000-0005-0000-0000-0000111F0000}"/>
    <cellStyle name="Input 2 2 8 2 2" xfId="23851" xr:uid="{00000000-0005-0000-0000-0000121F0000}"/>
    <cellStyle name="Input 2 2 8 3" xfId="14370" xr:uid="{00000000-0005-0000-0000-0000131F0000}"/>
    <cellStyle name="Input 2 2 8 3 2" xfId="29202" xr:uid="{00000000-0005-0000-0000-0000141F0000}"/>
    <cellStyle name="Input 2 2 8 4" xfId="21485" xr:uid="{00000000-0005-0000-0000-0000151F0000}"/>
    <cellStyle name="Input 2 2 9" xfId="3262" xr:uid="{00000000-0005-0000-0000-0000161F0000}"/>
    <cellStyle name="Input 2 2 9 2" xfId="7326" xr:uid="{00000000-0005-0000-0000-0000171F0000}"/>
    <cellStyle name="Input 2 2 9 2 2" xfId="23361" xr:uid="{00000000-0005-0000-0000-0000181F0000}"/>
    <cellStyle name="Input 2 2 9 3" xfId="13599" xr:uid="{00000000-0005-0000-0000-0000191F0000}"/>
    <cellStyle name="Input 2 2 9 3 2" xfId="28431" xr:uid="{00000000-0005-0000-0000-00001A1F0000}"/>
    <cellStyle name="Input 2 2 9 4" xfId="21048" xr:uid="{00000000-0005-0000-0000-00001B1F0000}"/>
    <cellStyle name="Input 2 20" xfId="9384" xr:uid="{00000000-0005-0000-0000-00001C1F0000}"/>
    <cellStyle name="Input 2 20 2" xfId="24690" xr:uid="{00000000-0005-0000-0000-00001D1F0000}"/>
    <cellStyle name="Input 2 21" xfId="5373" xr:uid="{00000000-0005-0000-0000-00001E1F0000}"/>
    <cellStyle name="Input 2 21 2" xfId="18247" xr:uid="{00000000-0005-0000-0000-00001F1F0000}"/>
    <cellStyle name="Input 2 3" xfId="1114" xr:uid="{00000000-0005-0000-0000-0000201F0000}"/>
    <cellStyle name="Input 2 3 10" xfId="2285" xr:uid="{00000000-0005-0000-0000-0000211F0000}"/>
    <cellStyle name="Input 2 3 10 2" xfId="6397" xr:uid="{00000000-0005-0000-0000-0000221F0000}"/>
    <cellStyle name="Input 2 3 10 2 2" xfId="22799" xr:uid="{00000000-0005-0000-0000-0000231F0000}"/>
    <cellStyle name="Input 2 3 10 3" xfId="12625" xr:uid="{00000000-0005-0000-0000-0000241F0000}"/>
    <cellStyle name="Input 2 3 10 3 2" xfId="27457" xr:uid="{00000000-0005-0000-0000-0000251F0000}"/>
    <cellStyle name="Input 2 3 10 4" xfId="20451" xr:uid="{00000000-0005-0000-0000-0000261F0000}"/>
    <cellStyle name="Input 2 3 11" xfId="5251" xr:uid="{00000000-0005-0000-0000-0000271F0000}"/>
    <cellStyle name="Input 2 3 11 2" xfId="15567" xr:uid="{00000000-0005-0000-0000-0000281F0000}"/>
    <cellStyle name="Input 2 3 11 2 2" xfId="30399" xr:uid="{00000000-0005-0000-0000-0000291F0000}"/>
    <cellStyle name="Input 2 3 11 3" xfId="22108" xr:uid="{00000000-0005-0000-0000-00002A1F0000}"/>
    <cellStyle name="Input 2 3 12" xfId="5409" xr:uid="{00000000-0005-0000-0000-00002B1F0000}"/>
    <cellStyle name="Input 2 3 12 2" xfId="15645" xr:uid="{00000000-0005-0000-0000-00002C1F0000}"/>
    <cellStyle name="Input 2 3 12 2 2" xfId="30477" xr:uid="{00000000-0005-0000-0000-00002D1F0000}"/>
    <cellStyle name="Input 2 3 12 3" xfId="22170" xr:uid="{00000000-0005-0000-0000-00002E1F0000}"/>
    <cellStyle name="Input 2 3 13" xfId="9382" xr:uid="{00000000-0005-0000-0000-00002F1F0000}"/>
    <cellStyle name="Input 2 3 13 2" xfId="24688" xr:uid="{00000000-0005-0000-0000-0000301F0000}"/>
    <cellStyle name="Input 2 3 14" xfId="5371" xr:uid="{00000000-0005-0000-0000-0000311F0000}"/>
    <cellStyle name="Input 2 3 14 2" xfId="18245" xr:uid="{00000000-0005-0000-0000-0000321F0000}"/>
    <cellStyle name="Input 2 3 2" xfId="1321" xr:uid="{00000000-0005-0000-0000-0000331F0000}"/>
    <cellStyle name="Input 2 3 2 2" xfId="1825" xr:uid="{00000000-0005-0000-0000-0000341F0000}"/>
    <cellStyle name="Input 2 3 2 2 2" xfId="3718" xr:uid="{00000000-0005-0000-0000-0000351F0000}"/>
    <cellStyle name="Input 2 3 2 2 2 2" xfId="7774" xr:uid="{00000000-0005-0000-0000-0000361F0000}"/>
    <cellStyle name="Input 2 3 2 2 2 2 2" xfId="23655" xr:uid="{00000000-0005-0000-0000-0000371F0000}"/>
    <cellStyle name="Input 2 3 2 2 2 3" xfId="14053" xr:uid="{00000000-0005-0000-0000-0000381F0000}"/>
    <cellStyle name="Input 2 3 2 2 2 3 2" xfId="28885" xr:uid="{00000000-0005-0000-0000-0000391F0000}"/>
    <cellStyle name="Input 2 3 2 2 2 4" xfId="21315" xr:uid="{00000000-0005-0000-0000-00003A1F0000}"/>
    <cellStyle name="Input 2 3 2 2 3" xfId="4803" xr:uid="{00000000-0005-0000-0000-00003B1F0000}"/>
    <cellStyle name="Input 2 3 2 2 3 2" xfId="8842" xr:uid="{00000000-0005-0000-0000-00003C1F0000}"/>
    <cellStyle name="Input 2 3 2 2 3 2 2" xfId="24340" xr:uid="{00000000-0005-0000-0000-00003D1F0000}"/>
    <cellStyle name="Input 2 3 2 2 3 3" xfId="15127" xr:uid="{00000000-0005-0000-0000-00003E1F0000}"/>
    <cellStyle name="Input 2 3 2 2 3 3 2" xfId="29959" xr:uid="{00000000-0005-0000-0000-00003F1F0000}"/>
    <cellStyle name="Input 2 3 2 2 3 4" xfId="21878" xr:uid="{00000000-0005-0000-0000-0000401F0000}"/>
    <cellStyle name="Input 2 3 2 2 4" xfId="2793" xr:uid="{00000000-0005-0000-0000-0000411F0000}"/>
    <cellStyle name="Input 2 3 2 2 4 2" xfId="6884" xr:uid="{00000000-0005-0000-0000-0000421F0000}"/>
    <cellStyle name="Input 2 3 2 2 4 2 2" xfId="23091" xr:uid="{00000000-0005-0000-0000-0000431F0000}"/>
    <cellStyle name="Input 2 3 2 2 4 3" xfId="13131" xr:uid="{00000000-0005-0000-0000-0000441F0000}"/>
    <cellStyle name="Input 2 3 2 2 4 3 2" xfId="27963" xr:uid="{00000000-0005-0000-0000-0000451F0000}"/>
    <cellStyle name="Input 2 3 2 2 4 4" xfId="20751" xr:uid="{00000000-0005-0000-0000-0000461F0000}"/>
    <cellStyle name="Input 2 3 2 2 5" xfId="5957" xr:uid="{00000000-0005-0000-0000-0000471F0000}"/>
    <cellStyle name="Input 2 3 2 2 5 2" xfId="16149" xr:uid="{00000000-0005-0000-0000-0000481F0000}"/>
    <cellStyle name="Input 2 3 2 2 5 2 2" xfId="30981" xr:uid="{00000000-0005-0000-0000-0000491F0000}"/>
    <cellStyle name="Input 2 3 2 2 5 3" xfId="22522" xr:uid="{00000000-0005-0000-0000-00004A1F0000}"/>
    <cellStyle name="Input 2 3 2 2 6" xfId="12219" xr:uid="{00000000-0005-0000-0000-00004B1F0000}"/>
    <cellStyle name="Input 2 3 2 2 6 2" xfId="27051" xr:uid="{00000000-0005-0000-0000-00004C1F0000}"/>
    <cellStyle name="Input 2 3 2 2 7" xfId="9815" xr:uid="{00000000-0005-0000-0000-00004D1F0000}"/>
    <cellStyle name="Input 2 3 2 2 7 2" xfId="20066" xr:uid="{00000000-0005-0000-0000-00004E1F0000}"/>
    <cellStyle name="Input 2 3 2 3" xfId="4003" xr:uid="{00000000-0005-0000-0000-00004F1F0000}"/>
    <cellStyle name="Input 2 3 2 3 2" xfId="8050" xr:uid="{00000000-0005-0000-0000-0000501F0000}"/>
    <cellStyle name="Input 2 3 2 3 2 2" xfId="23831" xr:uid="{00000000-0005-0000-0000-0000511F0000}"/>
    <cellStyle name="Input 2 3 2 3 3" xfId="14335" xr:uid="{00000000-0005-0000-0000-0000521F0000}"/>
    <cellStyle name="Input 2 3 2 3 3 2" xfId="29167" xr:uid="{00000000-0005-0000-0000-0000531F0000}"/>
    <cellStyle name="Input 2 3 2 3 4" xfId="21469" xr:uid="{00000000-0005-0000-0000-0000541F0000}"/>
    <cellStyle name="Input 2 3 2 4" xfId="4383" xr:uid="{00000000-0005-0000-0000-0000551F0000}"/>
    <cellStyle name="Input 2 3 2 4 2" xfId="8422" xr:uid="{00000000-0005-0000-0000-0000561F0000}"/>
    <cellStyle name="Input 2 3 2 4 2 2" xfId="24080" xr:uid="{00000000-0005-0000-0000-0000571F0000}"/>
    <cellStyle name="Input 2 3 2 4 3" xfId="14712" xr:uid="{00000000-0005-0000-0000-0000581F0000}"/>
    <cellStyle name="Input 2 3 2 4 3 2" xfId="29544" xr:uid="{00000000-0005-0000-0000-0000591F0000}"/>
    <cellStyle name="Input 2 3 2 4 4" xfId="21648" xr:uid="{00000000-0005-0000-0000-00005A1F0000}"/>
    <cellStyle name="Input 2 3 2 5" xfId="2373" xr:uid="{00000000-0005-0000-0000-00005B1F0000}"/>
    <cellStyle name="Input 2 3 2 5 2" xfId="6485" xr:uid="{00000000-0005-0000-0000-00005C1F0000}"/>
    <cellStyle name="Input 2 3 2 5 2 2" xfId="22855" xr:uid="{00000000-0005-0000-0000-00005D1F0000}"/>
    <cellStyle name="Input 2 3 2 5 3" xfId="12712" xr:uid="{00000000-0005-0000-0000-00005E1F0000}"/>
    <cellStyle name="Input 2 3 2 5 3 2" xfId="27544" xr:uid="{00000000-0005-0000-0000-00005F1F0000}"/>
    <cellStyle name="Input 2 3 2 5 4" xfId="20497" xr:uid="{00000000-0005-0000-0000-0000601F0000}"/>
    <cellStyle name="Input 2 3 2 6" xfId="5498" xr:uid="{00000000-0005-0000-0000-0000611F0000}"/>
    <cellStyle name="Input 2 3 2 6 2" xfId="15733" xr:uid="{00000000-0005-0000-0000-0000621F0000}"/>
    <cellStyle name="Input 2 3 2 6 2 2" xfId="30565" xr:uid="{00000000-0005-0000-0000-0000631F0000}"/>
    <cellStyle name="Input 2 3 2 6 3" xfId="22226" xr:uid="{00000000-0005-0000-0000-0000641F0000}"/>
    <cellStyle name="Input 2 3 2 7" xfId="11748" xr:uid="{00000000-0005-0000-0000-0000651F0000}"/>
    <cellStyle name="Input 2 3 2 7 2" xfId="26580" xr:uid="{00000000-0005-0000-0000-0000661F0000}"/>
    <cellStyle name="Input 2 3 2 8" xfId="9419" xr:uid="{00000000-0005-0000-0000-0000671F0000}"/>
    <cellStyle name="Input 2 3 2 8 2" xfId="19723" xr:uid="{00000000-0005-0000-0000-0000681F0000}"/>
    <cellStyle name="Input 2 3 3" xfId="1479" xr:uid="{00000000-0005-0000-0000-0000691F0000}"/>
    <cellStyle name="Input 2 3 3 2" xfId="1980" xr:uid="{00000000-0005-0000-0000-00006A1F0000}"/>
    <cellStyle name="Input 2 3 3 2 2" xfId="3386" xr:uid="{00000000-0005-0000-0000-00006B1F0000}"/>
    <cellStyle name="Input 2 3 3 2 2 2" xfId="7449" xr:uid="{00000000-0005-0000-0000-00006C1F0000}"/>
    <cellStyle name="Input 2 3 3 2 2 2 2" xfId="23441" xr:uid="{00000000-0005-0000-0000-00006D1F0000}"/>
    <cellStyle name="Input 2 3 3 2 2 3" xfId="13723" xr:uid="{00000000-0005-0000-0000-00006E1F0000}"/>
    <cellStyle name="Input 2 3 3 2 2 3 2" xfId="28555" xr:uid="{00000000-0005-0000-0000-00006F1F0000}"/>
    <cellStyle name="Input 2 3 3 2 2 4" xfId="21123" xr:uid="{00000000-0005-0000-0000-0000701F0000}"/>
    <cellStyle name="Input 2 3 3 2 3" xfId="4944" xr:uid="{00000000-0005-0000-0000-0000711F0000}"/>
    <cellStyle name="Input 2 3 3 2 3 2" xfId="8983" xr:uid="{00000000-0005-0000-0000-0000721F0000}"/>
    <cellStyle name="Input 2 3 3 2 3 2 2" xfId="24449" xr:uid="{00000000-0005-0000-0000-0000731F0000}"/>
    <cellStyle name="Input 2 3 3 2 3 3" xfId="15266" xr:uid="{00000000-0005-0000-0000-0000741F0000}"/>
    <cellStyle name="Input 2 3 3 2 3 3 2" xfId="30098" xr:uid="{00000000-0005-0000-0000-0000751F0000}"/>
    <cellStyle name="Input 2 3 3 2 3 4" xfId="21979" xr:uid="{00000000-0005-0000-0000-0000761F0000}"/>
    <cellStyle name="Input 2 3 3 2 4" xfId="2934" xr:uid="{00000000-0005-0000-0000-0000771F0000}"/>
    <cellStyle name="Input 2 3 3 2 4 2" xfId="7018" xr:uid="{00000000-0005-0000-0000-0000781F0000}"/>
    <cellStyle name="Input 2 3 3 2 4 2 2" xfId="23192" xr:uid="{00000000-0005-0000-0000-0000791F0000}"/>
    <cellStyle name="Input 2 3 3 2 4 3" xfId="13272" xr:uid="{00000000-0005-0000-0000-00007A1F0000}"/>
    <cellStyle name="Input 2 3 3 2 4 3 2" xfId="28104" xr:uid="{00000000-0005-0000-0000-00007B1F0000}"/>
    <cellStyle name="Input 2 3 3 2 4 4" xfId="20860" xr:uid="{00000000-0005-0000-0000-00007C1F0000}"/>
    <cellStyle name="Input 2 3 3 2 5" xfId="6110" xr:uid="{00000000-0005-0000-0000-00007D1F0000}"/>
    <cellStyle name="Input 2 3 3 2 5 2" xfId="16297" xr:uid="{00000000-0005-0000-0000-00007E1F0000}"/>
    <cellStyle name="Input 2 3 3 2 5 2 2" xfId="31129" xr:uid="{00000000-0005-0000-0000-00007F1F0000}"/>
    <cellStyle name="Input 2 3 3 2 5 3" xfId="22643" xr:uid="{00000000-0005-0000-0000-0000801F0000}"/>
    <cellStyle name="Input 2 3 3 2 6" xfId="12367" xr:uid="{00000000-0005-0000-0000-0000811F0000}"/>
    <cellStyle name="Input 2 3 3 2 6 2" xfId="27199" xr:uid="{00000000-0005-0000-0000-0000821F0000}"/>
    <cellStyle name="Input 2 3 3 2 7" xfId="9949" xr:uid="{00000000-0005-0000-0000-0000831F0000}"/>
    <cellStyle name="Input 2 3 3 2 7 2" xfId="20151" xr:uid="{00000000-0005-0000-0000-0000841F0000}"/>
    <cellStyle name="Input 2 3 3 3" xfId="3260" xr:uid="{00000000-0005-0000-0000-0000851F0000}"/>
    <cellStyle name="Input 2 3 3 3 2" xfId="7324" xr:uid="{00000000-0005-0000-0000-0000861F0000}"/>
    <cellStyle name="Input 2 3 3 3 2 2" xfId="23359" xr:uid="{00000000-0005-0000-0000-0000871F0000}"/>
    <cellStyle name="Input 2 3 3 3 3" xfId="13597" xr:uid="{00000000-0005-0000-0000-0000881F0000}"/>
    <cellStyle name="Input 2 3 3 3 3 2" xfId="28429" xr:uid="{00000000-0005-0000-0000-0000891F0000}"/>
    <cellStyle name="Input 2 3 3 3 4" xfId="21046" xr:uid="{00000000-0005-0000-0000-00008A1F0000}"/>
    <cellStyle name="Input 2 3 3 4" xfId="4524" xr:uid="{00000000-0005-0000-0000-00008B1F0000}"/>
    <cellStyle name="Input 2 3 3 4 2" xfId="8563" xr:uid="{00000000-0005-0000-0000-00008C1F0000}"/>
    <cellStyle name="Input 2 3 3 4 2 2" xfId="24189" xr:uid="{00000000-0005-0000-0000-00008D1F0000}"/>
    <cellStyle name="Input 2 3 3 4 3" xfId="14851" xr:uid="{00000000-0005-0000-0000-00008E1F0000}"/>
    <cellStyle name="Input 2 3 3 4 3 2" xfId="29683" xr:uid="{00000000-0005-0000-0000-00008F1F0000}"/>
    <cellStyle name="Input 2 3 3 4 4" xfId="21749" xr:uid="{00000000-0005-0000-0000-0000901F0000}"/>
    <cellStyle name="Input 2 3 3 5" xfId="2514" xr:uid="{00000000-0005-0000-0000-0000911F0000}"/>
    <cellStyle name="Input 2 3 3 5 2" xfId="6620" xr:uid="{00000000-0005-0000-0000-0000921F0000}"/>
    <cellStyle name="Input 2 3 3 5 2 2" xfId="22958" xr:uid="{00000000-0005-0000-0000-0000931F0000}"/>
    <cellStyle name="Input 2 3 3 5 3" xfId="12852" xr:uid="{00000000-0005-0000-0000-0000941F0000}"/>
    <cellStyle name="Input 2 3 3 5 3 2" xfId="27684" xr:uid="{00000000-0005-0000-0000-0000951F0000}"/>
    <cellStyle name="Input 2 3 3 5 4" xfId="20604" xr:uid="{00000000-0005-0000-0000-0000961F0000}"/>
    <cellStyle name="Input 2 3 3 6" xfId="5637" xr:uid="{00000000-0005-0000-0000-0000971F0000}"/>
    <cellStyle name="Input 2 3 3 6 2" xfId="15872" xr:uid="{00000000-0005-0000-0000-0000981F0000}"/>
    <cellStyle name="Input 2 3 3 6 2 2" xfId="30704" xr:uid="{00000000-0005-0000-0000-0000991F0000}"/>
    <cellStyle name="Input 2 3 3 6 3" xfId="22333" xr:uid="{00000000-0005-0000-0000-00009A1F0000}"/>
    <cellStyle name="Input 2 3 3 7" xfId="11896" xr:uid="{00000000-0005-0000-0000-00009B1F0000}"/>
    <cellStyle name="Input 2 3 3 7 2" xfId="26728" xr:uid="{00000000-0005-0000-0000-00009C1F0000}"/>
    <cellStyle name="Input 2 3 3 8" xfId="9554" xr:uid="{00000000-0005-0000-0000-00009D1F0000}"/>
    <cellStyle name="Input 2 3 3 8 2" xfId="19856" xr:uid="{00000000-0005-0000-0000-00009E1F0000}"/>
    <cellStyle name="Input 2 3 4" xfId="1404" xr:uid="{00000000-0005-0000-0000-00009F1F0000}"/>
    <cellStyle name="Input 2 3 4 2" xfId="1906" xr:uid="{00000000-0005-0000-0000-0000A01F0000}"/>
    <cellStyle name="Input 2 3 4 2 2" xfId="4135" xr:uid="{00000000-0005-0000-0000-0000A11F0000}"/>
    <cellStyle name="Input 2 3 4 2 2 2" xfId="8179" xr:uid="{00000000-0005-0000-0000-0000A21F0000}"/>
    <cellStyle name="Input 2 3 4 2 2 2 2" xfId="23910" xr:uid="{00000000-0005-0000-0000-0000A31F0000}"/>
    <cellStyle name="Input 2 3 4 2 2 3" xfId="14467" xr:uid="{00000000-0005-0000-0000-0000A41F0000}"/>
    <cellStyle name="Input 2 3 4 2 2 3 2" xfId="29299" xr:uid="{00000000-0005-0000-0000-0000A51F0000}"/>
    <cellStyle name="Input 2 3 4 2 2 4" xfId="21537" xr:uid="{00000000-0005-0000-0000-0000A61F0000}"/>
    <cellStyle name="Input 2 3 4 2 3" xfId="4884" xr:uid="{00000000-0005-0000-0000-0000A71F0000}"/>
    <cellStyle name="Input 2 3 4 2 3 2" xfId="8923" xr:uid="{00000000-0005-0000-0000-0000A81F0000}"/>
    <cellStyle name="Input 2 3 4 2 3 2 2" xfId="24389" xr:uid="{00000000-0005-0000-0000-0000A91F0000}"/>
    <cellStyle name="Input 2 3 4 2 3 3" xfId="15207" xr:uid="{00000000-0005-0000-0000-0000AA1F0000}"/>
    <cellStyle name="Input 2 3 4 2 3 3 2" xfId="30039" xr:uid="{00000000-0005-0000-0000-0000AB1F0000}"/>
    <cellStyle name="Input 2 3 4 2 3 4" xfId="21921" xr:uid="{00000000-0005-0000-0000-0000AC1F0000}"/>
    <cellStyle name="Input 2 3 4 2 4" xfId="2874" xr:uid="{00000000-0005-0000-0000-0000AD1F0000}"/>
    <cellStyle name="Input 2 3 4 2 4 2" xfId="6959" xr:uid="{00000000-0005-0000-0000-0000AE1F0000}"/>
    <cellStyle name="Input 2 3 4 2 4 2 2" xfId="23134" xr:uid="{00000000-0005-0000-0000-0000AF1F0000}"/>
    <cellStyle name="Input 2 3 4 2 4 3" xfId="13212" xr:uid="{00000000-0005-0000-0000-0000B01F0000}"/>
    <cellStyle name="Input 2 3 4 2 4 3 2" xfId="28044" xr:uid="{00000000-0005-0000-0000-0000B11F0000}"/>
    <cellStyle name="Input 2 3 4 2 4 4" xfId="20800" xr:uid="{00000000-0005-0000-0000-0000B21F0000}"/>
    <cellStyle name="Input 2 3 4 2 5" xfId="6037" xr:uid="{00000000-0005-0000-0000-0000B31F0000}"/>
    <cellStyle name="Input 2 3 4 2 5 2" xfId="16224" xr:uid="{00000000-0005-0000-0000-0000B41F0000}"/>
    <cellStyle name="Input 2 3 4 2 5 2 2" xfId="31056" xr:uid="{00000000-0005-0000-0000-0000B51F0000}"/>
    <cellStyle name="Input 2 3 4 2 5 3" xfId="22570" xr:uid="{00000000-0005-0000-0000-0000B61F0000}"/>
    <cellStyle name="Input 2 3 4 2 6" xfId="12294" xr:uid="{00000000-0005-0000-0000-0000B71F0000}"/>
    <cellStyle name="Input 2 3 4 2 6 2" xfId="27126" xr:uid="{00000000-0005-0000-0000-0000B81F0000}"/>
    <cellStyle name="Input 2 3 4 2 7" xfId="9890" xr:uid="{00000000-0005-0000-0000-0000B91F0000}"/>
    <cellStyle name="Input 2 3 4 2 7 2" xfId="20093" xr:uid="{00000000-0005-0000-0000-0000BA1F0000}"/>
    <cellStyle name="Input 2 3 4 3" xfId="3455" xr:uid="{00000000-0005-0000-0000-0000BB1F0000}"/>
    <cellStyle name="Input 2 3 4 3 2" xfId="7518" xr:uid="{00000000-0005-0000-0000-0000BC1F0000}"/>
    <cellStyle name="Input 2 3 4 3 2 2" xfId="23488" xr:uid="{00000000-0005-0000-0000-0000BD1F0000}"/>
    <cellStyle name="Input 2 3 4 3 3" xfId="13792" xr:uid="{00000000-0005-0000-0000-0000BE1F0000}"/>
    <cellStyle name="Input 2 3 4 3 3 2" xfId="28624" xr:uid="{00000000-0005-0000-0000-0000BF1F0000}"/>
    <cellStyle name="Input 2 3 4 3 4" xfId="21163" xr:uid="{00000000-0005-0000-0000-0000C01F0000}"/>
    <cellStyle name="Input 2 3 4 4" xfId="4464" xr:uid="{00000000-0005-0000-0000-0000C11F0000}"/>
    <cellStyle name="Input 2 3 4 4 2" xfId="8503" xr:uid="{00000000-0005-0000-0000-0000C21F0000}"/>
    <cellStyle name="Input 2 3 4 4 2 2" xfId="24129" xr:uid="{00000000-0005-0000-0000-0000C31F0000}"/>
    <cellStyle name="Input 2 3 4 4 3" xfId="14792" xr:uid="{00000000-0005-0000-0000-0000C41F0000}"/>
    <cellStyle name="Input 2 3 4 4 3 2" xfId="29624" xr:uid="{00000000-0005-0000-0000-0000C51F0000}"/>
    <cellStyle name="Input 2 3 4 4 4" xfId="21691" xr:uid="{00000000-0005-0000-0000-0000C61F0000}"/>
    <cellStyle name="Input 2 3 4 5" xfId="2454" xr:uid="{00000000-0005-0000-0000-0000C71F0000}"/>
    <cellStyle name="Input 2 3 4 5 2" xfId="6560" xr:uid="{00000000-0005-0000-0000-0000C81F0000}"/>
    <cellStyle name="Input 2 3 4 5 2 2" xfId="22898" xr:uid="{00000000-0005-0000-0000-0000C91F0000}"/>
    <cellStyle name="Input 2 3 4 5 3" xfId="12793" xr:uid="{00000000-0005-0000-0000-0000CA1F0000}"/>
    <cellStyle name="Input 2 3 4 5 3 2" xfId="27625" xr:uid="{00000000-0005-0000-0000-0000CB1F0000}"/>
    <cellStyle name="Input 2 3 4 5 4" xfId="20546" xr:uid="{00000000-0005-0000-0000-0000CC1F0000}"/>
    <cellStyle name="Input 2 3 4 6" xfId="5578" xr:uid="{00000000-0005-0000-0000-0000CD1F0000}"/>
    <cellStyle name="Input 2 3 4 6 2" xfId="15813" xr:uid="{00000000-0005-0000-0000-0000CE1F0000}"/>
    <cellStyle name="Input 2 3 4 6 2 2" xfId="30645" xr:uid="{00000000-0005-0000-0000-0000CF1F0000}"/>
    <cellStyle name="Input 2 3 4 6 3" xfId="22274" xr:uid="{00000000-0005-0000-0000-0000D01F0000}"/>
    <cellStyle name="Input 2 3 4 7" xfId="11823" xr:uid="{00000000-0005-0000-0000-0000D11F0000}"/>
    <cellStyle name="Input 2 3 4 7 2" xfId="26655" xr:uid="{00000000-0005-0000-0000-0000D21F0000}"/>
    <cellStyle name="Input 2 3 4 8" xfId="9495" xr:uid="{00000000-0005-0000-0000-0000D31F0000}"/>
    <cellStyle name="Input 2 3 4 8 2" xfId="19798" xr:uid="{00000000-0005-0000-0000-0000D41F0000}"/>
    <cellStyle name="Input 2 3 5" xfId="1467" xr:uid="{00000000-0005-0000-0000-0000D51F0000}"/>
    <cellStyle name="Input 2 3 5 2" xfId="1968" xr:uid="{00000000-0005-0000-0000-0000D61F0000}"/>
    <cellStyle name="Input 2 3 5 2 2" xfId="3661" xr:uid="{00000000-0005-0000-0000-0000D71F0000}"/>
    <cellStyle name="Input 2 3 5 2 2 2" xfId="7720" xr:uid="{00000000-0005-0000-0000-0000D81F0000}"/>
    <cellStyle name="Input 2 3 5 2 2 2 2" xfId="23616" xr:uid="{00000000-0005-0000-0000-0000D91F0000}"/>
    <cellStyle name="Input 2 3 5 2 2 3" xfId="13996" xr:uid="{00000000-0005-0000-0000-0000DA1F0000}"/>
    <cellStyle name="Input 2 3 5 2 2 3 2" xfId="28828" xr:uid="{00000000-0005-0000-0000-0000DB1F0000}"/>
    <cellStyle name="Input 2 3 5 2 2 4" xfId="21280" xr:uid="{00000000-0005-0000-0000-0000DC1F0000}"/>
    <cellStyle name="Input 2 3 5 2 3" xfId="4932" xr:uid="{00000000-0005-0000-0000-0000DD1F0000}"/>
    <cellStyle name="Input 2 3 5 2 3 2" xfId="8971" xr:uid="{00000000-0005-0000-0000-0000DE1F0000}"/>
    <cellStyle name="Input 2 3 5 2 3 2 2" xfId="24437" xr:uid="{00000000-0005-0000-0000-0000DF1F0000}"/>
    <cellStyle name="Input 2 3 5 2 3 3" xfId="15254" xr:uid="{00000000-0005-0000-0000-0000E01F0000}"/>
    <cellStyle name="Input 2 3 5 2 3 3 2" xfId="30086" xr:uid="{00000000-0005-0000-0000-0000E11F0000}"/>
    <cellStyle name="Input 2 3 5 2 3 4" xfId="21967" xr:uid="{00000000-0005-0000-0000-0000E21F0000}"/>
    <cellStyle name="Input 2 3 5 2 4" xfId="2922" xr:uid="{00000000-0005-0000-0000-0000E31F0000}"/>
    <cellStyle name="Input 2 3 5 2 4 2" xfId="7006" xr:uid="{00000000-0005-0000-0000-0000E41F0000}"/>
    <cellStyle name="Input 2 3 5 2 4 2 2" xfId="23180" xr:uid="{00000000-0005-0000-0000-0000E51F0000}"/>
    <cellStyle name="Input 2 3 5 2 4 3" xfId="13260" xr:uid="{00000000-0005-0000-0000-0000E61F0000}"/>
    <cellStyle name="Input 2 3 5 2 4 3 2" xfId="28092" xr:uid="{00000000-0005-0000-0000-0000E71F0000}"/>
    <cellStyle name="Input 2 3 5 2 4 4" xfId="20848" xr:uid="{00000000-0005-0000-0000-0000E81F0000}"/>
    <cellStyle name="Input 2 3 5 2 5" xfId="6098" xr:uid="{00000000-0005-0000-0000-0000E91F0000}"/>
    <cellStyle name="Input 2 3 5 2 5 2" xfId="16285" xr:uid="{00000000-0005-0000-0000-0000EA1F0000}"/>
    <cellStyle name="Input 2 3 5 2 5 2 2" xfId="31117" xr:uid="{00000000-0005-0000-0000-0000EB1F0000}"/>
    <cellStyle name="Input 2 3 5 2 5 3" xfId="22631" xr:uid="{00000000-0005-0000-0000-0000EC1F0000}"/>
    <cellStyle name="Input 2 3 5 2 6" xfId="12355" xr:uid="{00000000-0005-0000-0000-0000ED1F0000}"/>
    <cellStyle name="Input 2 3 5 2 6 2" xfId="27187" xr:uid="{00000000-0005-0000-0000-0000EE1F0000}"/>
    <cellStyle name="Input 2 3 5 2 7" xfId="9937" xr:uid="{00000000-0005-0000-0000-0000EF1F0000}"/>
    <cellStyle name="Input 2 3 5 2 7 2" xfId="20139" xr:uid="{00000000-0005-0000-0000-0000F01F0000}"/>
    <cellStyle name="Input 2 3 5 3" xfId="4335" xr:uid="{00000000-0005-0000-0000-0000F11F0000}"/>
    <cellStyle name="Input 2 3 5 3 2" xfId="8374" xr:uid="{00000000-0005-0000-0000-0000F21F0000}"/>
    <cellStyle name="Input 2 3 5 3 2 2" xfId="24035" xr:uid="{00000000-0005-0000-0000-0000F31F0000}"/>
    <cellStyle name="Input 2 3 5 3 3" xfId="14666" xr:uid="{00000000-0005-0000-0000-0000F41F0000}"/>
    <cellStyle name="Input 2 3 5 3 3 2" xfId="29498" xr:uid="{00000000-0005-0000-0000-0000F51F0000}"/>
    <cellStyle name="Input 2 3 5 3 4" xfId="21631" xr:uid="{00000000-0005-0000-0000-0000F61F0000}"/>
    <cellStyle name="Input 2 3 5 4" xfId="4512" xr:uid="{00000000-0005-0000-0000-0000F71F0000}"/>
    <cellStyle name="Input 2 3 5 4 2" xfId="8551" xr:uid="{00000000-0005-0000-0000-0000F81F0000}"/>
    <cellStyle name="Input 2 3 5 4 2 2" xfId="24177" xr:uid="{00000000-0005-0000-0000-0000F91F0000}"/>
    <cellStyle name="Input 2 3 5 4 3" xfId="14839" xr:uid="{00000000-0005-0000-0000-0000FA1F0000}"/>
    <cellStyle name="Input 2 3 5 4 3 2" xfId="29671" xr:uid="{00000000-0005-0000-0000-0000FB1F0000}"/>
    <cellStyle name="Input 2 3 5 4 4" xfId="21737" xr:uid="{00000000-0005-0000-0000-0000FC1F0000}"/>
    <cellStyle name="Input 2 3 5 5" xfId="2502" xr:uid="{00000000-0005-0000-0000-0000FD1F0000}"/>
    <cellStyle name="Input 2 3 5 5 2" xfId="6608" xr:uid="{00000000-0005-0000-0000-0000FE1F0000}"/>
    <cellStyle name="Input 2 3 5 5 2 2" xfId="22946" xr:uid="{00000000-0005-0000-0000-0000FF1F0000}"/>
    <cellStyle name="Input 2 3 5 5 3" xfId="12840" xr:uid="{00000000-0005-0000-0000-000000200000}"/>
    <cellStyle name="Input 2 3 5 5 3 2" xfId="27672" xr:uid="{00000000-0005-0000-0000-000001200000}"/>
    <cellStyle name="Input 2 3 5 5 4" xfId="20592" xr:uid="{00000000-0005-0000-0000-000002200000}"/>
    <cellStyle name="Input 2 3 5 6" xfId="5625" xr:uid="{00000000-0005-0000-0000-000003200000}"/>
    <cellStyle name="Input 2 3 5 6 2" xfId="15860" xr:uid="{00000000-0005-0000-0000-000004200000}"/>
    <cellStyle name="Input 2 3 5 6 2 2" xfId="30692" xr:uid="{00000000-0005-0000-0000-000005200000}"/>
    <cellStyle name="Input 2 3 5 6 3" xfId="22321" xr:uid="{00000000-0005-0000-0000-000006200000}"/>
    <cellStyle name="Input 2 3 5 7" xfId="11884" xr:uid="{00000000-0005-0000-0000-000007200000}"/>
    <cellStyle name="Input 2 3 5 7 2" xfId="26716" xr:uid="{00000000-0005-0000-0000-000008200000}"/>
    <cellStyle name="Input 2 3 5 8" xfId="9542" xr:uid="{00000000-0005-0000-0000-000009200000}"/>
    <cellStyle name="Input 2 3 5 8 2" xfId="19844" xr:uid="{00000000-0005-0000-0000-00000A200000}"/>
    <cellStyle name="Input 2 3 6" xfId="1747" xr:uid="{00000000-0005-0000-0000-00000B200000}"/>
    <cellStyle name="Input 2 3 6 2" xfId="4095" xr:uid="{00000000-0005-0000-0000-00000C200000}"/>
    <cellStyle name="Input 2 3 6 2 2" xfId="8141" xr:uid="{00000000-0005-0000-0000-00000D200000}"/>
    <cellStyle name="Input 2 3 6 2 2 2" xfId="23887" xr:uid="{00000000-0005-0000-0000-00000E200000}"/>
    <cellStyle name="Input 2 3 6 2 3" xfId="14427" xr:uid="{00000000-0005-0000-0000-00000F200000}"/>
    <cellStyle name="Input 2 3 6 2 3 2" xfId="29259" xr:uid="{00000000-0005-0000-0000-000010200000}"/>
    <cellStyle name="Input 2 3 6 2 4" xfId="21517" xr:uid="{00000000-0005-0000-0000-000011200000}"/>
    <cellStyle name="Input 2 3 6 3" xfId="4725" xr:uid="{00000000-0005-0000-0000-000012200000}"/>
    <cellStyle name="Input 2 3 6 3 2" xfId="8764" xr:uid="{00000000-0005-0000-0000-000013200000}"/>
    <cellStyle name="Input 2 3 6 3 2 2" xfId="24294" xr:uid="{00000000-0005-0000-0000-000014200000}"/>
    <cellStyle name="Input 2 3 6 3 3" xfId="15049" xr:uid="{00000000-0005-0000-0000-000015200000}"/>
    <cellStyle name="Input 2 3 6 3 3 2" xfId="29881" xr:uid="{00000000-0005-0000-0000-000016200000}"/>
    <cellStyle name="Input 2 3 6 3 4" xfId="21832" xr:uid="{00000000-0005-0000-0000-000017200000}"/>
    <cellStyle name="Input 2 3 6 4" xfId="2715" xr:uid="{00000000-0005-0000-0000-000018200000}"/>
    <cellStyle name="Input 2 3 6 4 2" xfId="6806" xr:uid="{00000000-0005-0000-0000-000019200000}"/>
    <cellStyle name="Input 2 3 6 4 2 2" xfId="23045" xr:uid="{00000000-0005-0000-0000-00001A200000}"/>
    <cellStyle name="Input 2 3 6 4 3" xfId="13053" xr:uid="{00000000-0005-0000-0000-00001B200000}"/>
    <cellStyle name="Input 2 3 6 4 3 2" xfId="27885" xr:uid="{00000000-0005-0000-0000-00001C200000}"/>
    <cellStyle name="Input 2 3 6 4 4" xfId="20705" xr:uid="{00000000-0005-0000-0000-00001D200000}"/>
    <cellStyle name="Input 2 3 6 5" xfId="5879" xr:uid="{00000000-0005-0000-0000-00001E200000}"/>
    <cellStyle name="Input 2 3 6 5 2" xfId="16071" xr:uid="{00000000-0005-0000-0000-00001F200000}"/>
    <cellStyle name="Input 2 3 6 5 2 2" xfId="30903" xr:uid="{00000000-0005-0000-0000-000020200000}"/>
    <cellStyle name="Input 2 3 6 5 3" xfId="22476" xr:uid="{00000000-0005-0000-0000-000021200000}"/>
    <cellStyle name="Input 2 3 6 6" xfId="12141" xr:uid="{00000000-0005-0000-0000-000022200000}"/>
    <cellStyle name="Input 2 3 6 6 2" xfId="26973" xr:uid="{00000000-0005-0000-0000-000023200000}"/>
    <cellStyle name="Input 2 3 6 7" xfId="9737" xr:uid="{00000000-0005-0000-0000-000024200000}"/>
    <cellStyle name="Input 2 3 6 7 2" xfId="20035" xr:uid="{00000000-0005-0000-0000-000025200000}"/>
    <cellStyle name="Input 2 3 7" xfId="2219" xr:uid="{00000000-0005-0000-0000-000026200000}"/>
    <cellStyle name="Input 2 3 7 2" xfId="3659" xr:uid="{00000000-0005-0000-0000-000027200000}"/>
    <cellStyle name="Input 2 3 7 2 2" xfId="7718" xr:uid="{00000000-0005-0000-0000-000028200000}"/>
    <cellStyle name="Input 2 3 7 2 2 2" xfId="23614" xr:uid="{00000000-0005-0000-0000-000029200000}"/>
    <cellStyle name="Input 2 3 7 2 3" xfId="13994" xr:uid="{00000000-0005-0000-0000-00002A200000}"/>
    <cellStyle name="Input 2 3 7 2 3 2" xfId="28826" xr:uid="{00000000-0005-0000-0000-00002B200000}"/>
    <cellStyle name="Input 2 3 7 2 4" xfId="21278" xr:uid="{00000000-0005-0000-0000-00002C200000}"/>
    <cellStyle name="Input 2 3 7 3" xfId="5187" xr:uid="{00000000-0005-0000-0000-00002D200000}"/>
    <cellStyle name="Input 2 3 7 3 2" xfId="9226" xr:uid="{00000000-0005-0000-0000-00002E200000}"/>
    <cellStyle name="Input 2 3 7 3 2 2" xfId="24564" xr:uid="{00000000-0005-0000-0000-00002F200000}"/>
    <cellStyle name="Input 2 3 7 3 3" xfId="15505" xr:uid="{00000000-0005-0000-0000-000030200000}"/>
    <cellStyle name="Input 2 3 7 3 3 2" xfId="30337" xr:uid="{00000000-0005-0000-0000-000031200000}"/>
    <cellStyle name="Input 2 3 7 3 4" xfId="22071" xr:uid="{00000000-0005-0000-0000-000032200000}"/>
    <cellStyle name="Input 2 3 7 4" xfId="4217" xr:uid="{00000000-0005-0000-0000-000033200000}"/>
    <cellStyle name="Input 2 3 7 4 2" xfId="8258" xr:uid="{00000000-0005-0000-0000-000034200000}"/>
    <cellStyle name="Input 2 3 7 4 2 2" xfId="23953" xr:uid="{00000000-0005-0000-0000-000035200000}"/>
    <cellStyle name="Input 2 3 7 4 3" xfId="14549" xr:uid="{00000000-0005-0000-0000-000036200000}"/>
    <cellStyle name="Input 2 3 7 4 3 2" xfId="29381" xr:uid="{00000000-0005-0000-0000-000037200000}"/>
    <cellStyle name="Input 2 3 7 4 4" xfId="21578" xr:uid="{00000000-0005-0000-0000-000038200000}"/>
    <cellStyle name="Input 2 3 7 5" xfId="6333" xr:uid="{00000000-0005-0000-0000-000039200000}"/>
    <cellStyle name="Input 2 3 7 5 2" xfId="22735" xr:uid="{00000000-0005-0000-0000-00003A200000}"/>
    <cellStyle name="Input 2 3 7 6" xfId="12587" xr:uid="{00000000-0005-0000-0000-00003B200000}"/>
    <cellStyle name="Input 2 3 7 6 2" xfId="27419" xr:uid="{00000000-0005-0000-0000-00003C200000}"/>
    <cellStyle name="Input 2 3 7 7" xfId="20414" xr:uid="{00000000-0005-0000-0000-00003D200000}"/>
    <cellStyle name="Input 2 3 8" xfId="4334" xr:uid="{00000000-0005-0000-0000-00003E200000}"/>
    <cellStyle name="Input 2 3 8 2" xfId="8373" xr:uid="{00000000-0005-0000-0000-00003F200000}"/>
    <cellStyle name="Input 2 3 8 2 2" xfId="24034" xr:uid="{00000000-0005-0000-0000-000040200000}"/>
    <cellStyle name="Input 2 3 8 3" xfId="14665" xr:uid="{00000000-0005-0000-0000-000041200000}"/>
    <cellStyle name="Input 2 3 8 3 2" xfId="29497" xr:uid="{00000000-0005-0000-0000-000042200000}"/>
    <cellStyle name="Input 2 3 8 4" xfId="21630" xr:uid="{00000000-0005-0000-0000-000043200000}"/>
    <cellStyle name="Input 2 3 9" xfId="3146" xr:uid="{00000000-0005-0000-0000-000044200000}"/>
    <cellStyle name="Input 2 3 9 2" xfId="7210" xr:uid="{00000000-0005-0000-0000-000045200000}"/>
    <cellStyle name="Input 2 3 9 2 2" xfId="23279" xr:uid="{00000000-0005-0000-0000-000046200000}"/>
    <cellStyle name="Input 2 3 9 3" xfId="13484" xr:uid="{00000000-0005-0000-0000-000047200000}"/>
    <cellStyle name="Input 2 3 9 3 2" xfId="28316" xr:uid="{00000000-0005-0000-0000-000048200000}"/>
    <cellStyle name="Input 2 3 9 4" xfId="20970" xr:uid="{00000000-0005-0000-0000-000049200000}"/>
    <cellStyle name="Input 2 4" xfId="1115" xr:uid="{00000000-0005-0000-0000-00004A200000}"/>
    <cellStyle name="Input 2 4 10" xfId="2286" xr:uid="{00000000-0005-0000-0000-00004B200000}"/>
    <cellStyle name="Input 2 4 10 2" xfId="6398" xr:uid="{00000000-0005-0000-0000-00004C200000}"/>
    <cellStyle name="Input 2 4 10 2 2" xfId="22800" xr:uid="{00000000-0005-0000-0000-00004D200000}"/>
    <cellStyle name="Input 2 4 10 3" xfId="12626" xr:uid="{00000000-0005-0000-0000-00004E200000}"/>
    <cellStyle name="Input 2 4 10 3 2" xfId="27458" xr:uid="{00000000-0005-0000-0000-00004F200000}"/>
    <cellStyle name="Input 2 4 10 4" xfId="20452" xr:uid="{00000000-0005-0000-0000-000050200000}"/>
    <cellStyle name="Input 2 4 11" xfId="5252" xr:uid="{00000000-0005-0000-0000-000051200000}"/>
    <cellStyle name="Input 2 4 11 2" xfId="15568" xr:uid="{00000000-0005-0000-0000-000052200000}"/>
    <cellStyle name="Input 2 4 11 2 2" xfId="30400" xr:uid="{00000000-0005-0000-0000-000053200000}"/>
    <cellStyle name="Input 2 4 11 3" xfId="22109" xr:uid="{00000000-0005-0000-0000-000054200000}"/>
    <cellStyle name="Input 2 4 12" xfId="5410" xr:uid="{00000000-0005-0000-0000-000055200000}"/>
    <cellStyle name="Input 2 4 12 2" xfId="15646" xr:uid="{00000000-0005-0000-0000-000056200000}"/>
    <cellStyle name="Input 2 4 12 2 2" xfId="30478" xr:uid="{00000000-0005-0000-0000-000057200000}"/>
    <cellStyle name="Input 2 4 12 3" xfId="22171" xr:uid="{00000000-0005-0000-0000-000058200000}"/>
    <cellStyle name="Input 2 4 13" xfId="9381" xr:uid="{00000000-0005-0000-0000-000059200000}"/>
    <cellStyle name="Input 2 4 13 2" xfId="24687" xr:uid="{00000000-0005-0000-0000-00005A200000}"/>
    <cellStyle name="Input 2 4 14" xfId="5370" xr:uid="{00000000-0005-0000-0000-00005B200000}"/>
    <cellStyle name="Input 2 4 14 2" xfId="18244" xr:uid="{00000000-0005-0000-0000-00005C200000}"/>
    <cellStyle name="Input 2 4 2" xfId="1322" xr:uid="{00000000-0005-0000-0000-00005D200000}"/>
    <cellStyle name="Input 2 4 2 2" xfId="1826" xr:uid="{00000000-0005-0000-0000-00005E200000}"/>
    <cellStyle name="Input 2 4 2 2 2" xfId="3756" xr:uid="{00000000-0005-0000-0000-00005F200000}"/>
    <cellStyle name="Input 2 4 2 2 2 2" xfId="7812" xr:uid="{00000000-0005-0000-0000-000060200000}"/>
    <cellStyle name="Input 2 4 2 2 2 2 2" xfId="23680" xr:uid="{00000000-0005-0000-0000-000061200000}"/>
    <cellStyle name="Input 2 4 2 2 2 3" xfId="14091" xr:uid="{00000000-0005-0000-0000-000062200000}"/>
    <cellStyle name="Input 2 4 2 2 2 3 2" xfId="28923" xr:uid="{00000000-0005-0000-0000-000063200000}"/>
    <cellStyle name="Input 2 4 2 2 2 4" xfId="21336" xr:uid="{00000000-0005-0000-0000-000064200000}"/>
    <cellStyle name="Input 2 4 2 2 3" xfId="4804" xr:uid="{00000000-0005-0000-0000-000065200000}"/>
    <cellStyle name="Input 2 4 2 2 3 2" xfId="8843" xr:uid="{00000000-0005-0000-0000-000066200000}"/>
    <cellStyle name="Input 2 4 2 2 3 2 2" xfId="24341" xr:uid="{00000000-0005-0000-0000-000067200000}"/>
    <cellStyle name="Input 2 4 2 2 3 3" xfId="15128" xr:uid="{00000000-0005-0000-0000-000068200000}"/>
    <cellStyle name="Input 2 4 2 2 3 3 2" xfId="29960" xr:uid="{00000000-0005-0000-0000-000069200000}"/>
    <cellStyle name="Input 2 4 2 2 3 4" xfId="21879" xr:uid="{00000000-0005-0000-0000-00006A200000}"/>
    <cellStyle name="Input 2 4 2 2 4" xfId="2794" xr:uid="{00000000-0005-0000-0000-00006B200000}"/>
    <cellStyle name="Input 2 4 2 2 4 2" xfId="6885" xr:uid="{00000000-0005-0000-0000-00006C200000}"/>
    <cellStyle name="Input 2 4 2 2 4 2 2" xfId="23092" xr:uid="{00000000-0005-0000-0000-00006D200000}"/>
    <cellStyle name="Input 2 4 2 2 4 3" xfId="13132" xr:uid="{00000000-0005-0000-0000-00006E200000}"/>
    <cellStyle name="Input 2 4 2 2 4 3 2" xfId="27964" xr:uid="{00000000-0005-0000-0000-00006F200000}"/>
    <cellStyle name="Input 2 4 2 2 4 4" xfId="20752" xr:uid="{00000000-0005-0000-0000-000070200000}"/>
    <cellStyle name="Input 2 4 2 2 5" xfId="5958" xr:uid="{00000000-0005-0000-0000-000071200000}"/>
    <cellStyle name="Input 2 4 2 2 5 2" xfId="16150" xr:uid="{00000000-0005-0000-0000-000072200000}"/>
    <cellStyle name="Input 2 4 2 2 5 2 2" xfId="30982" xr:uid="{00000000-0005-0000-0000-000073200000}"/>
    <cellStyle name="Input 2 4 2 2 5 3" xfId="22523" xr:uid="{00000000-0005-0000-0000-000074200000}"/>
    <cellStyle name="Input 2 4 2 2 6" xfId="12220" xr:uid="{00000000-0005-0000-0000-000075200000}"/>
    <cellStyle name="Input 2 4 2 2 6 2" xfId="27052" xr:uid="{00000000-0005-0000-0000-000076200000}"/>
    <cellStyle name="Input 2 4 2 2 7" xfId="9816" xr:uid="{00000000-0005-0000-0000-000077200000}"/>
    <cellStyle name="Input 2 4 2 2 7 2" xfId="20067" xr:uid="{00000000-0005-0000-0000-000078200000}"/>
    <cellStyle name="Input 2 4 2 3" xfId="3747" xr:uid="{00000000-0005-0000-0000-000079200000}"/>
    <cellStyle name="Input 2 4 2 3 2" xfId="7803" xr:uid="{00000000-0005-0000-0000-00007A200000}"/>
    <cellStyle name="Input 2 4 2 3 2 2" xfId="23674" xr:uid="{00000000-0005-0000-0000-00007B200000}"/>
    <cellStyle name="Input 2 4 2 3 3" xfId="14082" xr:uid="{00000000-0005-0000-0000-00007C200000}"/>
    <cellStyle name="Input 2 4 2 3 3 2" xfId="28914" xr:uid="{00000000-0005-0000-0000-00007D200000}"/>
    <cellStyle name="Input 2 4 2 3 4" xfId="21330" xr:uid="{00000000-0005-0000-0000-00007E200000}"/>
    <cellStyle name="Input 2 4 2 4" xfId="4384" xr:uid="{00000000-0005-0000-0000-00007F200000}"/>
    <cellStyle name="Input 2 4 2 4 2" xfId="8423" xr:uid="{00000000-0005-0000-0000-000080200000}"/>
    <cellStyle name="Input 2 4 2 4 2 2" xfId="24081" xr:uid="{00000000-0005-0000-0000-000081200000}"/>
    <cellStyle name="Input 2 4 2 4 3" xfId="14713" xr:uid="{00000000-0005-0000-0000-000082200000}"/>
    <cellStyle name="Input 2 4 2 4 3 2" xfId="29545" xr:uid="{00000000-0005-0000-0000-000083200000}"/>
    <cellStyle name="Input 2 4 2 4 4" xfId="21649" xr:uid="{00000000-0005-0000-0000-000084200000}"/>
    <cellStyle name="Input 2 4 2 5" xfId="2374" xr:uid="{00000000-0005-0000-0000-000085200000}"/>
    <cellStyle name="Input 2 4 2 5 2" xfId="6486" xr:uid="{00000000-0005-0000-0000-000086200000}"/>
    <cellStyle name="Input 2 4 2 5 2 2" xfId="22856" xr:uid="{00000000-0005-0000-0000-000087200000}"/>
    <cellStyle name="Input 2 4 2 5 3" xfId="12713" xr:uid="{00000000-0005-0000-0000-000088200000}"/>
    <cellStyle name="Input 2 4 2 5 3 2" xfId="27545" xr:uid="{00000000-0005-0000-0000-000089200000}"/>
    <cellStyle name="Input 2 4 2 5 4" xfId="20498" xr:uid="{00000000-0005-0000-0000-00008A200000}"/>
    <cellStyle name="Input 2 4 2 6" xfId="5499" xr:uid="{00000000-0005-0000-0000-00008B200000}"/>
    <cellStyle name="Input 2 4 2 6 2" xfId="15734" xr:uid="{00000000-0005-0000-0000-00008C200000}"/>
    <cellStyle name="Input 2 4 2 6 2 2" xfId="30566" xr:uid="{00000000-0005-0000-0000-00008D200000}"/>
    <cellStyle name="Input 2 4 2 6 3" xfId="22227" xr:uid="{00000000-0005-0000-0000-00008E200000}"/>
    <cellStyle name="Input 2 4 2 7" xfId="11749" xr:uid="{00000000-0005-0000-0000-00008F200000}"/>
    <cellStyle name="Input 2 4 2 7 2" xfId="26581" xr:uid="{00000000-0005-0000-0000-000090200000}"/>
    <cellStyle name="Input 2 4 2 8" xfId="9420" xr:uid="{00000000-0005-0000-0000-000091200000}"/>
    <cellStyle name="Input 2 4 2 8 2" xfId="19724" xr:uid="{00000000-0005-0000-0000-000092200000}"/>
    <cellStyle name="Input 2 4 3" xfId="1480" xr:uid="{00000000-0005-0000-0000-000093200000}"/>
    <cellStyle name="Input 2 4 3 2" xfId="1981" xr:uid="{00000000-0005-0000-0000-000094200000}"/>
    <cellStyle name="Input 2 4 3 2 2" xfId="3437" xr:uid="{00000000-0005-0000-0000-000095200000}"/>
    <cellStyle name="Input 2 4 3 2 2 2" xfId="7500" xr:uid="{00000000-0005-0000-0000-000096200000}"/>
    <cellStyle name="Input 2 4 3 2 2 2 2" xfId="23476" xr:uid="{00000000-0005-0000-0000-000097200000}"/>
    <cellStyle name="Input 2 4 3 2 2 3" xfId="13774" xr:uid="{00000000-0005-0000-0000-000098200000}"/>
    <cellStyle name="Input 2 4 3 2 2 3 2" xfId="28606" xr:uid="{00000000-0005-0000-0000-000099200000}"/>
    <cellStyle name="Input 2 4 3 2 2 4" xfId="21152" xr:uid="{00000000-0005-0000-0000-00009A200000}"/>
    <cellStyle name="Input 2 4 3 2 3" xfId="4945" xr:uid="{00000000-0005-0000-0000-00009B200000}"/>
    <cellStyle name="Input 2 4 3 2 3 2" xfId="8984" xr:uid="{00000000-0005-0000-0000-00009C200000}"/>
    <cellStyle name="Input 2 4 3 2 3 2 2" xfId="24450" xr:uid="{00000000-0005-0000-0000-00009D200000}"/>
    <cellStyle name="Input 2 4 3 2 3 3" xfId="15267" xr:uid="{00000000-0005-0000-0000-00009E200000}"/>
    <cellStyle name="Input 2 4 3 2 3 3 2" xfId="30099" xr:uid="{00000000-0005-0000-0000-00009F200000}"/>
    <cellStyle name="Input 2 4 3 2 3 4" xfId="21980" xr:uid="{00000000-0005-0000-0000-0000A0200000}"/>
    <cellStyle name="Input 2 4 3 2 4" xfId="2935" xr:uid="{00000000-0005-0000-0000-0000A1200000}"/>
    <cellStyle name="Input 2 4 3 2 4 2" xfId="7019" xr:uid="{00000000-0005-0000-0000-0000A2200000}"/>
    <cellStyle name="Input 2 4 3 2 4 2 2" xfId="23193" xr:uid="{00000000-0005-0000-0000-0000A3200000}"/>
    <cellStyle name="Input 2 4 3 2 4 3" xfId="13273" xr:uid="{00000000-0005-0000-0000-0000A4200000}"/>
    <cellStyle name="Input 2 4 3 2 4 3 2" xfId="28105" xr:uid="{00000000-0005-0000-0000-0000A5200000}"/>
    <cellStyle name="Input 2 4 3 2 4 4" xfId="20861" xr:uid="{00000000-0005-0000-0000-0000A6200000}"/>
    <cellStyle name="Input 2 4 3 2 5" xfId="6111" xr:uid="{00000000-0005-0000-0000-0000A7200000}"/>
    <cellStyle name="Input 2 4 3 2 5 2" xfId="16298" xr:uid="{00000000-0005-0000-0000-0000A8200000}"/>
    <cellStyle name="Input 2 4 3 2 5 2 2" xfId="31130" xr:uid="{00000000-0005-0000-0000-0000A9200000}"/>
    <cellStyle name="Input 2 4 3 2 5 3" xfId="22644" xr:uid="{00000000-0005-0000-0000-0000AA200000}"/>
    <cellStyle name="Input 2 4 3 2 6" xfId="12368" xr:uid="{00000000-0005-0000-0000-0000AB200000}"/>
    <cellStyle name="Input 2 4 3 2 6 2" xfId="27200" xr:uid="{00000000-0005-0000-0000-0000AC200000}"/>
    <cellStyle name="Input 2 4 3 2 7" xfId="9950" xr:uid="{00000000-0005-0000-0000-0000AD200000}"/>
    <cellStyle name="Input 2 4 3 2 7 2" xfId="20152" xr:uid="{00000000-0005-0000-0000-0000AE200000}"/>
    <cellStyle name="Input 2 4 3 3" xfId="3358" xr:uid="{00000000-0005-0000-0000-0000AF200000}"/>
    <cellStyle name="Input 2 4 3 3 2" xfId="7421" xr:uid="{00000000-0005-0000-0000-0000B0200000}"/>
    <cellStyle name="Input 2 4 3 3 2 2" xfId="23422" xr:uid="{00000000-0005-0000-0000-0000B1200000}"/>
    <cellStyle name="Input 2 4 3 3 3" xfId="13695" xr:uid="{00000000-0005-0000-0000-0000B2200000}"/>
    <cellStyle name="Input 2 4 3 3 3 2" xfId="28527" xr:uid="{00000000-0005-0000-0000-0000B3200000}"/>
    <cellStyle name="Input 2 4 3 3 4" xfId="21107" xr:uid="{00000000-0005-0000-0000-0000B4200000}"/>
    <cellStyle name="Input 2 4 3 4" xfId="4525" xr:uid="{00000000-0005-0000-0000-0000B5200000}"/>
    <cellStyle name="Input 2 4 3 4 2" xfId="8564" xr:uid="{00000000-0005-0000-0000-0000B6200000}"/>
    <cellStyle name="Input 2 4 3 4 2 2" xfId="24190" xr:uid="{00000000-0005-0000-0000-0000B7200000}"/>
    <cellStyle name="Input 2 4 3 4 3" xfId="14852" xr:uid="{00000000-0005-0000-0000-0000B8200000}"/>
    <cellStyle name="Input 2 4 3 4 3 2" xfId="29684" xr:uid="{00000000-0005-0000-0000-0000B9200000}"/>
    <cellStyle name="Input 2 4 3 4 4" xfId="21750" xr:uid="{00000000-0005-0000-0000-0000BA200000}"/>
    <cellStyle name="Input 2 4 3 5" xfId="2515" xr:uid="{00000000-0005-0000-0000-0000BB200000}"/>
    <cellStyle name="Input 2 4 3 5 2" xfId="6621" xr:uid="{00000000-0005-0000-0000-0000BC200000}"/>
    <cellStyle name="Input 2 4 3 5 2 2" xfId="22959" xr:uid="{00000000-0005-0000-0000-0000BD200000}"/>
    <cellStyle name="Input 2 4 3 5 3" xfId="12853" xr:uid="{00000000-0005-0000-0000-0000BE200000}"/>
    <cellStyle name="Input 2 4 3 5 3 2" xfId="27685" xr:uid="{00000000-0005-0000-0000-0000BF200000}"/>
    <cellStyle name="Input 2 4 3 5 4" xfId="20605" xr:uid="{00000000-0005-0000-0000-0000C0200000}"/>
    <cellStyle name="Input 2 4 3 6" xfId="5638" xr:uid="{00000000-0005-0000-0000-0000C1200000}"/>
    <cellStyle name="Input 2 4 3 6 2" xfId="15873" xr:uid="{00000000-0005-0000-0000-0000C2200000}"/>
    <cellStyle name="Input 2 4 3 6 2 2" xfId="30705" xr:uid="{00000000-0005-0000-0000-0000C3200000}"/>
    <cellStyle name="Input 2 4 3 6 3" xfId="22334" xr:uid="{00000000-0005-0000-0000-0000C4200000}"/>
    <cellStyle name="Input 2 4 3 7" xfId="11897" xr:uid="{00000000-0005-0000-0000-0000C5200000}"/>
    <cellStyle name="Input 2 4 3 7 2" xfId="26729" xr:uid="{00000000-0005-0000-0000-0000C6200000}"/>
    <cellStyle name="Input 2 4 3 8" xfId="9555" xr:uid="{00000000-0005-0000-0000-0000C7200000}"/>
    <cellStyle name="Input 2 4 3 8 2" xfId="19857" xr:uid="{00000000-0005-0000-0000-0000C8200000}"/>
    <cellStyle name="Input 2 4 4" xfId="1398" xr:uid="{00000000-0005-0000-0000-0000C9200000}"/>
    <cellStyle name="Input 2 4 4 2" xfId="1900" xr:uid="{00000000-0005-0000-0000-0000CA200000}"/>
    <cellStyle name="Input 2 4 4 2 2" xfId="3889" xr:uid="{00000000-0005-0000-0000-0000CB200000}"/>
    <cellStyle name="Input 2 4 4 2 2 2" xfId="7940" xr:uid="{00000000-0005-0000-0000-0000CC200000}"/>
    <cellStyle name="Input 2 4 4 2 2 2 2" xfId="23762" xr:uid="{00000000-0005-0000-0000-0000CD200000}"/>
    <cellStyle name="Input 2 4 4 2 2 3" xfId="14223" xr:uid="{00000000-0005-0000-0000-0000CE200000}"/>
    <cellStyle name="Input 2 4 4 2 2 3 2" xfId="29055" xr:uid="{00000000-0005-0000-0000-0000CF200000}"/>
    <cellStyle name="Input 2 4 4 2 2 4" xfId="21404" xr:uid="{00000000-0005-0000-0000-0000D0200000}"/>
    <cellStyle name="Input 2 4 4 2 3" xfId="4878" xr:uid="{00000000-0005-0000-0000-0000D1200000}"/>
    <cellStyle name="Input 2 4 4 2 3 2" xfId="8917" xr:uid="{00000000-0005-0000-0000-0000D2200000}"/>
    <cellStyle name="Input 2 4 4 2 3 2 2" xfId="24383" xr:uid="{00000000-0005-0000-0000-0000D3200000}"/>
    <cellStyle name="Input 2 4 4 2 3 3" xfId="15201" xr:uid="{00000000-0005-0000-0000-0000D4200000}"/>
    <cellStyle name="Input 2 4 4 2 3 3 2" xfId="30033" xr:uid="{00000000-0005-0000-0000-0000D5200000}"/>
    <cellStyle name="Input 2 4 4 2 3 4" xfId="21915" xr:uid="{00000000-0005-0000-0000-0000D6200000}"/>
    <cellStyle name="Input 2 4 4 2 4" xfId="2868" xr:uid="{00000000-0005-0000-0000-0000D7200000}"/>
    <cellStyle name="Input 2 4 4 2 4 2" xfId="6953" xr:uid="{00000000-0005-0000-0000-0000D8200000}"/>
    <cellStyle name="Input 2 4 4 2 4 2 2" xfId="23128" xr:uid="{00000000-0005-0000-0000-0000D9200000}"/>
    <cellStyle name="Input 2 4 4 2 4 3" xfId="13206" xr:uid="{00000000-0005-0000-0000-0000DA200000}"/>
    <cellStyle name="Input 2 4 4 2 4 3 2" xfId="28038" xr:uid="{00000000-0005-0000-0000-0000DB200000}"/>
    <cellStyle name="Input 2 4 4 2 4 4" xfId="20794" xr:uid="{00000000-0005-0000-0000-0000DC200000}"/>
    <cellStyle name="Input 2 4 4 2 5" xfId="6031" xr:uid="{00000000-0005-0000-0000-0000DD200000}"/>
    <cellStyle name="Input 2 4 4 2 5 2" xfId="16218" xr:uid="{00000000-0005-0000-0000-0000DE200000}"/>
    <cellStyle name="Input 2 4 4 2 5 2 2" xfId="31050" xr:uid="{00000000-0005-0000-0000-0000DF200000}"/>
    <cellStyle name="Input 2 4 4 2 5 3" xfId="22564" xr:uid="{00000000-0005-0000-0000-0000E0200000}"/>
    <cellStyle name="Input 2 4 4 2 6" xfId="12288" xr:uid="{00000000-0005-0000-0000-0000E1200000}"/>
    <cellStyle name="Input 2 4 4 2 6 2" xfId="27120" xr:uid="{00000000-0005-0000-0000-0000E2200000}"/>
    <cellStyle name="Input 2 4 4 2 7" xfId="9884" xr:uid="{00000000-0005-0000-0000-0000E3200000}"/>
    <cellStyle name="Input 2 4 4 2 7 2" xfId="20088" xr:uid="{00000000-0005-0000-0000-0000E4200000}"/>
    <cellStyle name="Input 2 4 4 3" xfId="3938" xr:uid="{00000000-0005-0000-0000-0000E5200000}"/>
    <cellStyle name="Input 2 4 4 3 2" xfId="7988" xr:uid="{00000000-0005-0000-0000-0000E6200000}"/>
    <cellStyle name="Input 2 4 4 3 2 2" xfId="23789" xr:uid="{00000000-0005-0000-0000-0000E7200000}"/>
    <cellStyle name="Input 2 4 4 3 3" xfId="14271" xr:uid="{00000000-0005-0000-0000-0000E8200000}"/>
    <cellStyle name="Input 2 4 4 3 3 2" xfId="29103" xr:uid="{00000000-0005-0000-0000-0000E9200000}"/>
    <cellStyle name="Input 2 4 4 3 4" xfId="21431" xr:uid="{00000000-0005-0000-0000-0000EA200000}"/>
    <cellStyle name="Input 2 4 4 4" xfId="4458" xr:uid="{00000000-0005-0000-0000-0000EB200000}"/>
    <cellStyle name="Input 2 4 4 4 2" xfId="8497" xr:uid="{00000000-0005-0000-0000-0000EC200000}"/>
    <cellStyle name="Input 2 4 4 4 2 2" xfId="24123" xr:uid="{00000000-0005-0000-0000-0000ED200000}"/>
    <cellStyle name="Input 2 4 4 4 3" xfId="14786" xr:uid="{00000000-0005-0000-0000-0000EE200000}"/>
    <cellStyle name="Input 2 4 4 4 3 2" xfId="29618" xr:uid="{00000000-0005-0000-0000-0000EF200000}"/>
    <cellStyle name="Input 2 4 4 4 4" xfId="21685" xr:uid="{00000000-0005-0000-0000-0000F0200000}"/>
    <cellStyle name="Input 2 4 4 5" xfId="2448" xr:uid="{00000000-0005-0000-0000-0000F1200000}"/>
    <cellStyle name="Input 2 4 4 5 2" xfId="6554" xr:uid="{00000000-0005-0000-0000-0000F2200000}"/>
    <cellStyle name="Input 2 4 4 5 2 2" xfId="22892" xr:uid="{00000000-0005-0000-0000-0000F3200000}"/>
    <cellStyle name="Input 2 4 4 5 3" xfId="12787" xr:uid="{00000000-0005-0000-0000-0000F4200000}"/>
    <cellStyle name="Input 2 4 4 5 3 2" xfId="27619" xr:uid="{00000000-0005-0000-0000-0000F5200000}"/>
    <cellStyle name="Input 2 4 4 5 4" xfId="20540" xr:uid="{00000000-0005-0000-0000-0000F6200000}"/>
    <cellStyle name="Input 2 4 4 6" xfId="5572" xr:uid="{00000000-0005-0000-0000-0000F7200000}"/>
    <cellStyle name="Input 2 4 4 6 2" xfId="15807" xr:uid="{00000000-0005-0000-0000-0000F8200000}"/>
    <cellStyle name="Input 2 4 4 6 2 2" xfId="30639" xr:uid="{00000000-0005-0000-0000-0000F9200000}"/>
    <cellStyle name="Input 2 4 4 6 3" xfId="22268" xr:uid="{00000000-0005-0000-0000-0000FA200000}"/>
    <cellStyle name="Input 2 4 4 7" xfId="11817" xr:uid="{00000000-0005-0000-0000-0000FB200000}"/>
    <cellStyle name="Input 2 4 4 7 2" xfId="26649" xr:uid="{00000000-0005-0000-0000-0000FC200000}"/>
    <cellStyle name="Input 2 4 4 8" xfId="9489" xr:uid="{00000000-0005-0000-0000-0000FD200000}"/>
    <cellStyle name="Input 2 4 4 8 2" xfId="19792" xr:uid="{00000000-0005-0000-0000-0000FE200000}"/>
    <cellStyle name="Input 2 4 5" xfId="1470" xr:uid="{00000000-0005-0000-0000-0000FF200000}"/>
    <cellStyle name="Input 2 4 5 2" xfId="1971" xr:uid="{00000000-0005-0000-0000-000000210000}"/>
    <cellStyle name="Input 2 4 5 2 2" xfId="3930" xr:uid="{00000000-0005-0000-0000-000001210000}"/>
    <cellStyle name="Input 2 4 5 2 2 2" xfId="7980" xr:uid="{00000000-0005-0000-0000-000002210000}"/>
    <cellStyle name="Input 2 4 5 2 2 2 2" xfId="23786" xr:uid="{00000000-0005-0000-0000-000003210000}"/>
    <cellStyle name="Input 2 4 5 2 2 3" xfId="14263" xr:uid="{00000000-0005-0000-0000-000004210000}"/>
    <cellStyle name="Input 2 4 5 2 2 3 2" xfId="29095" xr:uid="{00000000-0005-0000-0000-000005210000}"/>
    <cellStyle name="Input 2 4 5 2 2 4" xfId="21428" xr:uid="{00000000-0005-0000-0000-000006210000}"/>
    <cellStyle name="Input 2 4 5 2 3" xfId="4935" xr:uid="{00000000-0005-0000-0000-000007210000}"/>
    <cellStyle name="Input 2 4 5 2 3 2" xfId="8974" xr:uid="{00000000-0005-0000-0000-000008210000}"/>
    <cellStyle name="Input 2 4 5 2 3 2 2" xfId="24440" xr:uid="{00000000-0005-0000-0000-000009210000}"/>
    <cellStyle name="Input 2 4 5 2 3 3" xfId="15257" xr:uid="{00000000-0005-0000-0000-00000A210000}"/>
    <cellStyle name="Input 2 4 5 2 3 3 2" xfId="30089" xr:uid="{00000000-0005-0000-0000-00000B210000}"/>
    <cellStyle name="Input 2 4 5 2 3 4" xfId="21970" xr:uid="{00000000-0005-0000-0000-00000C210000}"/>
    <cellStyle name="Input 2 4 5 2 4" xfId="2925" xr:uid="{00000000-0005-0000-0000-00000D210000}"/>
    <cellStyle name="Input 2 4 5 2 4 2" xfId="7009" xr:uid="{00000000-0005-0000-0000-00000E210000}"/>
    <cellStyle name="Input 2 4 5 2 4 2 2" xfId="23183" xr:uid="{00000000-0005-0000-0000-00000F210000}"/>
    <cellStyle name="Input 2 4 5 2 4 3" xfId="13263" xr:uid="{00000000-0005-0000-0000-000010210000}"/>
    <cellStyle name="Input 2 4 5 2 4 3 2" xfId="28095" xr:uid="{00000000-0005-0000-0000-000011210000}"/>
    <cellStyle name="Input 2 4 5 2 4 4" xfId="20851" xr:uid="{00000000-0005-0000-0000-000012210000}"/>
    <cellStyle name="Input 2 4 5 2 5" xfId="6101" xr:uid="{00000000-0005-0000-0000-000013210000}"/>
    <cellStyle name="Input 2 4 5 2 5 2" xfId="16288" xr:uid="{00000000-0005-0000-0000-000014210000}"/>
    <cellStyle name="Input 2 4 5 2 5 2 2" xfId="31120" xr:uid="{00000000-0005-0000-0000-000015210000}"/>
    <cellStyle name="Input 2 4 5 2 5 3" xfId="22634" xr:uid="{00000000-0005-0000-0000-000016210000}"/>
    <cellStyle name="Input 2 4 5 2 6" xfId="12358" xr:uid="{00000000-0005-0000-0000-000017210000}"/>
    <cellStyle name="Input 2 4 5 2 6 2" xfId="27190" xr:uid="{00000000-0005-0000-0000-000018210000}"/>
    <cellStyle name="Input 2 4 5 2 7" xfId="9940" xr:uid="{00000000-0005-0000-0000-000019210000}"/>
    <cellStyle name="Input 2 4 5 2 7 2" xfId="20142" xr:uid="{00000000-0005-0000-0000-00001A210000}"/>
    <cellStyle name="Input 2 4 5 3" xfId="3356" xr:uid="{00000000-0005-0000-0000-00001B210000}"/>
    <cellStyle name="Input 2 4 5 3 2" xfId="7419" xr:uid="{00000000-0005-0000-0000-00001C210000}"/>
    <cellStyle name="Input 2 4 5 3 2 2" xfId="23421" xr:uid="{00000000-0005-0000-0000-00001D210000}"/>
    <cellStyle name="Input 2 4 5 3 3" xfId="13693" xr:uid="{00000000-0005-0000-0000-00001E210000}"/>
    <cellStyle name="Input 2 4 5 3 3 2" xfId="28525" xr:uid="{00000000-0005-0000-0000-00001F210000}"/>
    <cellStyle name="Input 2 4 5 3 4" xfId="21106" xr:uid="{00000000-0005-0000-0000-000020210000}"/>
    <cellStyle name="Input 2 4 5 4" xfId="4515" xr:uid="{00000000-0005-0000-0000-000021210000}"/>
    <cellStyle name="Input 2 4 5 4 2" xfId="8554" xr:uid="{00000000-0005-0000-0000-000022210000}"/>
    <cellStyle name="Input 2 4 5 4 2 2" xfId="24180" xr:uid="{00000000-0005-0000-0000-000023210000}"/>
    <cellStyle name="Input 2 4 5 4 3" xfId="14842" xr:uid="{00000000-0005-0000-0000-000024210000}"/>
    <cellStyle name="Input 2 4 5 4 3 2" xfId="29674" xr:uid="{00000000-0005-0000-0000-000025210000}"/>
    <cellStyle name="Input 2 4 5 4 4" xfId="21740" xr:uid="{00000000-0005-0000-0000-000026210000}"/>
    <cellStyle name="Input 2 4 5 5" xfId="2505" xr:uid="{00000000-0005-0000-0000-000027210000}"/>
    <cellStyle name="Input 2 4 5 5 2" xfId="6611" xr:uid="{00000000-0005-0000-0000-000028210000}"/>
    <cellStyle name="Input 2 4 5 5 2 2" xfId="22949" xr:uid="{00000000-0005-0000-0000-000029210000}"/>
    <cellStyle name="Input 2 4 5 5 3" xfId="12843" xr:uid="{00000000-0005-0000-0000-00002A210000}"/>
    <cellStyle name="Input 2 4 5 5 3 2" xfId="27675" xr:uid="{00000000-0005-0000-0000-00002B210000}"/>
    <cellStyle name="Input 2 4 5 5 4" xfId="20595" xr:uid="{00000000-0005-0000-0000-00002C210000}"/>
    <cellStyle name="Input 2 4 5 6" xfId="5628" xr:uid="{00000000-0005-0000-0000-00002D210000}"/>
    <cellStyle name="Input 2 4 5 6 2" xfId="15863" xr:uid="{00000000-0005-0000-0000-00002E210000}"/>
    <cellStyle name="Input 2 4 5 6 2 2" xfId="30695" xr:uid="{00000000-0005-0000-0000-00002F210000}"/>
    <cellStyle name="Input 2 4 5 6 3" xfId="22324" xr:uid="{00000000-0005-0000-0000-000030210000}"/>
    <cellStyle name="Input 2 4 5 7" xfId="11887" xr:uid="{00000000-0005-0000-0000-000031210000}"/>
    <cellStyle name="Input 2 4 5 7 2" xfId="26719" xr:uid="{00000000-0005-0000-0000-000032210000}"/>
    <cellStyle name="Input 2 4 5 8" xfId="9545" xr:uid="{00000000-0005-0000-0000-000033210000}"/>
    <cellStyle name="Input 2 4 5 8 2" xfId="19847" xr:uid="{00000000-0005-0000-0000-000034210000}"/>
    <cellStyle name="Input 2 4 6" xfId="1748" xr:uid="{00000000-0005-0000-0000-000035210000}"/>
    <cellStyle name="Input 2 4 6 2" xfId="3674" xr:uid="{00000000-0005-0000-0000-000036210000}"/>
    <cellStyle name="Input 2 4 6 2 2" xfId="7732" xr:uid="{00000000-0005-0000-0000-000037210000}"/>
    <cellStyle name="Input 2 4 6 2 2 2" xfId="23625" xr:uid="{00000000-0005-0000-0000-000038210000}"/>
    <cellStyle name="Input 2 4 6 2 3" xfId="14009" xr:uid="{00000000-0005-0000-0000-000039210000}"/>
    <cellStyle name="Input 2 4 6 2 3 2" xfId="28841" xr:uid="{00000000-0005-0000-0000-00003A210000}"/>
    <cellStyle name="Input 2 4 6 2 4" xfId="21285" xr:uid="{00000000-0005-0000-0000-00003B210000}"/>
    <cellStyle name="Input 2 4 6 3" xfId="4726" xr:uid="{00000000-0005-0000-0000-00003C210000}"/>
    <cellStyle name="Input 2 4 6 3 2" xfId="8765" xr:uid="{00000000-0005-0000-0000-00003D210000}"/>
    <cellStyle name="Input 2 4 6 3 2 2" xfId="24295" xr:uid="{00000000-0005-0000-0000-00003E210000}"/>
    <cellStyle name="Input 2 4 6 3 3" xfId="15050" xr:uid="{00000000-0005-0000-0000-00003F210000}"/>
    <cellStyle name="Input 2 4 6 3 3 2" xfId="29882" xr:uid="{00000000-0005-0000-0000-000040210000}"/>
    <cellStyle name="Input 2 4 6 3 4" xfId="21833" xr:uid="{00000000-0005-0000-0000-000041210000}"/>
    <cellStyle name="Input 2 4 6 4" xfId="2716" xr:uid="{00000000-0005-0000-0000-000042210000}"/>
    <cellStyle name="Input 2 4 6 4 2" xfId="6807" xr:uid="{00000000-0005-0000-0000-000043210000}"/>
    <cellStyle name="Input 2 4 6 4 2 2" xfId="23046" xr:uid="{00000000-0005-0000-0000-000044210000}"/>
    <cellStyle name="Input 2 4 6 4 3" xfId="13054" xr:uid="{00000000-0005-0000-0000-000045210000}"/>
    <cellStyle name="Input 2 4 6 4 3 2" xfId="27886" xr:uid="{00000000-0005-0000-0000-000046210000}"/>
    <cellStyle name="Input 2 4 6 4 4" xfId="20706" xr:uid="{00000000-0005-0000-0000-000047210000}"/>
    <cellStyle name="Input 2 4 6 5" xfId="5880" xr:uid="{00000000-0005-0000-0000-000048210000}"/>
    <cellStyle name="Input 2 4 6 5 2" xfId="16072" xr:uid="{00000000-0005-0000-0000-000049210000}"/>
    <cellStyle name="Input 2 4 6 5 2 2" xfId="30904" xr:uid="{00000000-0005-0000-0000-00004A210000}"/>
    <cellStyle name="Input 2 4 6 5 3" xfId="22477" xr:uid="{00000000-0005-0000-0000-00004B210000}"/>
    <cellStyle name="Input 2 4 6 6" xfId="12142" xr:uid="{00000000-0005-0000-0000-00004C210000}"/>
    <cellStyle name="Input 2 4 6 6 2" xfId="26974" xr:uid="{00000000-0005-0000-0000-00004D210000}"/>
    <cellStyle name="Input 2 4 6 7" xfId="9738" xr:uid="{00000000-0005-0000-0000-00004E210000}"/>
    <cellStyle name="Input 2 4 6 7 2" xfId="20036" xr:uid="{00000000-0005-0000-0000-00004F210000}"/>
    <cellStyle name="Input 2 4 7" xfId="2218" xr:uid="{00000000-0005-0000-0000-000050210000}"/>
    <cellStyle name="Input 2 4 7 2" xfId="3746" xr:uid="{00000000-0005-0000-0000-000051210000}"/>
    <cellStyle name="Input 2 4 7 2 2" xfId="7802" xr:uid="{00000000-0005-0000-0000-000052210000}"/>
    <cellStyle name="Input 2 4 7 2 2 2" xfId="23673" xr:uid="{00000000-0005-0000-0000-000053210000}"/>
    <cellStyle name="Input 2 4 7 2 3" xfId="14081" xr:uid="{00000000-0005-0000-0000-000054210000}"/>
    <cellStyle name="Input 2 4 7 2 3 2" xfId="28913" xr:uid="{00000000-0005-0000-0000-000055210000}"/>
    <cellStyle name="Input 2 4 7 2 4" xfId="21329" xr:uid="{00000000-0005-0000-0000-000056210000}"/>
    <cellStyle name="Input 2 4 7 3" xfId="5186" xr:uid="{00000000-0005-0000-0000-000057210000}"/>
    <cellStyle name="Input 2 4 7 3 2" xfId="9225" xr:uid="{00000000-0005-0000-0000-000058210000}"/>
    <cellStyle name="Input 2 4 7 3 2 2" xfId="24563" xr:uid="{00000000-0005-0000-0000-000059210000}"/>
    <cellStyle name="Input 2 4 7 3 3" xfId="15504" xr:uid="{00000000-0005-0000-0000-00005A210000}"/>
    <cellStyle name="Input 2 4 7 3 3 2" xfId="30336" xr:uid="{00000000-0005-0000-0000-00005B210000}"/>
    <cellStyle name="Input 2 4 7 3 4" xfId="22070" xr:uid="{00000000-0005-0000-0000-00005C210000}"/>
    <cellStyle name="Input 2 4 7 4" xfId="4216" xr:uid="{00000000-0005-0000-0000-00005D210000}"/>
    <cellStyle name="Input 2 4 7 4 2" xfId="8257" xr:uid="{00000000-0005-0000-0000-00005E210000}"/>
    <cellStyle name="Input 2 4 7 4 2 2" xfId="23952" xr:uid="{00000000-0005-0000-0000-00005F210000}"/>
    <cellStyle name="Input 2 4 7 4 3" xfId="14548" xr:uid="{00000000-0005-0000-0000-000060210000}"/>
    <cellStyle name="Input 2 4 7 4 3 2" xfId="29380" xr:uid="{00000000-0005-0000-0000-000061210000}"/>
    <cellStyle name="Input 2 4 7 4 4" xfId="21577" xr:uid="{00000000-0005-0000-0000-000062210000}"/>
    <cellStyle name="Input 2 4 7 5" xfId="6332" xr:uid="{00000000-0005-0000-0000-000063210000}"/>
    <cellStyle name="Input 2 4 7 5 2" xfId="22734" xr:uid="{00000000-0005-0000-0000-000064210000}"/>
    <cellStyle name="Input 2 4 7 6" xfId="12586" xr:uid="{00000000-0005-0000-0000-000065210000}"/>
    <cellStyle name="Input 2 4 7 6 2" xfId="27418" xr:uid="{00000000-0005-0000-0000-000066210000}"/>
    <cellStyle name="Input 2 4 7 7" xfId="20413" xr:uid="{00000000-0005-0000-0000-000067210000}"/>
    <cellStyle name="Input 2 4 8" xfId="3343" xr:uid="{00000000-0005-0000-0000-000068210000}"/>
    <cellStyle name="Input 2 4 8 2" xfId="7406" xr:uid="{00000000-0005-0000-0000-000069210000}"/>
    <cellStyle name="Input 2 4 8 2 2" xfId="23411" xr:uid="{00000000-0005-0000-0000-00006A210000}"/>
    <cellStyle name="Input 2 4 8 3" xfId="13680" xr:uid="{00000000-0005-0000-0000-00006B210000}"/>
    <cellStyle name="Input 2 4 8 3 2" xfId="28512" xr:uid="{00000000-0005-0000-0000-00006C210000}"/>
    <cellStyle name="Input 2 4 8 4" xfId="21098" xr:uid="{00000000-0005-0000-0000-00006D210000}"/>
    <cellStyle name="Input 2 4 9" xfId="3217" xr:uid="{00000000-0005-0000-0000-00006E210000}"/>
    <cellStyle name="Input 2 4 9 2" xfId="7281" xr:uid="{00000000-0005-0000-0000-00006F210000}"/>
    <cellStyle name="Input 2 4 9 2 2" xfId="23326" xr:uid="{00000000-0005-0000-0000-000070210000}"/>
    <cellStyle name="Input 2 4 9 3" xfId="13555" xr:uid="{00000000-0005-0000-0000-000071210000}"/>
    <cellStyle name="Input 2 4 9 3 2" xfId="28387" xr:uid="{00000000-0005-0000-0000-000072210000}"/>
    <cellStyle name="Input 2 4 9 4" xfId="21015" xr:uid="{00000000-0005-0000-0000-000073210000}"/>
    <cellStyle name="Input 2 5" xfId="1116" xr:uid="{00000000-0005-0000-0000-000074210000}"/>
    <cellStyle name="Input 2 5 10" xfId="2287" xr:uid="{00000000-0005-0000-0000-000075210000}"/>
    <cellStyle name="Input 2 5 10 2" xfId="6399" xr:uid="{00000000-0005-0000-0000-000076210000}"/>
    <cellStyle name="Input 2 5 10 2 2" xfId="22801" xr:uid="{00000000-0005-0000-0000-000077210000}"/>
    <cellStyle name="Input 2 5 10 3" xfId="12627" xr:uid="{00000000-0005-0000-0000-000078210000}"/>
    <cellStyle name="Input 2 5 10 3 2" xfId="27459" xr:uid="{00000000-0005-0000-0000-000079210000}"/>
    <cellStyle name="Input 2 5 10 4" xfId="20453" xr:uid="{00000000-0005-0000-0000-00007A210000}"/>
    <cellStyle name="Input 2 5 11" xfId="5253" xr:uid="{00000000-0005-0000-0000-00007B210000}"/>
    <cellStyle name="Input 2 5 11 2" xfId="15569" xr:uid="{00000000-0005-0000-0000-00007C210000}"/>
    <cellStyle name="Input 2 5 11 2 2" xfId="30401" xr:uid="{00000000-0005-0000-0000-00007D210000}"/>
    <cellStyle name="Input 2 5 11 3" xfId="22110" xr:uid="{00000000-0005-0000-0000-00007E210000}"/>
    <cellStyle name="Input 2 5 12" xfId="5411" xr:uid="{00000000-0005-0000-0000-00007F210000}"/>
    <cellStyle name="Input 2 5 12 2" xfId="15647" xr:uid="{00000000-0005-0000-0000-000080210000}"/>
    <cellStyle name="Input 2 5 12 2 2" xfId="30479" xr:uid="{00000000-0005-0000-0000-000081210000}"/>
    <cellStyle name="Input 2 5 12 3" xfId="22172" xr:uid="{00000000-0005-0000-0000-000082210000}"/>
    <cellStyle name="Input 2 5 13" xfId="9380" xr:uid="{00000000-0005-0000-0000-000083210000}"/>
    <cellStyle name="Input 2 5 13 2" xfId="24686" xr:uid="{00000000-0005-0000-0000-000084210000}"/>
    <cellStyle name="Input 2 5 14" xfId="5369" xr:uid="{00000000-0005-0000-0000-000085210000}"/>
    <cellStyle name="Input 2 5 14 2" xfId="18243" xr:uid="{00000000-0005-0000-0000-000086210000}"/>
    <cellStyle name="Input 2 5 2" xfId="1323" xr:uid="{00000000-0005-0000-0000-000087210000}"/>
    <cellStyle name="Input 2 5 2 2" xfId="1827" xr:uid="{00000000-0005-0000-0000-000088210000}"/>
    <cellStyle name="Input 2 5 2 2 2" xfId="3929" xr:uid="{00000000-0005-0000-0000-000089210000}"/>
    <cellStyle name="Input 2 5 2 2 2 2" xfId="7979" xr:uid="{00000000-0005-0000-0000-00008A210000}"/>
    <cellStyle name="Input 2 5 2 2 2 2 2" xfId="23785" xr:uid="{00000000-0005-0000-0000-00008B210000}"/>
    <cellStyle name="Input 2 5 2 2 2 3" xfId="14262" xr:uid="{00000000-0005-0000-0000-00008C210000}"/>
    <cellStyle name="Input 2 5 2 2 2 3 2" xfId="29094" xr:uid="{00000000-0005-0000-0000-00008D210000}"/>
    <cellStyle name="Input 2 5 2 2 2 4" xfId="21427" xr:uid="{00000000-0005-0000-0000-00008E210000}"/>
    <cellStyle name="Input 2 5 2 2 3" xfId="4805" xr:uid="{00000000-0005-0000-0000-00008F210000}"/>
    <cellStyle name="Input 2 5 2 2 3 2" xfId="8844" xr:uid="{00000000-0005-0000-0000-000090210000}"/>
    <cellStyle name="Input 2 5 2 2 3 2 2" xfId="24342" xr:uid="{00000000-0005-0000-0000-000091210000}"/>
    <cellStyle name="Input 2 5 2 2 3 3" xfId="15129" xr:uid="{00000000-0005-0000-0000-000092210000}"/>
    <cellStyle name="Input 2 5 2 2 3 3 2" xfId="29961" xr:uid="{00000000-0005-0000-0000-000093210000}"/>
    <cellStyle name="Input 2 5 2 2 3 4" xfId="21880" xr:uid="{00000000-0005-0000-0000-000094210000}"/>
    <cellStyle name="Input 2 5 2 2 4" xfId="2795" xr:uid="{00000000-0005-0000-0000-000095210000}"/>
    <cellStyle name="Input 2 5 2 2 4 2" xfId="6886" xr:uid="{00000000-0005-0000-0000-000096210000}"/>
    <cellStyle name="Input 2 5 2 2 4 2 2" xfId="23093" xr:uid="{00000000-0005-0000-0000-000097210000}"/>
    <cellStyle name="Input 2 5 2 2 4 3" xfId="13133" xr:uid="{00000000-0005-0000-0000-000098210000}"/>
    <cellStyle name="Input 2 5 2 2 4 3 2" xfId="27965" xr:uid="{00000000-0005-0000-0000-000099210000}"/>
    <cellStyle name="Input 2 5 2 2 4 4" xfId="20753" xr:uid="{00000000-0005-0000-0000-00009A210000}"/>
    <cellStyle name="Input 2 5 2 2 5" xfId="5959" xr:uid="{00000000-0005-0000-0000-00009B210000}"/>
    <cellStyle name="Input 2 5 2 2 5 2" xfId="16151" xr:uid="{00000000-0005-0000-0000-00009C210000}"/>
    <cellStyle name="Input 2 5 2 2 5 2 2" xfId="30983" xr:uid="{00000000-0005-0000-0000-00009D210000}"/>
    <cellStyle name="Input 2 5 2 2 5 3" xfId="22524" xr:uid="{00000000-0005-0000-0000-00009E210000}"/>
    <cellStyle name="Input 2 5 2 2 6" xfId="12221" xr:uid="{00000000-0005-0000-0000-00009F210000}"/>
    <cellStyle name="Input 2 5 2 2 6 2" xfId="27053" xr:uid="{00000000-0005-0000-0000-0000A0210000}"/>
    <cellStyle name="Input 2 5 2 2 7" xfId="9817" xr:uid="{00000000-0005-0000-0000-0000A1210000}"/>
    <cellStyle name="Input 2 5 2 2 7 2" xfId="20068" xr:uid="{00000000-0005-0000-0000-0000A2210000}"/>
    <cellStyle name="Input 2 5 2 3" xfId="3876" xr:uid="{00000000-0005-0000-0000-0000A3210000}"/>
    <cellStyle name="Input 2 5 2 3 2" xfId="7928" xr:uid="{00000000-0005-0000-0000-0000A4210000}"/>
    <cellStyle name="Input 2 5 2 3 2 2" xfId="23755" xr:uid="{00000000-0005-0000-0000-0000A5210000}"/>
    <cellStyle name="Input 2 5 2 3 3" xfId="14211" xr:uid="{00000000-0005-0000-0000-0000A6210000}"/>
    <cellStyle name="Input 2 5 2 3 3 2" xfId="29043" xr:uid="{00000000-0005-0000-0000-0000A7210000}"/>
    <cellStyle name="Input 2 5 2 3 4" xfId="21397" xr:uid="{00000000-0005-0000-0000-0000A8210000}"/>
    <cellStyle name="Input 2 5 2 4" xfId="4385" xr:uid="{00000000-0005-0000-0000-0000A9210000}"/>
    <cellStyle name="Input 2 5 2 4 2" xfId="8424" xr:uid="{00000000-0005-0000-0000-0000AA210000}"/>
    <cellStyle name="Input 2 5 2 4 2 2" xfId="24082" xr:uid="{00000000-0005-0000-0000-0000AB210000}"/>
    <cellStyle name="Input 2 5 2 4 3" xfId="14714" xr:uid="{00000000-0005-0000-0000-0000AC210000}"/>
    <cellStyle name="Input 2 5 2 4 3 2" xfId="29546" xr:uid="{00000000-0005-0000-0000-0000AD210000}"/>
    <cellStyle name="Input 2 5 2 4 4" xfId="21650" xr:uid="{00000000-0005-0000-0000-0000AE210000}"/>
    <cellStyle name="Input 2 5 2 5" xfId="2375" xr:uid="{00000000-0005-0000-0000-0000AF210000}"/>
    <cellStyle name="Input 2 5 2 5 2" xfId="6487" xr:uid="{00000000-0005-0000-0000-0000B0210000}"/>
    <cellStyle name="Input 2 5 2 5 2 2" xfId="22857" xr:uid="{00000000-0005-0000-0000-0000B1210000}"/>
    <cellStyle name="Input 2 5 2 5 3" xfId="12714" xr:uid="{00000000-0005-0000-0000-0000B2210000}"/>
    <cellStyle name="Input 2 5 2 5 3 2" xfId="27546" xr:uid="{00000000-0005-0000-0000-0000B3210000}"/>
    <cellStyle name="Input 2 5 2 5 4" xfId="20499" xr:uid="{00000000-0005-0000-0000-0000B4210000}"/>
    <cellStyle name="Input 2 5 2 6" xfId="5500" xr:uid="{00000000-0005-0000-0000-0000B5210000}"/>
    <cellStyle name="Input 2 5 2 6 2" xfId="15735" xr:uid="{00000000-0005-0000-0000-0000B6210000}"/>
    <cellStyle name="Input 2 5 2 6 2 2" xfId="30567" xr:uid="{00000000-0005-0000-0000-0000B7210000}"/>
    <cellStyle name="Input 2 5 2 6 3" xfId="22228" xr:uid="{00000000-0005-0000-0000-0000B8210000}"/>
    <cellStyle name="Input 2 5 2 7" xfId="11750" xr:uid="{00000000-0005-0000-0000-0000B9210000}"/>
    <cellStyle name="Input 2 5 2 7 2" xfId="26582" xr:uid="{00000000-0005-0000-0000-0000BA210000}"/>
    <cellStyle name="Input 2 5 2 8" xfId="9421" xr:uid="{00000000-0005-0000-0000-0000BB210000}"/>
    <cellStyle name="Input 2 5 2 8 2" xfId="19725" xr:uid="{00000000-0005-0000-0000-0000BC210000}"/>
    <cellStyle name="Input 2 5 3" xfId="1481" xr:uid="{00000000-0005-0000-0000-0000BD210000}"/>
    <cellStyle name="Input 2 5 3 2" xfId="1982" xr:uid="{00000000-0005-0000-0000-0000BE210000}"/>
    <cellStyle name="Input 2 5 3 2 2" xfId="3738" xr:uid="{00000000-0005-0000-0000-0000BF210000}"/>
    <cellStyle name="Input 2 5 3 2 2 2" xfId="7794" xr:uid="{00000000-0005-0000-0000-0000C0210000}"/>
    <cellStyle name="Input 2 5 3 2 2 2 2" xfId="23668" xr:uid="{00000000-0005-0000-0000-0000C1210000}"/>
    <cellStyle name="Input 2 5 3 2 2 3" xfId="14073" xr:uid="{00000000-0005-0000-0000-0000C2210000}"/>
    <cellStyle name="Input 2 5 3 2 2 3 2" xfId="28905" xr:uid="{00000000-0005-0000-0000-0000C3210000}"/>
    <cellStyle name="Input 2 5 3 2 2 4" xfId="21324" xr:uid="{00000000-0005-0000-0000-0000C4210000}"/>
    <cellStyle name="Input 2 5 3 2 3" xfId="4946" xr:uid="{00000000-0005-0000-0000-0000C5210000}"/>
    <cellStyle name="Input 2 5 3 2 3 2" xfId="8985" xr:uid="{00000000-0005-0000-0000-0000C6210000}"/>
    <cellStyle name="Input 2 5 3 2 3 2 2" xfId="24451" xr:uid="{00000000-0005-0000-0000-0000C7210000}"/>
    <cellStyle name="Input 2 5 3 2 3 3" xfId="15268" xr:uid="{00000000-0005-0000-0000-0000C8210000}"/>
    <cellStyle name="Input 2 5 3 2 3 3 2" xfId="30100" xr:uid="{00000000-0005-0000-0000-0000C9210000}"/>
    <cellStyle name="Input 2 5 3 2 3 4" xfId="21981" xr:uid="{00000000-0005-0000-0000-0000CA210000}"/>
    <cellStyle name="Input 2 5 3 2 4" xfId="2936" xr:uid="{00000000-0005-0000-0000-0000CB210000}"/>
    <cellStyle name="Input 2 5 3 2 4 2" xfId="7020" xr:uid="{00000000-0005-0000-0000-0000CC210000}"/>
    <cellStyle name="Input 2 5 3 2 4 2 2" xfId="23194" xr:uid="{00000000-0005-0000-0000-0000CD210000}"/>
    <cellStyle name="Input 2 5 3 2 4 3" xfId="13274" xr:uid="{00000000-0005-0000-0000-0000CE210000}"/>
    <cellStyle name="Input 2 5 3 2 4 3 2" xfId="28106" xr:uid="{00000000-0005-0000-0000-0000CF210000}"/>
    <cellStyle name="Input 2 5 3 2 4 4" xfId="20862" xr:uid="{00000000-0005-0000-0000-0000D0210000}"/>
    <cellStyle name="Input 2 5 3 2 5" xfId="6112" xr:uid="{00000000-0005-0000-0000-0000D1210000}"/>
    <cellStyle name="Input 2 5 3 2 5 2" xfId="16299" xr:uid="{00000000-0005-0000-0000-0000D2210000}"/>
    <cellStyle name="Input 2 5 3 2 5 2 2" xfId="31131" xr:uid="{00000000-0005-0000-0000-0000D3210000}"/>
    <cellStyle name="Input 2 5 3 2 5 3" xfId="22645" xr:uid="{00000000-0005-0000-0000-0000D4210000}"/>
    <cellStyle name="Input 2 5 3 2 6" xfId="12369" xr:uid="{00000000-0005-0000-0000-0000D5210000}"/>
    <cellStyle name="Input 2 5 3 2 6 2" xfId="27201" xr:uid="{00000000-0005-0000-0000-0000D6210000}"/>
    <cellStyle name="Input 2 5 3 2 7" xfId="9951" xr:uid="{00000000-0005-0000-0000-0000D7210000}"/>
    <cellStyle name="Input 2 5 3 2 7 2" xfId="20153" xr:uid="{00000000-0005-0000-0000-0000D8210000}"/>
    <cellStyle name="Input 2 5 3 3" xfId="4086" xr:uid="{00000000-0005-0000-0000-0000D9210000}"/>
    <cellStyle name="Input 2 5 3 3 2" xfId="8132" xr:uid="{00000000-0005-0000-0000-0000DA210000}"/>
    <cellStyle name="Input 2 5 3 3 2 2" xfId="23880" xr:uid="{00000000-0005-0000-0000-0000DB210000}"/>
    <cellStyle name="Input 2 5 3 3 3" xfId="14418" xr:uid="{00000000-0005-0000-0000-0000DC210000}"/>
    <cellStyle name="Input 2 5 3 3 3 2" xfId="29250" xr:uid="{00000000-0005-0000-0000-0000DD210000}"/>
    <cellStyle name="Input 2 5 3 3 4" xfId="21510" xr:uid="{00000000-0005-0000-0000-0000DE210000}"/>
    <cellStyle name="Input 2 5 3 4" xfId="4526" xr:uid="{00000000-0005-0000-0000-0000DF210000}"/>
    <cellStyle name="Input 2 5 3 4 2" xfId="8565" xr:uid="{00000000-0005-0000-0000-0000E0210000}"/>
    <cellStyle name="Input 2 5 3 4 2 2" xfId="24191" xr:uid="{00000000-0005-0000-0000-0000E1210000}"/>
    <cellStyle name="Input 2 5 3 4 3" xfId="14853" xr:uid="{00000000-0005-0000-0000-0000E2210000}"/>
    <cellStyle name="Input 2 5 3 4 3 2" xfId="29685" xr:uid="{00000000-0005-0000-0000-0000E3210000}"/>
    <cellStyle name="Input 2 5 3 4 4" xfId="21751" xr:uid="{00000000-0005-0000-0000-0000E4210000}"/>
    <cellStyle name="Input 2 5 3 5" xfId="2516" xr:uid="{00000000-0005-0000-0000-0000E5210000}"/>
    <cellStyle name="Input 2 5 3 5 2" xfId="6622" xr:uid="{00000000-0005-0000-0000-0000E6210000}"/>
    <cellStyle name="Input 2 5 3 5 2 2" xfId="22960" xr:uid="{00000000-0005-0000-0000-0000E7210000}"/>
    <cellStyle name="Input 2 5 3 5 3" xfId="12854" xr:uid="{00000000-0005-0000-0000-0000E8210000}"/>
    <cellStyle name="Input 2 5 3 5 3 2" xfId="27686" xr:uid="{00000000-0005-0000-0000-0000E9210000}"/>
    <cellStyle name="Input 2 5 3 5 4" xfId="20606" xr:uid="{00000000-0005-0000-0000-0000EA210000}"/>
    <cellStyle name="Input 2 5 3 6" xfId="5639" xr:uid="{00000000-0005-0000-0000-0000EB210000}"/>
    <cellStyle name="Input 2 5 3 6 2" xfId="15874" xr:uid="{00000000-0005-0000-0000-0000EC210000}"/>
    <cellStyle name="Input 2 5 3 6 2 2" xfId="30706" xr:uid="{00000000-0005-0000-0000-0000ED210000}"/>
    <cellStyle name="Input 2 5 3 6 3" xfId="22335" xr:uid="{00000000-0005-0000-0000-0000EE210000}"/>
    <cellStyle name="Input 2 5 3 7" xfId="11898" xr:uid="{00000000-0005-0000-0000-0000EF210000}"/>
    <cellStyle name="Input 2 5 3 7 2" xfId="26730" xr:uid="{00000000-0005-0000-0000-0000F0210000}"/>
    <cellStyle name="Input 2 5 3 8" xfId="9556" xr:uid="{00000000-0005-0000-0000-0000F1210000}"/>
    <cellStyle name="Input 2 5 3 8 2" xfId="19858" xr:uid="{00000000-0005-0000-0000-0000F2210000}"/>
    <cellStyle name="Input 2 5 4" xfId="1403" xr:uid="{00000000-0005-0000-0000-0000F3210000}"/>
    <cellStyle name="Input 2 5 4 2" xfId="1905" xr:uid="{00000000-0005-0000-0000-0000F4210000}"/>
    <cellStyle name="Input 2 5 4 2 2" xfId="3925" xr:uid="{00000000-0005-0000-0000-0000F5210000}"/>
    <cellStyle name="Input 2 5 4 2 2 2" xfId="7975" xr:uid="{00000000-0005-0000-0000-0000F6210000}"/>
    <cellStyle name="Input 2 5 4 2 2 2 2" xfId="23782" xr:uid="{00000000-0005-0000-0000-0000F7210000}"/>
    <cellStyle name="Input 2 5 4 2 2 3" xfId="14258" xr:uid="{00000000-0005-0000-0000-0000F8210000}"/>
    <cellStyle name="Input 2 5 4 2 2 3 2" xfId="29090" xr:uid="{00000000-0005-0000-0000-0000F9210000}"/>
    <cellStyle name="Input 2 5 4 2 2 4" xfId="21424" xr:uid="{00000000-0005-0000-0000-0000FA210000}"/>
    <cellStyle name="Input 2 5 4 2 3" xfId="4883" xr:uid="{00000000-0005-0000-0000-0000FB210000}"/>
    <cellStyle name="Input 2 5 4 2 3 2" xfId="8922" xr:uid="{00000000-0005-0000-0000-0000FC210000}"/>
    <cellStyle name="Input 2 5 4 2 3 2 2" xfId="24388" xr:uid="{00000000-0005-0000-0000-0000FD210000}"/>
    <cellStyle name="Input 2 5 4 2 3 3" xfId="15206" xr:uid="{00000000-0005-0000-0000-0000FE210000}"/>
    <cellStyle name="Input 2 5 4 2 3 3 2" xfId="30038" xr:uid="{00000000-0005-0000-0000-0000FF210000}"/>
    <cellStyle name="Input 2 5 4 2 3 4" xfId="21920" xr:uid="{00000000-0005-0000-0000-000000220000}"/>
    <cellStyle name="Input 2 5 4 2 4" xfId="2873" xr:uid="{00000000-0005-0000-0000-000001220000}"/>
    <cellStyle name="Input 2 5 4 2 4 2" xfId="6958" xr:uid="{00000000-0005-0000-0000-000002220000}"/>
    <cellStyle name="Input 2 5 4 2 4 2 2" xfId="23133" xr:uid="{00000000-0005-0000-0000-000003220000}"/>
    <cellStyle name="Input 2 5 4 2 4 3" xfId="13211" xr:uid="{00000000-0005-0000-0000-000004220000}"/>
    <cellStyle name="Input 2 5 4 2 4 3 2" xfId="28043" xr:uid="{00000000-0005-0000-0000-000005220000}"/>
    <cellStyle name="Input 2 5 4 2 4 4" xfId="20799" xr:uid="{00000000-0005-0000-0000-000006220000}"/>
    <cellStyle name="Input 2 5 4 2 5" xfId="6036" xr:uid="{00000000-0005-0000-0000-000007220000}"/>
    <cellStyle name="Input 2 5 4 2 5 2" xfId="16223" xr:uid="{00000000-0005-0000-0000-000008220000}"/>
    <cellStyle name="Input 2 5 4 2 5 2 2" xfId="31055" xr:uid="{00000000-0005-0000-0000-000009220000}"/>
    <cellStyle name="Input 2 5 4 2 5 3" xfId="22569" xr:uid="{00000000-0005-0000-0000-00000A220000}"/>
    <cellStyle name="Input 2 5 4 2 6" xfId="12293" xr:uid="{00000000-0005-0000-0000-00000B220000}"/>
    <cellStyle name="Input 2 5 4 2 6 2" xfId="27125" xr:uid="{00000000-0005-0000-0000-00000C220000}"/>
    <cellStyle name="Input 2 5 4 2 7" xfId="9889" xr:uid="{00000000-0005-0000-0000-00000D220000}"/>
    <cellStyle name="Input 2 5 4 2 7 2" xfId="20092" xr:uid="{00000000-0005-0000-0000-00000E220000}"/>
    <cellStyle name="Input 2 5 4 3" xfId="3569" xr:uid="{00000000-0005-0000-0000-00000F220000}"/>
    <cellStyle name="Input 2 5 4 3 2" xfId="7631" xr:uid="{00000000-0005-0000-0000-000010220000}"/>
    <cellStyle name="Input 2 5 4 3 2 2" xfId="23557" xr:uid="{00000000-0005-0000-0000-000011220000}"/>
    <cellStyle name="Input 2 5 4 3 3" xfId="13905" xr:uid="{00000000-0005-0000-0000-000012220000}"/>
    <cellStyle name="Input 2 5 4 3 3 2" xfId="28737" xr:uid="{00000000-0005-0000-0000-000013220000}"/>
    <cellStyle name="Input 2 5 4 3 4" xfId="21227" xr:uid="{00000000-0005-0000-0000-000014220000}"/>
    <cellStyle name="Input 2 5 4 4" xfId="4463" xr:uid="{00000000-0005-0000-0000-000015220000}"/>
    <cellStyle name="Input 2 5 4 4 2" xfId="8502" xr:uid="{00000000-0005-0000-0000-000016220000}"/>
    <cellStyle name="Input 2 5 4 4 2 2" xfId="24128" xr:uid="{00000000-0005-0000-0000-000017220000}"/>
    <cellStyle name="Input 2 5 4 4 3" xfId="14791" xr:uid="{00000000-0005-0000-0000-000018220000}"/>
    <cellStyle name="Input 2 5 4 4 3 2" xfId="29623" xr:uid="{00000000-0005-0000-0000-000019220000}"/>
    <cellStyle name="Input 2 5 4 4 4" xfId="21690" xr:uid="{00000000-0005-0000-0000-00001A220000}"/>
    <cellStyle name="Input 2 5 4 5" xfId="2453" xr:uid="{00000000-0005-0000-0000-00001B220000}"/>
    <cellStyle name="Input 2 5 4 5 2" xfId="6559" xr:uid="{00000000-0005-0000-0000-00001C220000}"/>
    <cellStyle name="Input 2 5 4 5 2 2" xfId="22897" xr:uid="{00000000-0005-0000-0000-00001D220000}"/>
    <cellStyle name="Input 2 5 4 5 3" xfId="12792" xr:uid="{00000000-0005-0000-0000-00001E220000}"/>
    <cellStyle name="Input 2 5 4 5 3 2" xfId="27624" xr:uid="{00000000-0005-0000-0000-00001F220000}"/>
    <cellStyle name="Input 2 5 4 5 4" xfId="20545" xr:uid="{00000000-0005-0000-0000-000020220000}"/>
    <cellStyle name="Input 2 5 4 6" xfId="5577" xr:uid="{00000000-0005-0000-0000-000021220000}"/>
    <cellStyle name="Input 2 5 4 6 2" xfId="15812" xr:uid="{00000000-0005-0000-0000-000022220000}"/>
    <cellStyle name="Input 2 5 4 6 2 2" xfId="30644" xr:uid="{00000000-0005-0000-0000-000023220000}"/>
    <cellStyle name="Input 2 5 4 6 3" xfId="22273" xr:uid="{00000000-0005-0000-0000-000024220000}"/>
    <cellStyle name="Input 2 5 4 7" xfId="11822" xr:uid="{00000000-0005-0000-0000-000025220000}"/>
    <cellStyle name="Input 2 5 4 7 2" xfId="26654" xr:uid="{00000000-0005-0000-0000-000026220000}"/>
    <cellStyle name="Input 2 5 4 8" xfId="9494" xr:uid="{00000000-0005-0000-0000-000027220000}"/>
    <cellStyle name="Input 2 5 4 8 2" xfId="19797" xr:uid="{00000000-0005-0000-0000-000028220000}"/>
    <cellStyle name="Input 2 5 5" xfId="1471" xr:uid="{00000000-0005-0000-0000-000029220000}"/>
    <cellStyle name="Input 2 5 5 2" xfId="1972" xr:uid="{00000000-0005-0000-0000-00002A220000}"/>
    <cellStyle name="Input 2 5 5 2 2" xfId="4024" xr:uid="{00000000-0005-0000-0000-00002B220000}"/>
    <cellStyle name="Input 2 5 5 2 2 2" xfId="8071" xr:uid="{00000000-0005-0000-0000-00002C220000}"/>
    <cellStyle name="Input 2 5 5 2 2 2 2" xfId="23842" xr:uid="{00000000-0005-0000-0000-00002D220000}"/>
    <cellStyle name="Input 2 5 5 2 2 3" xfId="14356" xr:uid="{00000000-0005-0000-0000-00002E220000}"/>
    <cellStyle name="Input 2 5 5 2 2 3 2" xfId="29188" xr:uid="{00000000-0005-0000-0000-00002F220000}"/>
    <cellStyle name="Input 2 5 5 2 2 4" xfId="21480" xr:uid="{00000000-0005-0000-0000-000030220000}"/>
    <cellStyle name="Input 2 5 5 2 3" xfId="4936" xr:uid="{00000000-0005-0000-0000-000031220000}"/>
    <cellStyle name="Input 2 5 5 2 3 2" xfId="8975" xr:uid="{00000000-0005-0000-0000-000032220000}"/>
    <cellStyle name="Input 2 5 5 2 3 2 2" xfId="24441" xr:uid="{00000000-0005-0000-0000-000033220000}"/>
    <cellStyle name="Input 2 5 5 2 3 3" xfId="15258" xr:uid="{00000000-0005-0000-0000-000034220000}"/>
    <cellStyle name="Input 2 5 5 2 3 3 2" xfId="30090" xr:uid="{00000000-0005-0000-0000-000035220000}"/>
    <cellStyle name="Input 2 5 5 2 3 4" xfId="21971" xr:uid="{00000000-0005-0000-0000-000036220000}"/>
    <cellStyle name="Input 2 5 5 2 4" xfId="2926" xr:uid="{00000000-0005-0000-0000-000037220000}"/>
    <cellStyle name="Input 2 5 5 2 4 2" xfId="7010" xr:uid="{00000000-0005-0000-0000-000038220000}"/>
    <cellStyle name="Input 2 5 5 2 4 2 2" xfId="23184" xr:uid="{00000000-0005-0000-0000-000039220000}"/>
    <cellStyle name="Input 2 5 5 2 4 3" xfId="13264" xr:uid="{00000000-0005-0000-0000-00003A220000}"/>
    <cellStyle name="Input 2 5 5 2 4 3 2" xfId="28096" xr:uid="{00000000-0005-0000-0000-00003B220000}"/>
    <cellStyle name="Input 2 5 5 2 4 4" xfId="20852" xr:uid="{00000000-0005-0000-0000-00003C220000}"/>
    <cellStyle name="Input 2 5 5 2 5" xfId="6102" xr:uid="{00000000-0005-0000-0000-00003D220000}"/>
    <cellStyle name="Input 2 5 5 2 5 2" xfId="16289" xr:uid="{00000000-0005-0000-0000-00003E220000}"/>
    <cellStyle name="Input 2 5 5 2 5 2 2" xfId="31121" xr:uid="{00000000-0005-0000-0000-00003F220000}"/>
    <cellStyle name="Input 2 5 5 2 5 3" xfId="22635" xr:uid="{00000000-0005-0000-0000-000040220000}"/>
    <cellStyle name="Input 2 5 5 2 6" xfId="12359" xr:uid="{00000000-0005-0000-0000-000041220000}"/>
    <cellStyle name="Input 2 5 5 2 6 2" xfId="27191" xr:uid="{00000000-0005-0000-0000-000042220000}"/>
    <cellStyle name="Input 2 5 5 2 7" xfId="9941" xr:uid="{00000000-0005-0000-0000-000043220000}"/>
    <cellStyle name="Input 2 5 5 2 7 2" xfId="20143" xr:uid="{00000000-0005-0000-0000-000044220000}"/>
    <cellStyle name="Input 2 5 5 3" xfId="3242" xr:uid="{00000000-0005-0000-0000-000045220000}"/>
    <cellStyle name="Input 2 5 5 3 2" xfId="7306" xr:uid="{00000000-0005-0000-0000-000046220000}"/>
    <cellStyle name="Input 2 5 5 3 2 2" xfId="23346" xr:uid="{00000000-0005-0000-0000-000047220000}"/>
    <cellStyle name="Input 2 5 5 3 3" xfId="13579" xr:uid="{00000000-0005-0000-0000-000048220000}"/>
    <cellStyle name="Input 2 5 5 3 3 2" xfId="28411" xr:uid="{00000000-0005-0000-0000-000049220000}"/>
    <cellStyle name="Input 2 5 5 3 4" xfId="21033" xr:uid="{00000000-0005-0000-0000-00004A220000}"/>
    <cellStyle name="Input 2 5 5 4" xfId="4516" xr:uid="{00000000-0005-0000-0000-00004B220000}"/>
    <cellStyle name="Input 2 5 5 4 2" xfId="8555" xr:uid="{00000000-0005-0000-0000-00004C220000}"/>
    <cellStyle name="Input 2 5 5 4 2 2" xfId="24181" xr:uid="{00000000-0005-0000-0000-00004D220000}"/>
    <cellStyle name="Input 2 5 5 4 3" xfId="14843" xr:uid="{00000000-0005-0000-0000-00004E220000}"/>
    <cellStyle name="Input 2 5 5 4 3 2" xfId="29675" xr:uid="{00000000-0005-0000-0000-00004F220000}"/>
    <cellStyle name="Input 2 5 5 4 4" xfId="21741" xr:uid="{00000000-0005-0000-0000-000050220000}"/>
    <cellStyle name="Input 2 5 5 5" xfId="2506" xr:uid="{00000000-0005-0000-0000-000051220000}"/>
    <cellStyle name="Input 2 5 5 5 2" xfId="6612" xr:uid="{00000000-0005-0000-0000-000052220000}"/>
    <cellStyle name="Input 2 5 5 5 2 2" xfId="22950" xr:uid="{00000000-0005-0000-0000-000053220000}"/>
    <cellStyle name="Input 2 5 5 5 3" xfId="12844" xr:uid="{00000000-0005-0000-0000-000054220000}"/>
    <cellStyle name="Input 2 5 5 5 3 2" xfId="27676" xr:uid="{00000000-0005-0000-0000-000055220000}"/>
    <cellStyle name="Input 2 5 5 5 4" xfId="20596" xr:uid="{00000000-0005-0000-0000-000056220000}"/>
    <cellStyle name="Input 2 5 5 6" xfId="5629" xr:uid="{00000000-0005-0000-0000-000057220000}"/>
    <cellStyle name="Input 2 5 5 6 2" xfId="15864" xr:uid="{00000000-0005-0000-0000-000058220000}"/>
    <cellStyle name="Input 2 5 5 6 2 2" xfId="30696" xr:uid="{00000000-0005-0000-0000-000059220000}"/>
    <cellStyle name="Input 2 5 5 6 3" xfId="22325" xr:uid="{00000000-0005-0000-0000-00005A220000}"/>
    <cellStyle name="Input 2 5 5 7" xfId="11888" xr:uid="{00000000-0005-0000-0000-00005B220000}"/>
    <cellStyle name="Input 2 5 5 7 2" xfId="26720" xr:uid="{00000000-0005-0000-0000-00005C220000}"/>
    <cellStyle name="Input 2 5 5 8" xfId="9546" xr:uid="{00000000-0005-0000-0000-00005D220000}"/>
    <cellStyle name="Input 2 5 5 8 2" xfId="19848" xr:uid="{00000000-0005-0000-0000-00005E220000}"/>
    <cellStyle name="Input 2 5 6" xfId="1749" xr:uid="{00000000-0005-0000-0000-00005F220000}"/>
    <cellStyle name="Input 2 5 6 2" xfId="3591" xr:uid="{00000000-0005-0000-0000-000060220000}"/>
    <cellStyle name="Input 2 5 6 2 2" xfId="7653" xr:uid="{00000000-0005-0000-0000-000061220000}"/>
    <cellStyle name="Input 2 5 6 2 2 2" xfId="23569" xr:uid="{00000000-0005-0000-0000-000062220000}"/>
    <cellStyle name="Input 2 5 6 2 3" xfId="13927" xr:uid="{00000000-0005-0000-0000-000063220000}"/>
    <cellStyle name="Input 2 5 6 2 3 2" xfId="28759" xr:uid="{00000000-0005-0000-0000-000064220000}"/>
    <cellStyle name="Input 2 5 6 2 4" xfId="21238" xr:uid="{00000000-0005-0000-0000-000065220000}"/>
    <cellStyle name="Input 2 5 6 3" xfId="4727" xr:uid="{00000000-0005-0000-0000-000066220000}"/>
    <cellStyle name="Input 2 5 6 3 2" xfId="8766" xr:uid="{00000000-0005-0000-0000-000067220000}"/>
    <cellStyle name="Input 2 5 6 3 2 2" xfId="24296" xr:uid="{00000000-0005-0000-0000-000068220000}"/>
    <cellStyle name="Input 2 5 6 3 3" xfId="15051" xr:uid="{00000000-0005-0000-0000-000069220000}"/>
    <cellStyle name="Input 2 5 6 3 3 2" xfId="29883" xr:uid="{00000000-0005-0000-0000-00006A220000}"/>
    <cellStyle name="Input 2 5 6 3 4" xfId="21834" xr:uid="{00000000-0005-0000-0000-00006B220000}"/>
    <cellStyle name="Input 2 5 6 4" xfId="2717" xr:uid="{00000000-0005-0000-0000-00006C220000}"/>
    <cellStyle name="Input 2 5 6 4 2" xfId="6808" xr:uid="{00000000-0005-0000-0000-00006D220000}"/>
    <cellStyle name="Input 2 5 6 4 2 2" xfId="23047" xr:uid="{00000000-0005-0000-0000-00006E220000}"/>
    <cellStyle name="Input 2 5 6 4 3" xfId="13055" xr:uid="{00000000-0005-0000-0000-00006F220000}"/>
    <cellStyle name="Input 2 5 6 4 3 2" xfId="27887" xr:uid="{00000000-0005-0000-0000-000070220000}"/>
    <cellStyle name="Input 2 5 6 4 4" xfId="20707" xr:uid="{00000000-0005-0000-0000-000071220000}"/>
    <cellStyle name="Input 2 5 6 5" xfId="5881" xr:uid="{00000000-0005-0000-0000-000072220000}"/>
    <cellStyle name="Input 2 5 6 5 2" xfId="16073" xr:uid="{00000000-0005-0000-0000-000073220000}"/>
    <cellStyle name="Input 2 5 6 5 2 2" xfId="30905" xr:uid="{00000000-0005-0000-0000-000074220000}"/>
    <cellStyle name="Input 2 5 6 5 3" xfId="22478" xr:uid="{00000000-0005-0000-0000-000075220000}"/>
    <cellStyle name="Input 2 5 6 6" xfId="12143" xr:uid="{00000000-0005-0000-0000-000076220000}"/>
    <cellStyle name="Input 2 5 6 6 2" xfId="26975" xr:uid="{00000000-0005-0000-0000-000077220000}"/>
    <cellStyle name="Input 2 5 6 7" xfId="9739" xr:uid="{00000000-0005-0000-0000-000078220000}"/>
    <cellStyle name="Input 2 5 6 7 2" xfId="20037" xr:uid="{00000000-0005-0000-0000-000079220000}"/>
    <cellStyle name="Input 2 5 7" xfId="2217" xr:uid="{00000000-0005-0000-0000-00007A220000}"/>
    <cellStyle name="Input 2 5 7 2" xfId="3845" xr:uid="{00000000-0005-0000-0000-00007B220000}"/>
    <cellStyle name="Input 2 5 7 2 2" xfId="7898" xr:uid="{00000000-0005-0000-0000-00007C220000}"/>
    <cellStyle name="Input 2 5 7 2 2 2" xfId="23735" xr:uid="{00000000-0005-0000-0000-00007D220000}"/>
    <cellStyle name="Input 2 5 7 2 3" xfId="14180" xr:uid="{00000000-0005-0000-0000-00007E220000}"/>
    <cellStyle name="Input 2 5 7 2 3 2" xfId="29012" xr:uid="{00000000-0005-0000-0000-00007F220000}"/>
    <cellStyle name="Input 2 5 7 2 4" xfId="21382" xr:uid="{00000000-0005-0000-0000-000080220000}"/>
    <cellStyle name="Input 2 5 7 3" xfId="5185" xr:uid="{00000000-0005-0000-0000-000081220000}"/>
    <cellStyle name="Input 2 5 7 3 2" xfId="9224" xr:uid="{00000000-0005-0000-0000-000082220000}"/>
    <cellStyle name="Input 2 5 7 3 2 2" xfId="24562" xr:uid="{00000000-0005-0000-0000-000083220000}"/>
    <cellStyle name="Input 2 5 7 3 3" xfId="15503" xr:uid="{00000000-0005-0000-0000-000084220000}"/>
    <cellStyle name="Input 2 5 7 3 3 2" xfId="30335" xr:uid="{00000000-0005-0000-0000-000085220000}"/>
    <cellStyle name="Input 2 5 7 3 4" xfId="22069" xr:uid="{00000000-0005-0000-0000-000086220000}"/>
    <cellStyle name="Input 2 5 7 4" xfId="4215" xr:uid="{00000000-0005-0000-0000-000087220000}"/>
    <cellStyle name="Input 2 5 7 4 2" xfId="8256" xr:uid="{00000000-0005-0000-0000-000088220000}"/>
    <cellStyle name="Input 2 5 7 4 2 2" xfId="23951" xr:uid="{00000000-0005-0000-0000-000089220000}"/>
    <cellStyle name="Input 2 5 7 4 3" xfId="14547" xr:uid="{00000000-0005-0000-0000-00008A220000}"/>
    <cellStyle name="Input 2 5 7 4 3 2" xfId="29379" xr:uid="{00000000-0005-0000-0000-00008B220000}"/>
    <cellStyle name="Input 2 5 7 4 4" xfId="21576" xr:uid="{00000000-0005-0000-0000-00008C220000}"/>
    <cellStyle name="Input 2 5 7 5" xfId="6331" xr:uid="{00000000-0005-0000-0000-00008D220000}"/>
    <cellStyle name="Input 2 5 7 5 2" xfId="22733" xr:uid="{00000000-0005-0000-0000-00008E220000}"/>
    <cellStyle name="Input 2 5 7 6" xfId="12585" xr:uid="{00000000-0005-0000-0000-00008F220000}"/>
    <cellStyle name="Input 2 5 7 6 2" xfId="27417" xr:uid="{00000000-0005-0000-0000-000090220000}"/>
    <cellStyle name="Input 2 5 7 7" xfId="20412" xr:uid="{00000000-0005-0000-0000-000091220000}"/>
    <cellStyle name="Input 2 5 8" xfId="4275" xr:uid="{00000000-0005-0000-0000-000092220000}"/>
    <cellStyle name="Input 2 5 8 2" xfId="8314" xr:uid="{00000000-0005-0000-0000-000093220000}"/>
    <cellStyle name="Input 2 5 8 2 2" xfId="24008" xr:uid="{00000000-0005-0000-0000-000094220000}"/>
    <cellStyle name="Input 2 5 8 3" xfId="14607" xr:uid="{00000000-0005-0000-0000-000095220000}"/>
    <cellStyle name="Input 2 5 8 3 2" xfId="29439" xr:uid="{00000000-0005-0000-0000-000096220000}"/>
    <cellStyle name="Input 2 5 8 4" xfId="21607" xr:uid="{00000000-0005-0000-0000-000097220000}"/>
    <cellStyle name="Input 2 5 9" xfId="3686" xr:uid="{00000000-0005-0000-0000-000098220000}"/>
    <cellStyle name="Input 2 5 9 2" xfId="7743" xr:uid="{00000000-0005-0000-0000-000099220000}"/>
    <cellStyle name="Input 2 5 9 2 2" xfId="23632" xr:uid="{00000000-0005-0000-0000-00009A220000}"/>
    <cellStyle name="Input 2 5 9 3" xfId="14021" xr:uid="{00000000-0005-0000-0000-00009B220000}"/>
    <cellStyle name="Input 2 5 9 3 2" xfId="28853" xr:uid="{00000000-0005-0000-0000-00009C220000}"/>
    <cellStyle name="Input 2 5 9 4" xfId="21293" xr:uid="{00000000-0005-0000-0000-00009D220000}"/>
    <cellStyle name="Input 2 6" xfId="1117" xr:uid="{00000000-0005-0000-0000-00009E220000}"/>
    <cellStyle name="Input 2 6 10" xfId="2288" xr:uid="{00000000-0005-0000-0000-00009F220000}"/>
    <cellStyle name="Input 2 6 10 2" xfId="6400" xr:uid="{00000000-0005-0000-0000-0000A0220000}"/>
    <cellStyle name="Input 2 6 10 2 2" xfId="22802" xr:uid="{00000000-0005-0000-0000-0000A1220000}"/>
    <cellStyle name="Input 2 6 10 3" xfId="12628" xr:uid="{00000000-0005-0000-0000-0000A2220000}"/>
    <cellStyle name="Input 2 6 10 3 2" xfId="27460" xr:uid="{00000000-0005-0000-0000-0000A3220000}"/>
    <cellStyle name="Input 2 6 10 4" xfId="20454" xr:uid="{00000000-0005-0000-0000-0000A4220000}"/>
    <cellStyle name="Input 2 6 11" xfId="5254" xr:uid="{00000000-0005-0000-0000-0000A5220000}"/>
    <cellStyle name="Input 2 6 11 2" xfId="15570" xr:uid="{00000000-0005-0000-0000-0000A6220000}"/>
    <cellStyle name="Input 2 6 11 2 2" xfId="30402" xr:uid="{00000000-0005-0000-0000-0000A7220000}"/>
    <cellStyle name="Input 2 6 11 3" xfId="22111" xr:uid="{00000000-0005-0000-0000-0000A8220000}"/>
    <cellStyle name="Input 2 6 12" xfId="5412" xr:uid="{00000000-0005-0000-0000-0000A9220000}"/>
    <cellStyle name="Input 2 6 12 2" xfId="15648" xr:uid="{00000000-0005-0000-0000-0000AA220000}"/>
    <cellStyle name="Input 2 6 12 2 2" xfId="30480" xr:uid="{00000000-0005-0000-0000-0000AB220000}"/>
    <cellStyle name="Input 2 6 12 3" xfId="22173" xr:uid="{00000000-0005-0000-0000-0000AC220000}"/>
    <cellStyle name="Input 2 6 13" xfId="9379" xr:uid="{00000000-0005-0000-0000-0000AD220000}"/>
    <cellStyle name="Input 2 6 13 2" xfId="24685" xr:uid="{00000000-0005-0000-0000-0000AE220000}"/>
    <cellStyle name="Input 2 6 14" xfId="5368" xr:uid="{00000000-0005-0000-0000-0000AF220000}"/>
    <cellStyle name="Input 2 6 14 2" xfId="18242" xr:uid="{00000000-0005-0000-0000-0000B0220000}"/>
    <cellStyle name="Input 2 6 2" xfId="1324" xr:uid="{00000000-0005-0000-0000-0000B1220000}"/>
    <cellStyle name="Input 2 6 2 2" xfId="1828" xr:uid="{00000000-0005-0000-0000-0000B2220000}"/>
    <cellStyle name="Input 2 6 2 2 2" xfId="3798" xr:uid="{00000000-0005-0000-0000-0000B3220000}"/>
    <cellStyle name="Input 2 6 2 2 2 2" xfId="7853" xr:uid="{00000000-0005-0000-0000-0000B4220000}"/>
    <cellStyle name="Input 2 6 2 2 2 2 2" xfId="23707" xr:uid="{00000000-0005-0000-0000-0000B5220000}"/>
    <cellStyle name="Input 2 6 2 2 2 3" xfId="14133" xr:uid="{00000000-0005-0000-0000-0000B6220000}"/>
    <cellStyle name="Input 2 6 2 2 2 3 2" xfId="28965" xr:uid="{00000000-0005-0000-0000-0000B7220000}"/>
    <cellStyle name="Input 2 6 2 2 2 4" xfId="21358" xr:uid="{00000000-0005-0000-0000-0000B8220000}"/>
    <cellStyle name="Input 2 6 2 2 3" xfId="4806" xr:uid="{00000000-0005-0000-0000-0000B9220000}"/>
    <cellStyle name="Input 2 6 2 2 3 2" xfId="8845" xr:uid="{00000000-0005-0000-0000-0000BA220000}"/>
    <cellStyle name="Input 2 6 2 2 3 2 2" xfId="24343" xr:uid="{00000000-0005-0000-0000-0000BB220000}"/>
    <cellStyle name="Input 2 6 2 2 3 3" xfId="15130" xr:uid="{00000000-0005-0000-0000-0000BC220000}"/>
    <cellStyle name="Input 2 6 2 2 3 3 2" xfId="29962" xr:uid="{00000000-0005-0000-0000-0000BD220000}"/>
    <cellStyle name="Input 2 6 2 2 3 4" xfId="21881" xr:uid="{00000000-0005-0000-0000-0000BE220000}"/>
    <cellStyle name="Input 2 6 2 2 4" xfId="2796" xr:uid="{00000000-0005-0000-0000-0000BF220000}"/>
    <cellStyle name="Input 2 6 2 2 4 2" xfId="6887" xr:uid="{00000000-0005-0000-0000-0000C0220000}"/>
    <cellStyle name="Input 2 6 2 2 4 2 2" xfId="23094" xr:uid="{00000000-0005-0000-0000-0000C1220000}"/>
    <cellStyle name="Input 2 6 2 2 4 3" xfId="13134" xr:uid="{00000000-0005-0000-0000-0000C2220000}"/>
    <cellStyle name="Input 2 6 2 2 4 3 2" xfId="27966" xr:uid="{00000000-0005-0000-0000-0000C3220000}"/>
    <cellStyle name="Input 2 6 2 2 4 4" xfId="20754" xr:uid="{00000000-0005-0000-0000-0000C4220000}"/>
    <cellStyle name="Input 2 6 2 2 5" xfId="5960" xr:uid="{00000000-0005-0000-0000-0000C5220000}"/>
    <cellStyle name="Input 2 6 2 2 5 2" xfId="16152" xr:uid="{00000000-0005-0000-0000-0000C6220000}"/>
    <cellStyle name="Input 2 6 2 2 5 2 2" xfId="30984" xr:uid="{00000000-0005-0000-0000-0000C7220000}"/>
    <cellStyle name="Input 2 6 2 2 5 3" xfId="22525" xr:uid="{00000000-0005-0000-0000-0000C8220000}"/>
    <cellStyle name="Input 2 6 2 2 6" xfId="12222" xr:uid="{00000000-0005-0000-0000-0000C9220000}"/>
    <cellStyle name="Input 2 6 2 2 6 2" xfId="27054" xr:uid="{00000000-0005-0000-0000-0000CA220000}"/>
    <cellStyle name="Input 2 6 2 2 7" xfId="9818" xr:uid="{00000000-0005-0000-0000-0000CB220000}"/>
    <cellStyle name="Input 2 6 2 2 7 2" xfId="20069" xr:uid="{00000000-0005-0000-0000-0000CC220000}"/>
    <cellStyle name="Input 2 6 2 3" xfId="3752" xr:uid="{00000000-0005-0000-0000-0000CD220000}"/>
    <cellStyle name="Input 2 6 2 3 2" xfId="7808" xr:uid="{00000000-0005-0000-0000-0000CE220000}"/>
    <cellStyle name="Input 2 6 2 3 2 2" xfId="23677" xr:uid="{00000000-0005-0000-0000-0000CF220000}"/>
    <cellStyle name="Input 2 6 2 3 3" xfId="14087" xr:uid="{00000000-0005-0000-0000-0000D0220000}"/>
    <cellStyle name="Input 2 6 2 3 3 2" xfId="28919" xr:uid="{00000000-0005-0000-0000-0000D1220000}"/>
    <cellStyle name="Input 2 6 2 3 4" xfId="21333" xr:uid="{00000000-0005-0000-0000-0000D2220000}"/>
    <cellStyle name="Input 2 6 2 4" xfId="4386" xr:uid="{00000000-0005-0000-0000-0000D3220000}"/>
    <cellStyle name="Input 2 6 2 4 2" xfId="8425" xr:uid="{00000000-0005-0000-0000-0000D4220000}"/>
    <cellStyle name="Input 2 6 2 4 2 2" xfId="24083" xr:uid="{00000000-0005-0000-0000-0000D5220000}"/>
    <cellStyle name="Input 2 6 2 4 3" xfId="14715" xr:uid="{00000000-0005-0000-0000-0000D6220000}"/>
    <cellStyle name="Input 2 6 2 4 3 2" xfId="29547" xr:uid="{00000000-0005-0000-0000-0000D7220000}"/>
    <cellStyle name="Input 2 6 2 4 4" xfId="21651" xr:uid="{00000000-0005-0000-0000-0000D8220000}"/>
    <cellStyle name="Input 2 6 2 5" xfId="2376" xr:uid="{00000000-0005-0000-0000-0000D9220000}"/>
    <cellStyle name="Input 2 6 2 5 2" xfId="6488" xr:uid="{00000000-0005-0000-0000-0000DA220000}"/>
    <cellStyle name="Input 2 6 2 5 2 2" xfId="22858" xr:uid="{00000000-0005-0000-0000-0000DB220000}"/>
    <cellStyle name="Input 2 6 2 5 3" xfId="12715" xr:uid="{00000000-0005-0000-0000-0000DC220000}"/>
    <cellStyle name="Input 2 6 2 5 3 2" xfId="27547" xr:uid="{00000000-0005-0000-0000-0000DD220000}"/>
    <cellStyle name="Input 2 6 2 5 4" xfId="20500" xr:uid="{00000000-0005-0000-0000-0000DE220000}"/>
    <cellStyle name="Input 2 6 2 6" xfId="5501" xr:uid="{00000000-0005-0000-0000-0000DF220000}"/>
    <cellStyle name="Input 2 6 2 6 2" xfId="15736" xr:uid="{00000000-0005-0000-0000-0000E0220000}"/>
    <cellStyle name="Input 2 6 2 6 2 2" xfId="30568" xr:uid="{00000000-0005-0000-0000-0000E1220000}"/>
    <cellStyle name="Input 2 6 2 6 3" xfId="22229" xr:uid="{00000000-0005-0000-0000-0000E2220000}"/>
    <cellStyle name="Input 2 6 2 7" xfId="11751" xr:uid="{00000000-0005-0000-0000-0000E3220000}"/>
    <cellStyle name="Input 2 6 2 7 2" xfId="26583" xr:uid="{00000000-0005-0000-0000-0000E4220000}"/>
    <cellStyle name="Input 2 6 2 8" xfId="9422" xr:uid="{00000000-0005-0000-0000-0000E5220000}"/>
    <cellStyle name="Input 2 6 2 8 2" xfId="19726" xr:uid="{00000000-0005-0000-0000-0000E6220000}"/>
    <cellStyle name="Input 2 6 3" xfId="1482" xr:uid="{00000000-0005-0000-0000-0000E7220000}"/>
    <cellStyle name="Input 2 6 3 2" xfId="1983" xr:uid="{00000000-0005-0000-0000-0000E8220000}"/>
    <cellStyle name="Input 2 6 3 2 2" xfId="3880" xr:uid="{00000000-0005-0000-0000-0000E9220000}"/>
    <cellStyle name="Input 2 6 3 2 2 2" xfId="7931" xr:uid="{00000000-0005-0000-0000-0000EA220000}"/>
    <cellStyle name="Input 2 6 3 2 2 2 2" xfId="23757" xr:uid="{00000000-0005-0000-0000-0000EB220000}"/>
    <cellStyle name="Input 2 6 3 2 2 3" xfId="14215" xr:uid="{00000000-0005-0000-0000-0000EC220000}"/>
    <cellStyle name="Input 2 6 3 2 2 3 2" xfId="29047" xr:uid="{00000000-0005-0000-0000-0000ED220000}"/>
    <cellStyle name="Input 2 6 3 2 2 4" xfId="21400" xr:uid="{00000000-0005-0000-0000-0000EE220000}"/>
    <cellStyle name="Input 2 6 3 2 3" xfId="4947" xr:uid="{00000000-0005-0000-0000-0000EF220000}"/>
    <cellStyle name="Input 2 6 3 2 3 2" xfId="8986" xr:uid="{00000000-0005-0000-0000-0000F0220000}"/>
    <cellStyle name="Input 2 6 3 2 3 2 2" xfId="24452" xr:uid="{00000000-0005-0000-0000-0000F1220000}"/>
    <cellStyle name="Input 2 6 3 2 3 3" xfId="15269" xr:uid="{00000000-0005-0000-0000-0000F2220000}"/>
    <cellStyle name="Input 2 6 3 2 3 3 2" xfId="30101" xr:uid="{00000000-0005-0000-0000-0000F3220000}"/>
    <cellStyle name="Input 2 6 3 2 3 4" xfId="21982" xr:uid="{00000000-0005-0000-0000-0000F4220000}"/>
    <cellStyle name="Input 2 6 3 2 4" xfId="2937" xr:uid="{00000000-0005-0000-0000-0000F5220000}"/>
    <cellStyle name="Input 2 6 3 2 4 2" xfId="7021" xr:uid="{00000000-0005-0000-0000-0000F6220000}"/>
    <cellStyle name="Input 2 6 3 2 4 2 2" xfId="23195" xr:uid="{00000000-0005-0000-0000-0000F7220000}"/>
    <cellStyle name="Input 2 6 3 2 4 3" xfId="13275" xr:uid="{00000000-0005-0000-0000-0000F8220000}"/>
    <cellStyle name="Input 2 6 3 2 4 3 2" xfId="28107" xr:uid="{00000000-0005-0000-0000-0000F9220000}"/>
    <cellStyle name="Input 2 6 3 2 4 4" xfId="20863" xr:uid="{00000000-0005-0000-0000-0000FA220000}"/>
    <cellStyle name="Input 2 6 3 2 5" xfId="6113" xr:uid="{00000000-0005-0000-0000-0000FB220000}"/>
    <cellStyle name="Input 2 6 3 2 5 2" xfId="16300" xr:uid="{00000000-0005-0000-0000-0000FC220000}"/>
    <cellStyle name="Input 2 6 3 2 5 2 2" xfId="31132" xr:uid="{00000000-0005-0000-0000-0000FD220000}"/>
    <cellStyle name="Input 2 6 3 2 5 3" xfId="22646" xr:uid="{00000000-0005-0000-0000-0000FE220000}"/>
    <cellStyle name="Input 2 6 3 2 6" xfId="12370" xr:uid="{00000000-0005-0000-0000-0000FF220000}"/>
    <cellStyle name="Input 2 6 3 2 6 2" xfId="27202" xr:uid="{00000000-0005-0000-0000-000000230000}"/>
    <cellStyle name="Input 2 6 3 2 7" xfId="9952" xr:uid="{00000000-0005-0000-0000-000001230000}"/>
    <cellStyle name="Input 2 6 3 2 7 2" xfId="20154" xr:uid="{00000000-0005-0000-0000-000002230000}"/>
    <cellStyle name="Input 2 6 3 3" xfId="3922" xr:uid="{00000000-0005-0000-0000-000003230000}"/>
    <cellStyle name="Input 2 6 3 3 2" xfId="7973" xr:uid="{00000000-0005-0000-0000-000004230000}"/>
    <cellStyle name="Input 2 6 3 3 2 2" xfId="23780" xr:uid="{00000000-0005-0000-0000-000005230000}"/>
    <cellStyle name="Input 2 6 3 3 3" xfId="14255" xr:uid="{00000000-0005-0000-0000-000006230000}"/>
    <cellStyle name="Input 2 6 3 3 3 2" xfId="29087" xr:uid="{00000000-0005-0000-0000-000007230000}"/>
    <cellStyle name="Input 2 6 3 3 4" xfId="21421" xr:uid="{00000000-0005-0000-0000-000008230000}"/>
    <cellStyle name="Input 2 6 3 4" xfId="4527" xr:uid="{00000000-0005-0000-0000-000009230000}"/>
    <cellStyle name="Input 2 6 3 4 2" xfId="8566" xr:uid="{00000000-0005-0000-0000-00000A230000}"/>
    <cellStyle name="Input 2 6 3 4 2 2" xfId="24192" xr:uid="{00000000-0005-0000-0000-00000B230000}"/>
    <cellStyle name="Input 2 6 3 4 3" xfId="14854" xr:uid="{00000000-0005-0000-0000-00000C230000}"/>
    <cellStyle name="Input 2 6 3 4 3 2" xfId="29686" xr:uid="{00000000-0005-0000-0000-00000D230000}"/>
    <cellStyle name="Input 2 6 3 4 4" xfId="21752" xr:uid="{00000000-0005-0000-0000-00000E230000}"/>
    <cellStyle name="Input 2 6 3 5" xfId="2517" xr:uid="{00000000-0005-0000-0000-00000F230000}"/>
    <cellStyle name="Input 2 6 3 5 2" xfId="6623" xr:uid="{00000000-0005-0000-0000-000010230000}"/>
    <cellStyle name="Input 2 6 3 5 2 2" xfId="22961" xr:uid="{00000000-0005-0000-0000-000011230000}"/>
    <cellStyle name="Input 2 6 3 5 3" xfId="12855" xr:uid="{00000000-0005-0000-0000-000012230000}"/>
    <cellStyle name="Input 2 6 3 5 3 2" xfId="27687" xr:uid="{00000000-0005-0000-0000-000013230000}"/>
    <cellStyle name="Input 2 6 3 5 4" xfId="20607" xr:uid="{00000000-0005-0000-0000-000014230000}"/>
    <cellStyle name="Input 2 6 3 6" xfId="5640" xr:uid="{00000000-0005-0000-0000-000015230000}"/>
    <cellStyle name="Input 2 6 3 6 2" xfId="15875" xr:uid="{00000000-0005-0000-0000-000016230000}"/>
    <cellStyle name="Input 2 6 3 6 2 2" xfId="30707" xr:uid="{00000000-0005-0000-0000-000017230000}"/>
    <cellStyle name="Input 2 6 3 6 3" xfId="22336" xr:uid="{00000000-0005-0000-0000-000018230000}"/>
    <cellStyle name="Input 2 6 3 7" xfId="11899" xr:uid="{00000000-0005-0000-0000-000019230000}"/>
    <cellStyle name="Input 2 6 3 7 2" xfId="26731" xr:uid="{00000000-0005-0000-0000-00001A230000}"/>
    <cellStyle name="Input 2 6 3 8" xfId="9557" xr:uid="{00000000-0005-0000-0000-00001B230000}"/>
    <cellStyle name="Input 2 6 3 8 2" xfId="19859" xr:uid="{00000000-0005-0000-0000-00001C230000}"/>
    <cellStyle name="Input 2 6 4" xfId="1397" xr:uid="{00000000-0005-0000-0000-00001D230000}"/>
    <cellStyle name="Input 2 6 4 2" xfId="1899" xr:uid="{00000000-0005-0000-0000-00001E230000}"/>
    <cellStyle name="Input 2 6 4 2 2" xfId="3655" xr:uid="{00000000-0005-0000-0000-00001F230000}"/>
    <cellStyle name="Input 2 6 4 2 2 2" xfId="7714" xr:uid="{00000000-0005-0000-0000-000020230000}"/>
    <cellStyle name="Input 2 6 4 2 2 2 2" xfId="23611" xr:uid="{00000000-0005-0000-0000-000021230000}"/>
    <cellStyle name="Input 2 6 4 2 2 3" xfId="13990" xr:uid="{00000000-0005-0000-0000-000022230000}"/>
    <cellStyle name="Input 2 6 4 2 2 3 2" xfId="28822" xr:uid="{00000000-0005-0000-0000-000023230000}"/>
    <cellStyle name="Input 2 6 4 2 2 4" xfId="21276" xr:uid="{00000000-0005-0000-0000-000024230000}"/>
    <cellStyle name="Input 2 6 4 2 3" xfId="4877" xr:uid="{00000000-0005-0000-0000-000025230000}"/>
    <cellStyle name="Input 2 6 4 2 3 2" xfId="8916" xr:uid="{00000000-0005-0000-0000-000026230000}"/>
    <cellStyle name="Input 2 6 4 2 3 2 2" xfId="24382" xr:uid="{00000000-0005-0000-0000-000027230000}"/>
    <cellStyle name="Input 2 6 4 2 3 3" xfId="15200" xr:uid="{00000000-0005-0000-0000-000028230000}"/>
    <cellStyle name="Input 2 6 4 2 3 3 2" xfId="30032" xr:uid="{00000000-0005-0000-0000-000029230000}"/>
    <cellStyle name="Input 2 6 4 2 3 4" xfId="21914" xr:uid="{00000000-0005-0000-0000-00002A230000}"/>
    <cellStyle name="Input 2 6 4 2 4" xfId="2867" xr:uid="{00000000-0005-0000-0000-00002B230000}"/>
    <cellStyle name="Input 2 6 4 2 4 2" xfId="6952" xr:uid="{00000000-0005-0000-0000-00002C230000}"/>
    <cellStyle name="Input 2 6 4 2 4 2 2" xfId="23127" xr:uid="{00000000-0005-0000-0000-00002D230000}"/>
    <cellStyle name="Input 2 6 4 2 4 3" xfId="13205" xr:uid="{00000000-0005-0000-0000-00002E230000}"/>
    <cellStyle name="Input 2 6 4 2 4 3 2" xfId="28037" xr:uid="{00000000-0005-0000-0000-00002F230000}"/>
    <cellStyle name="Input 2 6 4 2 4 4" xfId="20793" xr:uid="{00000000-0005-0000-0000-000030230000}"/>
    <cellStyle name="Input 2 6 4 2 5" xfId="6030" xr:uid="{00000000-0005-0000-0000-000031230000}"/>
    <cellStyle name="Input 2 6 4 2 5 2" xfId="16217" xr:uid="{00000000-0005-0000-0000-000032230000}"/>
    <cellStyle name="Input 2 6 4 2 5 2 2" xfId="31049" xr:uid="{00000000-0005-0000-0000-000033230000}"/>
    <cellStyle name="Input 2 6 4 2 5 3" xfId="22563" xr:uid="{00000000-0005-0000-0000-000034230000}"/>
    <cellStyle name="Input 2 6 4 2 6" xfId="12287" xr:uid="{00000000-0005-0000-0000-000035230000}"/>
    <cellStyle name="Input 2 6 4 2 6 2" xfId="27119" xr:uid="{00000000-0005-0000-0000-000036230000}"/>
    <cellStyle name="Input 2 6 4 2 7" xfId="9883" xr:uid="{00000000-0005-0000-0000-000037230000}"/>
    <cellStyle name="Input 2 6 4 2 7 2" xfId="20087" xr:uid="{00000000-0005-0000-0000-000038230000}"/>
    <cellStyle name="Input 2 6 4 3" xfId="3702" xr:uid="{00000000-0005-0000-0000-000039230000}"/>
    <cellStyle name="Input 2 6 4 3 2" xfId="7758" xr:uid="{00000000-0005-0000-0000-00003A230000}"/>
    <cellStyle name="Input 2 6 4 3 2 2" xfId="23641" xr:uid="{00000000-0005-0000-0000-00003B230000}"/>
    <cellStyle name="Input 2 6 4 3 3" xfId="14037" xr:uid="{00000000-0005-0000-0000-00003C230000}"/>
    <cellStyle name="Input 2 6 4 3 3 2" xfId="28869" xr:uid="{00000000-0005-0000-0000-00003D230000}"/>
    <cellStyle name="Input 2 6 4 3 4" xfId="21301" xr:uid="{00000000-0005-0000-0000-00003E230000}"/>
    <cellStyle name="Input 2 6 4 4" xfId="4457" xr:uid="{00000000-0005-0000-0000-00003F230000}"/>
    <cellStyle name="Input 2 6 4 4 2" xfId="8496" xr:uid="{00000000-0005-0000-0000-000040230000}"/>
    <cellStyle name="Input 2 6 4 4 2 2" xfId="24122" xr:uid="{00000000-0005-0000-0000-000041230000}"/>
    <cellStyle name="Input 2 6 4 4 3" xfId="14785" xr:uid="{00000000-0005-0000-0000-000042230000}"/>
    <cellStyle name="Input 2 6 4 4 3 2" xfId="29617" xr:uid="{00000000-0005-0000-0000-000043230000}"/>
    <cellStyle name="Input 2 6 4 4 4" xfId="21684" xr:uid="{00000000-0005-0000-0000-000044230000}"/>
    <cellStyle name="Input 2 6 4 5" xfId="2447" xr:uid="{00000000-0005-0000-0000-000045230000}"/>
    <cellStyle name="Input 2 6 4 5 2" xfId="6553" xr:uid="{00000000-0005-0000-0000-000046230000}"/>
    <cellStyle name="Input 2 6 4 5 2 2" xfId="22891" xr:uid="{00000000-0005-0000-0000-000047230000}"/>
    <cellStyle name="Input 2 6 4 5 3" xfId="12786" xr:uid="{00000000-0005-0000-0000-000048230000}"/>
    <cellStyle name="Input 2 6 4 5 3 2" xfId="27618" xr:uid="{00000000-0005-0000-0000-000049230000}"/>
    <cellStyle name="Input 2 6 4 5 4" xfId="20539" xr:uid="{00000000-0005-0000-0000-00004A230000}"/>
    <cellStyle name="Input 2 6 4 6" xfId="5571" xr:uid="{00000000-0005-0000-0000-00004B230000}"/>
    <cellStyle name="Input 2 6 4 6 2" xfId="15806" xr:uid="{00000000-0005-0000-0000-00004C230000}"/>
    <cellStyle name="Input 2 6 4 6 2 2" xfId="30638" xr:uid="{00000000-0005-0000-0000-00004D230000}"/>
    <cellStyle name="Input 2 6 4 6 3" xfId="22267" xr:uid="{00000000-0005-0000-0000-00004E230000}"/>
    <cellStyle name="Input 2 6 4 7" xfId="11816" xr:uid="{00000000-0005-0000-0000-00004F230000}"/>
    <cellStyle name="Input 2 6 4 7 2" xfId="26648" xr:uid="{00000000-0005-0000-0000-000050230000}"/>
    <cellStyle name="Input 2 6 4 8" xfId="9488" xr:uid="{00000000-0005-0000-0000-000051230000}"/>
    <cellStyle name="Input 2 6 4 8 2" xfId="19791" xr:uid="{00000000-0005-0000-0000-000052230000}"/>
    <cellStyle name="Input 2 6 5" xfId="1472" xr:uid="{00000000-0005-0000-0000-000053230000}"/>
    <cellStyle name="Input 2 6 5 2" xfId="1973" xr:uid="{00000000-0005-0000-0000-000054230000}"/>
    <cellStyle name="Input 2 6 5 2 2" xfId="4056" xr:uid="{00000000-0005-0000-0000-000055230000}"/>
    <cellStyle name="Input 2 6 5 2 2 2" xfId="8103" xr:uid="{00000000-0005-0000-0000-000056230000}"/>
    <cellStyle name="Input 2 6 5 2 2 2 2" xfId="23865" xr:uid="{00000000-0005-0000-0000-000057230000}"/>
    <cellStyle name="Input 2 6 5 2 2 3" xfId="14388" xr:uid="{00000000-0005-0000-0000-000058230000}"/>
    <cellStyle name="Input 2 6 5 2 2 3 2" xfId="29220" xr:uid="{00000000-0005-0000-0000-000059230000}"/>
    <cellStyle name="Input 2 6 5 2 2 4" xfId="21499" xr:uid="{00000000-0005-0000-0000-00005A230000}"/>
    <cellStyle name="Input 2 6 5 2 3" xfId="4937" xr:uid="{00000000-0005-0000-0000-00005B230000}"/>
    <cellStyle name="Input 2 6 5 2 3 2" xfId="8976" xr:uid="{00000000-0005-0000-0000-00005C230000}"/>
    <cellStyle name="Input 2 6 5 2 3 2 2" xfId="24442" xr:uid="{00000000-0005-0000-0000-00005D230000}"/>
    <cellStyle name="Input 2 6 5 2 3 3" xfId="15259" xr:uid="{00000000-0005-0000-0000-00005E230000}"/>
    <cellStyle name="Input 2 6 5 2 3 3 2" xfId="30091" xr:uid="{00000000-0005-0000-0000-00005F230000}"/>
    <cellStyle name="Input 2 6 5 2 3 4" xfId="21972" xr:uid="{00000000-0005-0000-0000-000060230000}"/>
    <cellStyle name="Input 2 6 5 2 4" xfId="2927" xr:uid="{00000000-0005-0000-0000-000061230000}"/>
    <cellStyle name="Input 2 6 5 2 4 2" xfId="7011" xr:uid="{00000000-0005-0000-0000-000062230000}"/>
    <cellStyle name="Input 2 6 5 2 4 2 2" xfId="23185" xr:uid="{00000000-0005-0000-0000-000063230000}"/>
    <cellStyle name="Input 2 6 5 2 4 3" xfId="13265" xr:uid="{00000000-0005-0000-0000-000064230000}"/>
    <cellStyle name="Input 2 6 5 2 4 3 2" xfId="28097" xr:uid="{00000000-0005-0000-0000-000065230000}"/>
    <cellStyle name="Input 2 6 5 2 4 4" xfId="20853" xr:uid="{00000000-0005-0000-0000-000066230000}"/>
    <cellStyle name="Input 2 6 5 2 5" xfId="6103" xr:uid="{00000000-0005-0000-0000-000067230000}"/>
    <cellStyle name="Input 2 6 5 2 5 2" xfId="16290" xr:uid="{00000000-0005-0000-0000-000068230000}"/>
    <cellStyle name="Input 2 6 5 2 5 2 2" xfId="31122" xr:uid="{00000000-0005-0000-0000-000069230000}"/>
    <cellStyle name="Input 2 6 5 2 5 3" xfId="22636" xr:uid="{00000000-0005-0000-0000-00006A230000}"/>
    <cellStyle name="Input 2 6 5 2 6" xfId="12360" xr:uid="{00000000-0005-0000-0000-00006B230000}"/>
    <cellStyle name="Input 2 6 5 2 6 2" xfId="27192" xr:uid="{00000000-0005-0000-0000-00006C230000}"/>
    <cellStyle name="Input 2 6 5 2 7" xfId="9942" xr:uid="{00000000-0005-0000-0000-00006D230000}"/>
    <cellStyle name="Input 2 6 5 2 7 2" xfId="20144" xr:uid="{00000000-0005-0000-0000-00006E230000}"/>
    <cellStyle name="Input 2 6 5 3" xfId="3234" xr:uid="{00000000-0005-0000-0000-00006F230000}"/>
    <cellStyle name="Input 2 6 5 3 2" xfId="7298" xr:uid="{00000000-0005-0000-0000-000070230000}"/>
    <cellStyle name="Input 2 6 5 3 2 2" xfId="23338" xr:uid="{00000000-0005-0000-0000-000071230000}"/>
    <cellStyle name="Input 2 6 5 3 3" xfId="13571" xr:uid="{00000000-0005-0000-0000-000072230000}"/>
    <cellStyle name="Input 2 6 5 3 3 2" xfId="28403" xr:uid="{00000000-0005-0000-0000-000073230000}"/>
    <cellStyle name="Input 2 6 5 3 4" xfId="21026" xr:uid="{00000000-0005-0000-0000-000074230000}"/>
    <cellStyle name="Input 2 6 5 4" xfId="4517" xr:uid="{00000000-0005-0000-0000-000075230000}"/>
    <cellStyle name="Input 2 6 5 4 2" xfId="8556" xr:uid="{00000000-0005-0000-0000-000076230000}"/>
    <cellStyle name="Input 2 6 5 4 2 2" xfId="24182" xr:uid="{00000000-0005-0000-0000-000077230000}"/>
    <cellStyle name="Input 2 6 5 4 3" xfId="14844" xr:uid="{00000000-0005-0000-0000-000078230000}"/>
    <cellStyle name="Input 2 6 5 4 3 2" xfId="29676" xr:uid="{00000000-0005-0000-0000-000079230000}"/>
    <cellStyle name="Input 2 6 5 4 4" xfId="21742" xr:uid="{00000000-0005-0000-0000-00007A230000}"/>
    <cellStyle name="Input 2 6 5 5" xfId="2507" xr:uid="{00000000-0005-0000-0000-00007B230000}"/>
    <cellStyle name="Input 2 6 5 5 2" xfId="6613" xr:uid="{00000000-0005-0000-0000-00007C230000}"/>
    <cellStyle name="Input 2 6 5 5 2 2" xfId="22951" xr:uid="{00000000-0005-0000-0000-00007D230000}"/>
    <cellStyle name="Input 2 6 5 5 3" xfId="12845" xr:uid="{00000000-0005-0000-0000-00007E230000}"/>
    <cellStyle name="Input 2 6 5 5 3 2" xfId="27677" xr:uid="{00000000-0005-0000-0000-00007F230000}"/>
    <cellStyle name="Input 2 6 5 5 4" xfId="20597" xr:uid="{00000000-0005-0000-0000-000080230000}"/>
    <cellStyle name="Input 2 6 5 6" xfId="5630" xr:uid="{00000000-0005-0000-0000-000081230000}"/>
    <cellStyle name="Input 2 6 5 6 2" xfId="15865" xr:uid="{00000000-0005-0000-0000-000082230000}"/>
    <cellStyle name="Input 2 6 5 6 2 2" xfId="30697" xr:uid="{00000000-0005-0000-0000-000083230000}"/>
    <cellStyle name="Input 2 6 5 6 3" xfId="22326" xr:uid="{00000000-0005-0000-0000-000084230000}"/>
    <cellStyle name="Input 2 6 5 7" xfId="11889" xr:uid="{00000000-0005-0000-0000-000085230000}"/>
    <cellStyle name="Input 2 6 5 7 2" xfId="26721" xr:uid="{00000000-0005-0000-0000-000086230000}"/>
    <cellStyle name="Input 2 6 5 8" xfId="9547" xr:uid="{00000000-0005-0000-0000-000087230000}"/>
    <cellStyle name="Input 2 6 5 8 2" xfId="19849" xr:uid="{00000000-0005-0000-0000-000088230000}"/>
    <cellStyle name="Input 2 6 6" xfId="1750" xr:uid="{00000000-0005-0000-0000-000089230000}"/>
    <cellStyle name="Input 2 6 6 2" xfId="3509" xr:uid="{00000000-0005-0000-0000-00008A230000}"/>
    <cellStyle name="Input 2 6 6 2 2" xfId="7571" xr:uid="{00000000-0005-0000-0000-00008B230000}"/>
    <cellStyle name="Input 2 6 6 2 2 2" xfId="23523" xr:uid="{00000000-0005-0000-0000-00008C230000}"/>
    <cellStyle name="Input 2 6 6 2 3" xfId="13846" xr:uid="{00000000-0005-0000-0000-00008D230000}"/>
    <cellStyle name="Input 2 6 6 2 3 2" xfId="28678" xr:uid="{00000000-0005-0000-0000-00008E230000}"/>
    <cellStyle name="Input 2 6 6 2 4" xfId="21198" xr:uid="{00000000-0005-0000-0000-00008F230000}"/>
    <cellStyle name="Input 2 6 6 3" xfId="4728" xr:uid="{00000000-0005-0000-0000-000090230000}"/>
    <cellStyle name="Input 2 6 6 3 2" xfId="8767" xr:uid="{00000000-0005-0000-0000-000091230000}"/>
    <cellStyle name="Input 2 6 6 3 2 2" xfId="24297" xr:uid="{00000000-0005-0000-0000-000092230000}"/>
    <cellStyle name="Input 2 6 6 3 3" xfId="15052" xr:uid="{00000000-0005-0000-0000-000093230000}"/>
    <cellStyle name="Input 2 6 6 3 3 2" xfId="29884" xr:uid="{00000000-0005-0000-0000-000094230000}"/>
    <cellStyle name="Input 2 6 6 3 4" xfId="21835" xr:uid="{00000000-0005-0000-0000-000095230000}"/>
    <cellStyle name="Input 2 6 6 4" xfId="2718" xr:uid="{00000000-0005-0000-0000-000096230000}"/>
    <cellStyle name="Input 2 6 6 4 2" xfId="6809" xr:uid="{00000000-0005-0000-0000-000097230000}"/>
    <cellStyle name="Input 2 6 6 4 2 2" xfId="23048" xr:uid="{00000000-0005-0000-0000-000098230000}"/>
    <cellStyle name="Input 2 6 6 4 3" xfId="13056" xr:uid="{00000000-0005-0000-0000-000099230000}"/>
    <cellStyle name="Input 2 6 6 4 3 2" xfId="27888" xr:uid="{00000000-0005-0000-0000-00009A230000}"/>
    <cellStyle name="Input 2 6 6 4 4" xfId="20708" xr:uid="{00000000-0005-0000-0000-00009B230000}"/>
    <cellStyle name="Input 2 6 6 5" xfId="5882" xr:uid="{00000000-0005-0000-0000-00009C230000}"/>
    <cellStyle name="Input 2 6 6 5 2" xfId="16074" xr:uid="{00000000-0005-0000-0000-00009D230000}"/>
    <cellStyle name="Input 2 6 6 5 2 2" xfId="30906" xr:uid="{00000000-0005-0000-0000-00009E230000}"/>
    <cellStyle name="Input 2 6 6 5 3" xfId="22479" xr:uid="{00000000-0005-0000-0000-00009F230000}"/>
    <cellStyle name="Input 2 6 6 6" xfId="12144" xr:uid="{00000000-0005-0000-0000-0000A0230000}"/>
    <cellStyle name="Input 2 6 6 6 2" xfId="26976" xr:uid="{00000000-0005-0000-0000-0000A1230000}"/>
    <cellStyle name="Input 2 6 6 7" xfId="9740" xr:uid="{00000000-0005-0000-0000-0000A2230000}"/>
    <cellStyle name="Input 2 6 6 7 2" xfId="20038" xr:uid="{00000000-0005-0000-0000-0000A3230000}"/>
    <cellStyle name="Input 2 6 7" xfId="2216" xr:uid="{00000000-0005-0000-0000-0000A4230000}"/>
    <cellStyle name="Input 2 6 7 2" xfId="3543" xr:uid="{00000000-0005-0000-0000-0000A5230000}"/>
    <cellStyle name="Input 2 6 7 2 2" xfId="7605" xr:uid="{00000000-0005-0000-0000-0000A6230000}"/>
    <cellStyle name="Input 2 6 7 2 2 2" xfId="23543" xr:uid="{00000000-0005-0000-0000-0000A7230000}"/>
    <cellStyle name="Input 2 6 7 2 3" xfId="13879" xr:uid="{00000000-0005-0000-0000-0000A8230000}"/>
    <cellStyle name="Input 2 6 7 2 3 2" xfId="28711" xr:uid="{00000000-0005-0000-0000-0000A9230000}"/>
    <cellStyle name="Input 2 6 7 2 4" xfId="21216" xr:uid="{00000000-0005-0000-0000-0000AA230000}"/>
    <cellStyle name="Input 2 6 7 3" xfId="5184" xr:uid="{00000000-0005-0000-0000-0000AB230000}"/>
    <cellStyle name="Input 2 6 7 3 2" xfId="9223" xr:uid="{00000000-0005-0000-0000-0000AC230000}"/>
    <cellStyle name="Input 2 6 7 3 2 2" xfId="24561" xr:uid="{00000000-0005-0000-0000-0000AD230000}"/>
    <cellStyle name="Input 2 6 7 3 3" xfId="15502" xr:uid="{00000000-0005-0000-0000-0000AE230000}"/>
    <cellStyle name="Input 2 6 7 3 3 2" xfId="30334" xr:uid="{00000000-0005-0000-0000-0000AF230000}"/>
    <cellStyle name="Input 2 6 7 3 4" xfId="22068" xr:uid="{00000000-0005-0000-0000-0000B0230000}"/>
    <cellStyle name="Input 2 6 7 4" xfId="4214" xr:uid="{00000000-0005-0000-0000-0000B1230000}"/>
    <cellStyle name="Input 2 6 7 4 2" xfId="8255" xr:uid="{00000000-0005-0000-0000-0000B2230000}"/>
    <cellStyle name="Input 2 6 7 4 2 2" xfId="23950" xr:uid="{00000000-0005-0000-0000-0000B3230000}"/>
    <cellStyle name="Input 2 6 7 4 3" xfId="14546" xr:uid="{00000000-0005-0000-0000-0000B4230000}"/>
    <cellStyle name="Input 2 6 7 4 3 2" xfId="29378" xr:uid="{00000000-0005-0000-0000-0000B5230000}"/>
    <cellStyle name="Input 2 6 7 4 4" xfId="21575" xr:uid="{00000000-0005-0000-0000-0000B6230000}"/>
    <cellStyle name="Input 2 6 7 5" xfId="6330" xr:uid="{00000000-0005-0000-0000-0000B7230000}"/>
    <cellStyle name="Input 2 6 7 5 2" xfId="22732" xr:uid="{00000000-0005-0000-0000-0000B8230000}"/>
    <cellStyle name="Input 2 6 7 6" xfId="12584" xr:uid="{00000000-0005-0000-0000-0000B9230000}"/>
    <cellStyle name="Input 2 6 7 6 2" xfId="27416" xr:uid="{00000000-0005-0000-0000-0000BA230000}"/>
    <cellStyle name="Input 2 6 7 7" xfId="20411" xr:uid="{00000000-0005-0000-0000-0000BB230000}"/>
    <cellStyle name="Input 2 6 8" xfId="4291" xr:uid="{00000000-0005-0000-0000-0000BC230000}"/>
    <cellStyle name="Input 2 6 8 2" xfId="8330" xr:uid="{00000000-0005-0000-0000-0000BD230000}"/>
    <cellStyle name="Input 2 6 8 2 2" xfId="24018" xr:uid="{00000000-0005-0000-0000-0000BE230000}"/>
    <cellStyle name="Input 2 6 8 3" xfId="14623" xr:uid="{00000000-0005-0000-0000-0000BF230000}"/>
    <cellStyle name="Input 2 6 8 3 2" xfId="29455" xr:uid="{00000000-0005-0000-0000-0000C0230000}"/>
    <cellStyle name="Input 2 6 8 4" xfId="21616" xr:uid="{00000000-0005-0000-0000-0000C1230000}"/>
    <cellStyle name="Input 2 6 9" xfId="3261" xr:uid="{00000000-0005-0000-0000-0000C2230000}"/>
    <cellStyle name="Input 2 6 9 2" xfId="7325" xr:uid="{00000000-0005-0000-0000-0000C3230000}"/>
    <cellStyle name="Input 2 6 9 2 2" xfId="23360" xr:uid="{00000000-0005-0000-0000-0000C4230000}"/>
    <cellStyle name="Input 2 6 9 3" xfId="13598" xr:uid="{00000000-0005-0000-0000-0000C5230000}"/>
    <cellStyle name="Input 2 6 9 3 2" xfId="28430" xr:uid="{00000000-0005-0000-0000-0000C6230000}"/>
    <cellStyle name="Input 2 6 9 4" xfId="21047" xr:uid="{00000000-0005-0000-0000-0000C7230000}"/>
    <cellStyle name="Input 2 7" xfId="1118" xr:uid="{00000000-0005-0000-0000-0000C8230000}"/>
    <cellStyle name="Input 2 7 10" xfId="2289" xr:uid="{00000000-0005-0000-0000-0000C9230000}"/>
    <cellStyle name="Input 2 7 10 2" xfId="6401" xr:uid="{00000000-0005-0000-0000-0000CA230000}"/>
    <cellStyle name="Input 2 7 10 2 2" xfId="22803" xr:uid="{00000000-0005-0000-0000-0000CB230000}"/>
    <cellStyle name="Input 2 7 10 3" xfId="12629" xr:uid="{00000000-0005-0000-0000-0000CC230000}"/>
    <cellStyle name="Input 2 7 10 3 2" xfId="27461" xr:uid="{00000000-0005-0000-0000-0000CD230000}"/>
    <cellStyle name="Input 2 7 10 4" xfId="20455" xr:uid="{00000000-0005-0000-0000-0000CE230000}"/>
    <cellStyle name="Input 2 7 11" xfId="5255" xr:uid="{00000000-0005-0000-0000-0000CF230000}"/>
    <cellStyle name="Input 2 7 11 2" xfId="15571" xr:uid="{00000000-0005-0000-0000-0000D0230000}"/>
    <cellStyle name="Input 2 7 11 2 2" xfId="30403" xr:uid="{00000000-0005-0000-0000-0000D1230000}"/>
    <cellStyle name="Input 2 7 11 3" xfId="22112" xr:uid="{00000000-0005-0000-0000-0000D2230000}"/>
    <cellStyle name="Input 2 7 12" xfId="5413" xr:uid="{00000000-0005-0000-0000-0000D3230000}"/>
    <cellStyle name="Input 2 7 12 2" xfId="15649" xr:uid="{00000000-0005-0000-0000-0000D4230000}"/>
    <cellStyle name="Input 2 7 12 2 2" xfId="30481" xr:uid="{00000000-0005-0000-0000-0000D5230000}"/>
    <cellStyle name="Input 2 7 12 3" xfId="22174" xr:uid="{00000000-0005-0000-0000-0000D6230000}"/>
    <cellStyle name="Input 2 7 13" xfId="9378" xr:uid="{00000000-0005-0000-0000-0000D7230000}"/>
    <cellStyle name="Input 2 7 13 2" xfId="24684" xr:uid="{00000000-0005-0000-0000-0000D8230000}"/>
    <cellStyle name="Input 2 7 14" xfId="5367" xr:uid="{00000000-0005-0000-0000-0000D9230000}"/>
    <cellStyle name="Input 2 7 14 2" xfId="18241" xr:uid="{00000000-0005-0000-0000-0000DA230000}"/>
    <cellStyle name="Input 2 7 2" xfId="1325" xr:uid="{00000000-0005-0000-0000-0000DB230000}"/>
    <cellStyle name="Input 2 7 2 2" xfId="1829" xr:uid="{00000000-0005-0000-0000-0000DC230000}"/>
    <cellStyle name="Input 2 7 2 2 2" xfId="3119" xr:uid="{00000000-0005-0000-0000-0000DD230000}"/>
    <cellStyle name="Input 2 7 2 2 2 2" xfId="7184" xr:uid="{00000000-0005-0000-0000-0000DE230000}"/>
    <cellStyle name="Input 2 7 2 2 2 2 2" xfId="23258" xr:uid="{00000000-0005-0000-0000-0000DF230000}"/>
    <cellStyle name="Input 2 7 2 2 2 3" xfId="13457" xr:uid="{00000000-0005-0000-0000-0000E0230000}"/>
    <cellStyle name="Input 2 7 2 2 2 3 2" xfId="28289" xr:uid="{00000000-0005-0000-0000-0000E1230000}"/>
    <cellStyle name="Input 2 7 2 2 2 4" xfId="20948" xr:uid="{00000000-0005-0000-0000-0000E2230000}"/>
    <cellStyle name="Input 2 7 2 2 3" xfId="4807" xr:uid="{00000000-0005-0000-0000-0000E3230000}"/>
    <cellStyle name="Input 2 7 2 2 3 2" xfId="8846" xr:uid="{00000000-0005-0000-0000-0000E4230000}"/>
    <cellStyle name="Input 2 7 2 2 3 2 2" xfId="24344" xr:uid="{00000000-0005-0000-0000-0000E5230000}"/>
    <cellStyle name="Input 2 7 2 2 3 3" xfId="15131" xr:uid="{00000000-0005-0000-0000-0000E6230000}"/>
    <cellStyle name="Input 2 7 2 2 3 3 2" xfId="29963" xr:uid="{00000000-0005-0000-0000-0000E7230000}"/>
    <cellStyle name="Input 2 7 2 2 3 4" xfId="21882" xr:uid="{00000000-0005-0000-0000-0000E8230000}"/>
    <cellStyle name="Input 2 7 2 2 4" xfId="2797" xr:uid="{00000000-0005-0000-0000-0000E9230000}"/>
    <cellStyle name="Input 2 7 2 2 4 2" xfId="6888" xr:uid="{00000000-0005-0000-0000-0000EA230000}"/>
    <cellStyle name="Input 2 7 2 2 4 2 2" xfId="23095" xr:uid="{00000000-0005-0000-0000-0000EB230000}"/>
    <cellStyle name="Input 2 7 2 2 4 3" xfId="13135" xr:uid="{00000000-0005-0000-0000-0000EC230000}"/>
    <cellStyle name="Input 2 7 2 2 4 3 2" xfId="27967" xr:uid="{00000000-0005-0000-0000-0000ED230000}"/>
    <cellStyle name="Input 2 7 2 2 4 4" xfId="20755" xr:uid="{00000000-0005-0000-0000-0000EE230000}"/>
    <cellStyle name="Input 2 7 2 2 5" xfId="5961" xr:uid="{00000000-0005-0000-0000-0000EF230000}"/>
    <cellStyle name="Input 2 7 2 2 5 2" xfId="16153" xr:uid="{00000000-0005-0000-0000-0000F0230000}"/>
    <cellStyle name="Input 2 7 2 2 5 2 2" xfId="30985" xr:uid="{00000000-0005-0000-0000-0000F1230000}"/>
    <cellStyle name="Input 2 7 2 2 5 3" xfId="22526" xr:uid="{00000000-0005-0000-0000-0000F2230000}"/>
    <cellStyle name="Input 2 7 2 2 6" xfId="12223" xr:uid="{00000000-0005-0000-0000-0000F3230000}"/>
    <cellStyle name="Input 2 7 2 2 6 2" xfId="27055" xr:uid="{00000000-0005-0000-0000-0000F4230000}"/>
    <cellStyle name="Input 2 7 2 2 7" xfId="9819" xr:uid="{00000000-0005-0000-0000-0000F5230000}"/>
    <cellStyle name="Input 2 7 2 2 7 2" xfId="20070" xr:uid="{00000000-0005-0000-0000-0000F6230000}"/>
    <cellStyle name="Input 2 7 2 3" xfId="3459" xr:uid="{00000000-0005-0000-0000-0000F7230000}"/>
    <cellStyle name="Input 2 7 2 3 2" xfId="7522" xr:uid="{00000000-0005-0000-0000-0000F8230000}"/>
    <cellStyle name="Input 2 7 2 3 2 2" xfId="23491" xr:uid="{00000000-0005-0000-0000-0000F9230000}"/>
    <cellStyle name="Input 2 7 2 3 3" xfId="13796" xr:uid="{00000000-0005-0000-0000-0000FA230000}"/>
    <cellStyle name="Input 2 7 2 3 3 2" xfId="28628" xr:uid="{00000000-0005-0000-0000-0000FB230000}"/>
    <cellStyle name="Input 2 7 2 3 4" xfId="21166" xr:uid="{00000000-0005-0000-0000-0000FC230000}"/>
    <cellStyle name="Input 2 7 2 4" xfId="4387" xr:uid="{00000000-0005-0000-0000-0000FD230000}"/>
    <cellStyle name="Input 2 7 2 4 2" xfId="8426" xr:uid="{00000000-0005-0000-0000-0000FE230000}"/>
    <cellStyle name="Input 2 7 2 4 2 2" xfId="24084" xr:uid="{00000000-0005-0000-0000-0000FF230000}"/>
    <cellStyle name="Input 2 7 2 4 3" xfId="14716" xr:uid="{00000000-0005-0000-0000-000000240000}"/>
    <cellStyle name="Input 2 7 2 4 3 2" xfId="29548" xr:uid="{00000000-0005-0000-0000-000001240000}"/>
    <cellStyle name="Input 2 7 2 4 4" xfId="21652" xr:uid="{00000000-0005-0000-0000-000002240000}"/>
    <cellStyle name="Input 2 7 2 5" xfId="2377" xr:uid="{00000000-0005-0000-0000-000003240000}"/>
    <cellStyle name="Input 2 7 2 5 2" xfId="6489" xr:uid="{00000000-0005-0000-0000-000004240000}"/>
    <cellStyle name="Input 2 7 2 5 2 2" xfId="22859" xr:uid="{00000000-0005-0000-0000-000005240000}"/>
    <cellStyle name="Input 2 7 2 5 3" xfId="12716" xr:uid="{00000000-0005-0000-0000-000006240000}"/>
    <cellStyle name="Input 2 7 2 5 3 2" xfId="27548" xr:uid="{00000000-0005-0000-0000-000007240000}"/>
    <cellStyle name="Input 2 7 2 5 4" xfId="20501" xr:uid="{00000000-0005-0000-0000-000008240000}"/>
    <cellStyle name="Input 2 7 2 6" xfId="5502" xr:uid="{00000000-0005-0000-0000-000009240000}"/>
    <cellStyle name="Input 2 7 2 6 2" xfId="15737" xr:uid="{00000000-0005-0000-0000-00000A240000}"/>
    <cellStyle name="Input 2 7 2 6 2 2" xfId="30569" xr:uid="{00000000-0005-0000-0000-00000B240000}"/>
    <cellStyle name="Input 2 7 2 6 3" xfId="22230" xr:uid="{00000000-0005-0000-0000-00000C240000}"/>
    <cellStyle name="Input 2 7 2 7" xfId="11752" xr:uid="{00000000-0005-0000-0000-00000D240000}"/>
    <cellStyle name="Input 2 7 2 7 2" xfId="26584" xr:uid="{00000000-0005-0000-0000-00000E240000}"/>
    <cellStyle name="Input 2 7 2 8" xfId="9423" xr:uid="{00000000-0005-0000-0000-00000F240000}"/>
    <cellStyle name="Input 2 7 2 8 2" xfId="19727" xr:uid="{00000000-0005-0000-0000-000010240000}"/>
    <cellStyle name="Input 2 7 3" xfId="1483" xr:uid="{00000000-0005-0000-0000-000011240000}"/>
    <cellStyle name="Input 2 7 3 2" xfId="1984" xr:uid="{00000000-0005-0000-0000-000012240000}"/>
    <cellStyle name="Input 2 7 3 2 2" xfId="3796" xr:uid="{00000000-0005-0000-0000-000013240000}"/>
    <cellStyle name="Input 2 7 3 2 2 2" xfId="7851" xr:uid="{00000000-0005-0000-0000-000014240000}"/>
    <cellStyle name="Input 2 7 3 2 2 2 2" xfId="23705" xr:uid="{00000000-0005-0000-0000-000015240000}"/>
    <cellStyle name="Input 2 7 3 2 2 3" xfId="14131" xr:uid="{00000000-0005-0000-0000-000016240000}"/>
    <cellStyle name="Input 2 7 3 2 2 3 2" xfId="28963" xr:uid="{00000000-0005-0000-0000-000017240000}"/>
    <cellStyle name="Input 2 7 3 2 2 4" xfId="21357" xr:uid="{00000000-0005-0000-0000-000018240000}"/>
    <cellStyle name="Input 2 7 3 2 3" xfId="4948" xr:uid="{00000000-0005-0000-0000-000019240000}"/>
    <cellStyle name="Input 2 7 3 2 3 2" xfId="8987" xr:uid="{00000000-0005-0000-0000-00001A240000}"/>
    <cellStyle name="Input 2 7 3 2 3 2 2" xfId="24453" xr:uid="{00000000-0005-0000-0000-00001B240000}"/>
    <cellStyle name="Input 2 7 3 2 3 3" xfId="15270" xr:uid="{00000000-0005-0000-0000-00001C240000}"/>
    <cellStyle name="Input 2 7 3 2 3 3 2" xfId="30102" xr:uid="{00000000-0005-0000-0000-00001D240000}"/>
    <cellStyle name="Input 2 7 3 2 3 4" xfId="21983" xr:uid="{00000000-0005-0000-0000-00001E240000}"/>
    <cellStyle name="Input 2 7 3 2 4" xfId="2938" xr:uid="{00000000-0005-0000-0000-00001F240000}"/>
    <cellStyle name="Input 2 7 3 2 4 2" xfId="7022" xr:uid="{00000000-0005-0000-0000-000020240000}"/>
    <cellStyle name="Input 2 7 3 2 4 2 2" xfId="23196" xr:uid="{00000000-0005-0000-0000-000021240000}"/>
    <cellStyle name="Input 2 7 3 2 4 3" xfId="13276" xr:uid="{00000000-0005-0000-0000-000022240000}"/>
    <cellStyle name="Input 2 7 3 2 4 3 2" xfId="28108" xr:uid="{00000000-0005-0000-0000-000023240000}"/>
    <cellStyle name="Input 2 7 3 2 4 4" xfId="20864" xr:uid="{00000000-0005-0000-0000-000024240000}"/>
    <cellStyle name="Input 2 7 3 2 5" xfId="6114" xr:uid="{00000000-0005-0000-0000-000025240000}"/>
    <cellStyle name="Input 2 7 3 2 5 2" xfId="16301" xr:uid="{00000000-0005-0000-0000-000026240000}"/>
    <cellStyle name="Input 2 7 3 2 5 2 2" xfId="31133" xr:uid="{00000000-0005-0000-0000-000027240000}"/>
    <cellStyle name="Input 2 7 3 2 5 3" xfId="22647" xr:uid="{00000000-0005-0000-0000-000028240000}"/>
    <cellStyle name="Input 2 7 3 2 6" xfId="12371" xr:uid="{00000000-0005-0000-0000-000029240000}"/>
    <cellStyle name="Input 2 7 3 2 6 2" xfId="27203" xr:uid="{00000000-0005-0000-0000-00002A240000}"/>
    <cellStyle name="Input 2 7 3 2 7" xfId="9953" xr:uid="{00000000-0005-0000-0000-00002B240000}"/>
    <cellStyle name="Input 2 7 3 2 7 2" xfId="20155" xr:uid="{00000000-0005-0000-0000-00002C240000}"/>
    <cellStyle name="Input 2 7 3 3" xfId="4093" xr:uid="{00000000-0005-0000-0000-00002D240000}"/>
    <cellStyle name="Input 2 7 3 3 2" xfId="8139" xr:uid="{00000000-0005-0000-0000-00002E240000}"/>
    <cellStyle name="Input 2 7 3 3 2 2" xfId="23886" xr:uid="{00000000-0005-0000-0000-00002F240000}"/>
    <cellStyle name="Input 2 7 3 3 3" xfId="14425" xr:uid="{00000000-0005-0000-0000-000030240000}"/>
    <cellStyle name="Input 2 7 3 3 3 2" xfId="29257" xr:uid="{00000000-0005-0000-0000-000031240000}"/>
    <cellStyle name="Input 2 7 3 3 4" xfId="21516" xr:uid="{00000000-0005-0000-0000-000032240000}"/>
    <cellStyle name="Input 2 7 3 4" xfId="4528" xr:uid="{00000000-0005-0000-0000-000033240000}"/>
    <cellStyle name="Input 2 7 3 4 2" xfId="8567" xr:uid="{00000000-0005-0000-0000-000034240000}"/>
    <cellStyle name="Input 2 7 3 4 2 2" xfId="24193" xr:uid="{00000000-0005-0000-0000-000035240000}"/>
    <cellStyle name="Input 2 7 3 4 3" xfId="14855" xr:uid="{00000000-0005-0000-0000-000036240000}"/>
    <cellStyle name="Input 2 7 3 4 3 2" xfId="29687" xr:uid="{00000000-0005-0000-0000-000037240000}"/>
    <cellStyle name="Input 2 7 3 4 4" xfId="21753" xr:uid="{00000000-0005-0000-0000-000038240000}"/>
    <cellStyle name="Input 2 7 3 5" xfId="2518" xr:uid="{00000000-0005-0000-0000-000039240000}"/>
    <cellStyle name="Input 2 7 3 5 2" xfId="6624" xr:uid="{00000000-0005-0000-0000-00003A240000}"/>
    <cellStyle name="Input 2 7 3 5 2 2" xfId="22962" xr:uid="{00000000-0005-0000-0000-00003B240000}"/>
    <cellStyle name="Input 2 7 3 5 3" xfId="12856" xr:uid="{00000000-0005-0000-0000-00003C240000}"/>
    <cellStyle name="Input 2 7 3 5 3 2" xfId="27688" xr:uid="{00000000-0005-0000-0000-00003D240000}"/>
    <cellStyle name="Input 2 7 3 5 4" xfId="20608" xr:uid="{00000000-0005-0000-0000-00003E240000}"/>
    <cellStyle name="Input 2 7 3 6" xfId="5641" xr:uid="{00000000-0005-0000-0000-00003F240000}"/>
    <cellStyle name="Input 2 7 3 6 2" xfId="15876" xr:uid="{00000000-0005-0000-0000-000040240000}"/>
    <cellStyle name="Input 2 7 3 6 2 2" xfId="30708" xr:uid="{00000000-0005-0000-0000-000041240000}"/>
    <cellStyle name="Input 2 7 3 6 3" xfId="22337" xr:uid="{00000000-0005-0000-0000-000042240000}"/>
    <cellStyle name="Input 2 7 3 7" xfId="11900" xr:uid="{00000000-0005-0000-0000-000043240000}"/>
    <cellStyle name="Input 2 7 3 7 2" xfId="26732" xr:uid="{00000000-0005-0000-0000-000044240000}"/>
    <cellStyle name="Input 2 7 3 8" xfId="9558" xr:uid="{00000000-0005-0000-0000-000045240000}"/>
    <cellStyle name="Input 2 7 3 8 2" xfId="19860" xr:uid="{00000000-0005-0000-0000-000046240000}"/>
    <cellStyle name="Input 2 7 4" xfId="1402" xr:uid="{00000000-0005-0000-0000-000047240000}"/>
    <cellStyle name="Input 2 7 4 2" xfId="1904" xr:uid="{00000000-0005-0000-0000-000048240000}"/>
    <cellStyle name="Input 2 7 4 2 2" xfId="4088" xr:uid="{00000000-0005-0000-0000-000049240000}"/>
    <cellStyle name="Input 2 7 4 2 2 2" xfId="8134" xr:uid="{00000000-0005-0000-0000-00004A240000}"/>
    <cellStyle name="Input 2 7 4 2 2 2 2" xfId="23882" xr:uid="{00000000-0005-0000-0000-00004B240000}"/>
    <cellStyle name="Input 2 7 4 2 2 3" xfId="14420" xr:uid="{00000000-0005-0000-0000-00004C240000}"/>
    <cellStyle name="Input 2 7 4 2 2 3 2" xfId="29252" xr:uid="{00000000-0005-0000-0000-00004D240000}"/>
    <cellStyle name="Input 2 7 4 2 2 4" xfId="21512" xr:uid="{00000000-0005-0000-0000-00004E240000}"/>
    <cellStyle name="Input 2 7 4 2 3" xfId="4882" xr:uid="{00000000-0005-0000-0000-00004F240000}"/>
    <cellStyle name="Input 2 7 4 2 3 2" xfId="8921" xr:uid="{00000000-0005-0000-0000-000050240000}"/>
    <cellStyle name="Input 2 7 4 2 3 2 2" xfId="24387" xr:uid="{00000000-0005-0000-0000-000051240000}"/>
    <cellStyle name="Input 2 7 4 2 3 3" xfId="15205" xr:uid="{00000000-0005-0000-0000-000052240000}"/>
    <cellStyle name="Input 2 7 4 2 3 3 2" xfId="30037" xr:uid="{00000000-0005-0000-0000-000053240000}"/>
    <cellStyle name="Input 2 7 4 2 3 4" xfId="21919" xr:uid="{00000000-0005-0000-0000-000054240000}"/>
    <cellStyle name="Input 2 7 4 2 4" xfId="2872" xr:uid="{00000000-0005-0000-0000-000055240000}"/>
    <cellStyle name="Input 2 7 4 2 4 2" xfId="6957" xr:uid="{00000000-0005-0000-0000-000056240000}"/>
    <cellStyle name="Input 2 7 4 2 4 2 2" xfId="23132" xr:uid="{00000000-0005-0000-0000-000057240000}"/>
    <cellStyle name="Input 2 7 4 2 4 3" xfId="13210" xr:uid="{00000000-0005-0000-0000-000058240000}"/>
    <cellStyle name="Input 2 7 4 2 4 3 2" xfId="28042" xr:uid="{00000000-0005-0000-0000-000059240000}"/>
    <cellStyle name="Input 2 7 4 2 4 4" xfId="20798" xr:uid="{00000000-0005-0000-0000-00005A240000}"/>
    <cellStyle name="Input 2 7 4 2 5" xfId="6035" xr:uid="{00000000-0005-0000-0000-00005B240000}"/>
    <cellStyle name="Input 2 7 4 2 5 2" xfId="16222" xr:uid="{00000000-0005-0000-0000-00005C240000}"/>
    <cellStyle name="Input 2 7 4 2 5 2 2" xfId="31054" xr:uid="{00000000-0005-0000-0000-00005D240000}"/>
    <cellStyle name="Input 2 7 4 2 5 3" xfId="22568" xr:uid="{00000000-0005-0000-0000-00005E240000}"/>
    <cellStyle name="Input 2 7 4 2 6" xfId="12292" xr:uid="{00000000-0005-0000-0000-00005F240000}"/>
    <cellStyle name="Input 2 7 4 2 6 2" xfId="27124" xr:uid="{00000000-0005-0000-0000-000060240000}"/>
    <cellStyle name="Input 2 7 4 2 7" xfId="9888" xr:uid="{00000000-0005-0000-0000-000061240000}"/>
    <cellStyle name="Input 2 7 4 2 7 2" xfId="20091" xr:uid="{00000000-0005-0000-0000-000062240000}"/>
    <cellStyle name="Input 2 7 4 3" xfId="3977" xr:uid="{00000000-0005-0000-0000-000063240000}"/>
    <cellStyle name="Input 2 7 4 3 2" xfId="8026" xr:uid="{00000000-0005-0000-0000-000064240000}"/>
    <cellStyle name="Input 2 7 4 3 2 2" xfId="23816" xr:uid="{00000000-0005-0000-0000-000065240000}"/>
    <cellStyle name="Input 2 7 4 3 3" xfId="14310" xr:uid="{00000000-0005-0000-0000-000066240000}"/>
    <cellStyle name="Input 2 7 4 3 3 2" xfId="29142" xr:uid="{00000000-0005-0000-0000-000067240000}"/>
    <cellStyle name="Input 2 7 4 3 4" xfId="21454" xr:uid="{00000000-0005-0000-0000-000068240000}"/>
    <cellStyle name="Input 2 7 4 4" xfId="4462" xr:uid="{00000000-0005-0000-0000-000069240000}"/>
    <cellStyle name="Input 2 7 4 4 2" xfId="8501" xr:uid="{00000000-0005-0000-0000-00006A240000}"/>
    <cellStyle name="Input 2 7 4 4 2 2" xfId="24127" xr:uid="{00000000-0005-0000-0000-00006B240000}"/>
    <cellStyle name="Input 2 7 4 4 3" xfId="14790" xr:uid="{00000000-0005-0000-0000-00006C240000}"/>
    <cellStyle name="Input 2 7 4 4 3 2" xfId="29622" xr:uid="{00000000-0005-0000-0000-00006D240000}"/>
    <cellStyle name="Input 2 7 4 4 4" xfId="21689" xr:uid="{00000000-0005-0000-0000-00006E240000}"/>
    <cellStyle name="Input 2 7 4 5" xfId="2452" xr:uid="{00000000-0005-0000-0000-00006F240000}"/>
    <cellStyle name="Input 2 7 4 5 2" xfId="6558" xr:uid="{00000000-0005-0000-0000-000070240000}"/>
    <cellStyle name="Input 2 7 4 5 2 2" xfId="22896" xr:uid="{00000000-0005-0000-0000-000071240000}"/>
    <cellStyle name="Input 2 7 4 5 3" xfId="12791" xr:uid="{00000000-0005-0000-0000-000072240000}"/>
    <cellStyle name="Input 2 7 4 5 3 2" xfId="27623" xr:uid="{00000000-0005-0000-0000-000073240000}"/>
    <cellStyle name="Input 2 7 4 5 4" xfId="20544" xr:uid="{00000000-0005-0000-0000-000074240000}"/>
    <cellStyle name="Input 2 7 4 6" xfId="5576" xr:uid="{00000000-0005-0000-0000-000075240000}"/>
    <cellStyle name="Input 2 7 4 6 2" xfId="15811" xr:uid="{00000000-0005-0000-0000-000076240000}"/>
    <cellStyle name="Input 2 7 4 6 2 2" xfId="30643" xr:uid="{00000000-0005-0000-0000-000077240000}"/>
    <cellStyle name="Input 2 7 4 6 3" xfId="22272" xr:uid="{00000000-0005-0000-0000-000078240000}"/>
    <cellStyle name="Input 2 7 4 7" xfId="11821" xr:uid="{00000000-0005-0000-0000-000079240000}"/>
    <cellStyle name="Input 2 7 4 7 2" xfId="26653" xr:uid="{00000000-0005-0000-0000-00007A240000}"/>
    <cellStyle name="Input 2 7 4 8" xfId="9493" xr:uid="{00000000-0005-0000-0000-00007B240000}"/>
    <cellStyle name="Input 2 7 4 8 2" xfId="19796" xr:uid="{00000000-0005-0000-0000-00007C240000}"/>
    <cellStyle name="Input 2 7 5" xfId="1473" xr:uid="{00000000-0005-0000-0000-00007D240000}"/>
    <cellStyle name="Input 2 7 5 2" xfId="1974" xr:uid="{00000000-0005-0000-0000-00007E240000}"/>
    <cellStyle name="Input 2 7 5 2 2" xfId="3481" xr:uid="{00000000-0005-0000-0000-00007F240000}"/>
    <cellStyle name="Input 2 7 5 2 2 2" xfId="7543" xr:uid="{00000000-0005-0000-0000-000080240000}"/>
    <cellStyle name="Input 2 7 5 2 2 2 2" xfId="23507" xr:uid="{00000000-0005-0000-0000-000081240000}"/>
    <cellStyle name="Input 2 7 5 2 2 3" xfId="13818" xr:uid="{00000000-0005-0000-0000-000082240000}"/>
    <cellStyle name="Input 2 7 5 2 2 3 2" xfId="28650" xr:uid="{00000000-0005-0000-0000-000083240000}"/>
    <cellStyle name="Input 2 7 5 2 2 4" xfId="21183" xr:uid="{00000000-0005-0000-0000-000084240000}"/>
    <cellStyle name="Input 2 7 5 2 3" xfId="4938" xr:uid="{00000000-0005-0000-0000-000085240000}"/>
    <cellStyle name="Input 2 7 5 2 3 2" xfId="8977" xr:uid="{00000000-0005-0000-0000-000086240000}"/>
    <cellStyle name="Input 2 7 5 2 3 2 2" xfId="24443" xr:uid="{00000000-0005-0000-0000-000087240000}"/>
    <cellStyle name="Input 2 7 5 2 3 3" xfId="15260" xr:uid="{00000000-0005-0000-0000-000088240000}"/>
    <cellStyle name="Input 2 7 5 2 3 3 2" xfId="30092" xr:uid="{00000000-0005-0000-0000-000089240000}"/>
    <cellStyle name="Input 2 7 5 2 3 4" xfId="21973" xr:uid="{00000000-0005-0000-0000-00008A240000}"/>
    <cellStyle name="Input 2 7 5 2 4" xfId="2928" xr:uid="{00000000-0005-0000-0000-00008B240000}"/>
    <cellStyle name="Input 2 7 5 2 4 2" xfId="7012" xr:uid="{00000000-0005-0000-0000-00008C240000}"/>
    <cellStyle name="Input 2 7 5 2 4 2 2" xfId="23186" xr:uid="{00000000-0005-0000-0000-00008D240000}"/>
    <cellStyle name="Input 2 7 5 2 4 3" xfId="13266" xr:uid="{00000000-0005-0000-0000-00008E240000}"/>
    <cellStyle name="Input 2 7 5 2 4 3 2" xfId="28098" xr:uid="{00000000-0005-0000-0000-00008F240000}"/>
    <cellStyle name="Input 2 7 5 2 4 4" xfId="20854" xr:uid="{00000000-0005-0000-0000-000090240000}"/>
    <cellStyle name="Input 2 7 5 2 5" xfId="6104" xr:uid="{00000000-0005-0000-0000-000091240000}"/>
    <cellStyle name="Input 2 7 5 2 5 2" xfId="16291" xr:uid="{00000000-0005-0000-0000-000092240000}"/>
    <cellStyle name="Input 2 7 5 2 5 2 2" xfId="31123" xr:uid="{00000000-0005-0000-0000-000093240000}"/>
    <cellStyle name="Input 2 7 5 2 5 3" xfId="22637" xr:uid="{00000000-0005-0000-0000-000094240000}"/>
    <cellStyle name="Input 2 7 5 2 6" xfId="12361" xr:uid="{00000000-0005-0000-0000-000095240000}"/>
    <cellStyle name="Input 2 7 5 2 6 2" xfId="27193" xr:uid="{00000000-0005-0000-0000-000096240000}"/>
    <cellStyle name="Input 2 7 5 2 7" xfId="9943" xr:uid="{00000000-0005-0000-0000-000097240000}"/>
    <cellStyle name="Input 2 7 5 2 7 2" xfId="20145" xr:uid="{00000000-0005-0000-0000-000098240000}"/>
    <cellStyle name="Input 2 7 5 3" xfId="4268" xr:uid="{00000000-0005-0000-0000-000099240000}"/>
    <cellStyle name="Input 2 7 5 3 2" xfId="8307" xr:uid="{00000000-0005-0000-0000-00009A240000}"/>
    <cellStyle name="Input 2 7 5 3 2 2" xfId="24001" xr:uid="{00000000-0005-0000-0000-00009B240000}"/>
    <cellStyle name="Input 2 7 5 3 3" xfId="14600" xr:uid="{00000000-0005-0000-0000-00009C240000}"/>
    <cellStyle name="Input 2 7 5 3 3 2" xfId="29432" xr:uid="{00000000-0005-0000-0000-00009D240000}"/>
    <cellStyle name="Input 2 7 5 3 4" xfId="21601" xr:uid="{00000000-0005-0000-0000-00009E240000}"/>
    <cellStyle name="Input 2 7 5 4" xfId="4518" xr:uid="{00000000-0005-0000-0000-00009F240000}"/>
    <cellStyle name="Input 2 7 5 4 2" xfId="8557" xr:uid="{00000000-0005-0000-0000-0000A0240000}"/>
    <cellStyle name="Input 2 7 5 4 2 2" xfId="24183" xr:uid="{00000000-0005-0000-0000-0000A1240000}"/>
    <cellStyle name="Input 2 7 5 4 3" xfId="14845" xr:uid="{00000000-0005-0000-0000-0000A2240000}"/>
    <cellStyle name="Input 2 7 5 4 3 2" xfId="29677" xr:uid="{00000000-0005-0000-0000-0000A3240000}"/>
    <cellStyle name="Input 2 7 5 4 4" xfId="21743" xr:uid="{00000000-0005-0000-0000-0000A4240000}"/>
    <cellStyle name="Input 2 7 5 5" xfId="2508" xr:uid="{00000000-0005-0000-0000-0000A5240000}"/>
    <cellStyle name="Input 2 7 5 5 2" xfId="6614" xr:uid="{00000000-0005-0000-0000-0000A6240000}"/>
    <cellStyle name="Input 2 7 5 5 2 2" xfId="22952" xr:uid="{00000000-0005-0000-0000-0000A7240000}"/>
    <cellStyle name="Input 2 7 5 5 3" xfId="12846" xr:uid="{00000000-0005-0000-0000-0000A8240000}"/>
    <cellStyle name="Input 2 7 5 5 3 2" xfId="27678" xr:uid="{00000000-0005-0000-0000-0000A9240000}"/>
    <cellStyle name="Input 2 7 5 5 4" xfId="20598" xr:uid="{00000000-0005-0000-0000-0000AA240000}"/>
    <cellStyle name="Input 2 7 5 6" xfId="5631" xr:uid="{00000000-0005-0000-0000-0000AB240000}"/>
    <cellStyle name="Input 2 7 5 6 2" xfId="15866" xr:uid="{00000000-0005-0000-0000-0000AC240000}"/>
    <cellStyle name="Input 2 7 5 6 2 2" xfId="30698" xr:uid="{00000000-0005-0000-0000-0000AD240000}"/>
    <cellStyle name="Input 2 7 5 6 3" xfId="22327" xr:uid="{00000000-0005-0000-0000-0000AE240000}"/>
    <cellStyle name="Input 2 7 5 7" xfId="11890" xr:uid="{00000000-0005-0000-0000-0000AF240000}"/>
    <cellStyle name="Input 2 7 5 7 2" xfId="26722" xr:uid="{00000000-0005-0000-0000-0000B0240000}"/>
    <cellStyle name="Input 2 7 5 8" xfId="9548" xr:uid="{00000000-0005-0000-0000-0000B1240000}"/>
    <cellStyle name="Input 2 7 5 8 2" xfId="19850" xr:uid="{00000000-0005-0000-0000-0000B2240000}"/>
    <cellStyle name="Input 2 7 6" xfId="1751" xr:uid="{00000000-0005-0000-0000-0000B3240000}"/>
    <cellStyle name="Input 2 7 6 2" xfId="3597" xr:uid="{00000000-0005-0000-0000-0000B4240000}"/>
    <cellStyle name="Input 2 7 6 2 2" xfId="7659" xr:uid="{00000000-0005-0000-0000-0000B5240000}"/>
    <cellStyle name="Input 2 7 6 2 2 2" xfId="23574" xr:uid="{00000000-0005-0000-0000-0000B6240000}"/>
    <cellStyle name="Input 2 7 6 2 3" xfId="13933" xr:uid="{00000000-0005-0000-0000-0000B7240000}"/>
    <cellStyle name="Input 2 7 6 2 3 2" xfId="28765" xr:uid="{00000000-0005-0000-0000-0000B8240000}"/>
    <cellStyle name="Input 2 7 6 2 4" xfId="21243" xr:uid="{00000000-0005-0000-0000-0000B9240000}"/>
    <cellStyle name="Input 2 7 6 3" xfId="4729" xr:uid="{00000000-0005-0000-0000-0000BA240000}"/>
    <cellStyle name="Input 2 7 6 3 2" xfId="8768" xr:uid="{00000000-0005-0000-0000-0000BB240000}"/>
    <cellStyle name="Input 2 7 6 3 2 2" xfId="24298" xr:uid="{00000000-0005-0000-0000-0000BC240000}"/>
    <cellStyle name="Input 2 7 6 3 3" xfId="15053" xr:uid="{00000000-0005-0000-0000-0000BD240000}"/>
    <cellStyle name="Input 2 7 6 3 3 2" xfId="29885" xr:uid="{00000000-0005-0000-0000-0000BE240000}"/>
    <cellStyle name="Input 2 7 6 3 4" xfId="21836" xr:uid="{00000000-0005-0000-0000-0000BF240000}"/>
    <cellStyle name="Input 2 7 6 4" xfId="2719" xr:uid="{00000000-0005-0000-0000-0000C0240000}"/>
    <cellStyle name="Input 2 7 6 4 2" xfId="6810" xr:uid="{00000000-0005-0000-0000-0000C1240000}"/>
    <cellStyle name="Input 2 7 6 4 2 2" xfId="23049" xr:uid="{00000000-0005-0000-0000-0000C2240000}"/>
    <cellStyle name="Input 2 7 6 4 3" xfId="13057" xr:uid="{00000000-0005-0000-0000-0000C3240000}"/>
    <cellStyle name="Input 2 7 6 4 3 2" xfId="27889" xr:uid="{00000000-0005-0000-0000-0000C4240000}"/>
    <cellStyle name="Input 2 7 6 4 4" xfId="20709" xr:uid="{00000000-0005-0000-0000-0000C5240000}"/>
    <cellStyle name="Input 2 7 6 5" xfId="5883" xr:uid="{00000000-0005-0000-0000-0000C6240000}"/>
    <cellStyle name="Input 2 7 6 5 2" xfId="16075" xr:uid="{00000000-0005-0000-0000-0000C7240000}"/>
    <cellStyle name="Input 2 7 6 5 2 2" xfId="30907" xr:uid="{00000000-0005-0000-0000-0000C8240000}"/>
    <cellStyle name="Input 2 7 6 5 3" xfId="22480" xr:uid="{00000000-0005-0000-0000-0000C9240000}"/>
    <cellStyle name="Input 2 7 6 6" xfId="12145" xr:uid="{00000000-0005-0000-0000-0000CA240000}"/>
    <cellStyle name="Input 2 7 6 6 2" xfId="26977" xr:uid="{00000000-0005-0000-0000-0000CB240000}"/>
    <cellStyle name="Input 2 7 6 7" xfId="9741" xr:uid="{00000000-0005-0000-0000-0000CC240000}"/>
    <cellStyle name="Input 2 7 6 7 2" xfId="20039" xr:uid="{00000000-0005-0000-0000-0000CD240000}"/>
    <cellStyle name="Input 2 7 7" xfId="2215" xr:uid="{00000000-0005-0000-0000-0000CE240000}"/>
    <cellStyle name="Input 2 7 7 2" xfId="3841" xr:uid="{00000000-0005-0000-0000-0000CF240000}"/>
    <cellStyle name="Input 2 7 7 2 2" xfId="7894" xr:uid="{00000000-0005-0000-0000-0000D0240000}"/>
    <cellStyle name="Input 2 7 7 2 2 2" xfId="23731" xr:uid="{00000000-0005-0000-0000-0000D1240000}"/>
    <cellStyle name="Input 2 7 7 2 3" xfId="14176" xr:uid="{00000000-0005-0000-0000-0000D2240000}"/>
    <cellStyle name="Input 2 7 7 2 3 2" xfId="29008" xr:uid="{00000000-0005-0000-0000-0000D3240000}"/>
    <cellStyle name="Input 2 7 7 2 4" xfId="21378" xr:uid="{00000000-0005-0000-0000-0000D4240000}"/>
    <cellStyle name="Input 2 7 7 3" xfId="5183" xr:uid="{00000000-0005-0000-0000-0000D5240000}"/>
    <cellStyle name="Input 2 7 7 3 2" xfId="9222" xr:uid="{00000000-0005-0000-0000-0000D6240000}"/>
    <cellStyle name="Input 2 7 7 3 2 2" xfId="24560" xr:uid="{00000000-0005-0000-0000-0000D7240000}"/>
    <cellStyle name="Input 2 7 7 3 3" xfId="15501" xr:uid="{00000000-0005-0000-0000-0000D8240000}"/>
    <cellStyle name="Input 2 7 7 3 3 2" xfId="30333" xr:uid="{00000000-0005-0000-0000-0000D9240000}"/>
    <cellStyle name="Input 2 7 7 3 4" xfId="22067" xr:uid="{00000000-0005-0000-0000-0000DA240000}"/>
    <cellStyle name="Input 2 7 7 4" xfId="4213" xr:uid="{00000000-0005-0000-0000-0000DB240000}"/>
    <cellStyle name="Input 2 7 7 4 2" xfId="8254" xr:uid="{00000000-0005-0000-0000-0000DC240000}"/>
    <cellStyle name="Input 2 7 7 4 2 2" xfId="23949" xr:uid="{00000000-0005-0000-0000-0000DD240000}"/>
    <cellStyle name="Input 2 7 7 4 3" xfId="14545" xr:uid="{00000000-0005-0000-0000-0000DE240000}"/>
    <cellStyle name="Input 2 7 7 4 3 2" xfId="29377" xr:uid="{00000000-0005-0000-0000-0000DF240000}"/>
    <cellStyle name="Input 2 7 7 4 4" xfId="21574" xr:uid="{00000000-0005-0000-0000-0000E0240000}"/>
    <cellStyle name="Input 2 7 7 5" xfId="6329" xr:uid="{00000000-0005-0000-0000-0000E1240000}"/>
    <cellStyle name="Input 2 7 7 5 2" xfId="22731" xr:uid="{00000000-0005-0000-0000-0000E2240000}"/>
    <cellStyle name="Input 2 7 7 6" xfId="12583" xr:uid="{00000000-0005-0000-0000-0000E3240000}"/>
    <cellStyle name="Input 2 7 7 6 2" xfId="27415" xr:uid="{00000000-0005-0000-0000-0000E4240000}"/>
    <cellStyle name="Input 2 7 7 7" xfId="20410" xr:uid="{00000000-0005-0000-0000-0000E5240000}"/>
    <cellStyle name="Input 2 7 8" xfId="4273" xr:uid="{00000000-0005-0000-0000-0000E6240000}"/>
    <cellStyle name="Input 2 7 8 2" xfId="8312" xr:uid="{00000000-0005-0000-0000-0000E7240000}"/>
    <cellStyle name="Input 2 7 8 2 2" xfId="24006" xr:uid="{00000000-0005-0000-0000-0000E8240000}"/>
    <cellStyle name="Input 2 7 8 3" xfId="14605" xr:uid="{00000000-0005-0000-0000-0000E9240000}"/>
    <cellStyle name="Input 2 7 8 3 2" xfId="29437" xr:uid="{00000000-0005-0000-0000-0000EA240000}"/>
    <cellStyle name="Input 2 7 8 4" xfId="21606" xr:uid="{00000000-0005-0000-0000-0000EB240000}"/>
    <cellStyle name="Input 2 7 9" xfId="3145" xr:uid="{00000000-0005-0000-0000-0000EC240000}"/>
    <cellStyle name="Input 2 7 9 2" xfId="7209" xr:uid="{00000000-0005-0000-0000-0000ED240000}"/>
    <cellStyle name="Input 2 7 9 2 2" xfId="23278" xr:uid="{00000000-0005-0000-0000-0000EE240000}"/>
    <cellStyle name="Input 2 7 9 3" xfId="13483" xr:uid="{00000000-0005-0000-0000-0000EF240000}"/>
    <cellStyle name="Input 2 7 9 3 2" xfId="28315" xr:uid="{00000000-0005-0000-0000-0000F0240000}"/>
    <cellStyle name="Input 2 7 9 4" xfId="20969" xr:uid="{00000000-0005-0000-0000-0000F1240000}"/>
    <cellStyle name="Input 2 8" xfId="1119" xr:uid="{00000000-0005-0000-0000-0000F2240000}"/>
    <cellStyle name="Input 2 8 10" xfId="2290" xr:uid="{00000000-0005-0000-0000-0000F3240000}"/>
    <cellStyle name="Input 2 8 10 2" xfId="6402" xr:uid="{00000000-0005-0000-0000-0000F4240000}"/>
    <cellStyle name="Input 2 8 10 2 2" xfId="22804" xr:uid="{00000000-0005-0000-0000-0000F5240000}"/>
    <cellStyle name="Input 2 8 10 3" xfId="12630" xr:uid="{00000000-0005-0000-0000-0000F6240000}"/>
    <cellStyle name="Input 2 8 10 3 2" xfId="27462" xr:uid="{00000000-0005-0000-0000-0000F7240000}"/>
    <cellStyle name="Input 2 8 10 4" xfId="20456" xr:uid="{00000000-0005-0000-0000-0000F8240000}"/>
    <cellStyle name="Input 2 8 11" xfId="5256" xr:uid="{00000000-0005-0000-0000-0000F9240000}"/>
    <cellStyle name="Input 2 8 11 2" xfId="15572" xr:uid="{00000000-0005-0000-0000-0000FA240000}"/>
    <cellStyle name="Input 2 8 11 2 2" xfId="30404" xr:uid="{00000000-0005-0000-0000-0000FB240000}"/>
    <cellStyle name="Input 2 8 11 3" xfId="22113" xr:uid="{00000000-0005-0000-0000-0000FC240000}"/>
    <cellStyle name="Input 2 8 12" xfId="5414" xr:uid="{00000000-0005-0000-0000-0000FD240000}"/>
    <cellStyle name="Input 2 8 12 2" xfId="15650" xr:uid="{00000000-0005-0000-0000-0000FE240000}"/>
    <cellStyle name="Input 2 8 12 2 2" xfId="30482" xr:uid="{00000000-0005-0000-0000-0000FF240000}"/>
    <cellStyle name="Input 2 8 12 3" xfId="22175" xr:uid="{00000000-0005-0000-0000-000000250000}"/>
    <cellStyle name="Input 2 8 13" xfId="9377" xr:uid="{00000000-0005-0000-0000-000001250000}"/>
    <cellStyle name="Input 2 8 13 2" xfId="24683" xr:uid="{00000000-0005-0000-0000-000002250000}"/>
    <cellStyle name="Input 2 8 14" xfId="5366" xr:uid="{00000000-0005-0000-0000-000003250000}"/>
    <cellStyle name="Input 2 8 14 2" xfId="18240" xr:uid="{00000000-0005-0000-0000-000004250000}"/>
    <cellStyle name="Input 2 8 2" xfId="1326" xr:uid="{00000000-0005-0000-0000-000005250000}"/>
    <cellStyle name="Input 2 8 2 2" xfId="1830" xr:uid="{00000000-0005-0000-0000-000006250000}"/>
    <cellStyle name="Input 2 8 2 2 2" xfId="3843" xr:uid="{00000000-0005-0000-0000-000007250000}"/>
    <cellStyle name="Input 2 8 2 2 2 2" xfId="7896" xr:uid="{00000000-0005-0000-0000-000008250000}"/>
    <cellStyle name="Input 2 8 2 2 2 2 2" xfId="23733" xr:uid="{00000000-0005-0000-0000-000009250000}"/>
    <cellStyle name="Input 2 8 2 2 2 3" xfId="14178" xr:uid="{00000000-0005-0000-0000-00000A250000}"/>
    <cellStyle name="Input 2 8 2 2 2 3 2" xfId="29010" xr:uid="{00000000-0005-0000-0000-00000B250000}"/>
    <cellStyle name="Input 2 8 2 2 2 4" xfId="21380" xr:uid="{00000000-0005-0000-0000-00000C250000}"/>
    <cellStyle name="Input 2 8 2 2 3" xfId="4808" xr:uid="{00000000-0005-0000-0000-00000D250000}"/>
    <cellStyle name="Input 2 8 2 2 3 2" xfId="8847" xr:uid="{00000000-0005-0000-0000-00000E250000}"/>
    <cellStyle name="Input 2 8 2 2 3 2 2" xfId="24345" xr:uid="{00000000-0005-0000-0000-00000F250000}"/>
    <cellStyle name="Input 2 8 2 2 3 3" xfId="15132" xr:uid="{00000000-0005-0000-0000-000010250000}"/>
    <cellStyle name="Input 2 8 2 2 3 3 2" xfId="29964" xr:uid="{00000000-0005-0000-0000-000011250000}"/>
    <cellStyle name="Input 2 8 2 2 3 4" xfId="21883" xr:uid="{00000000-0005-0000-0000-000012250000}"/>
    <cellStyle name="Input 2 8 2 2 4" xfId="2798" xr:uid="{00000000-0005-0000-0000-000013250000}"/>
    <cellStyle name="Input 2 8 2 2 4 2" xfId="6889" xr:uid="{00000000-0005-0000-0000-000014250000}"/>
    <cellStyle name="Input 2 8 2 2 4 2 2" xfId="23096" xr:uid="{00000000-0005-0000-0000-000015250000}"/>
    <cellStyle name="Input 2 8 2 2 4 3" xfId="13136" xr:uid="{00000000-0005-0000-0000-000016250000}"/>
    <cellStyle name="Input 2 8 2 2 4 3 2" xfId="27968" xr:uid="{00000000-0005-0000-0000-000017250000}"/>
    <cellStyle name="Input 2 8 2 2 4 4" xfId="20756" xr:uid="{00000000-0005-0000-0000-000018250000}"/>
    <cellStyle name="Input 2 8 2 2 5" xfId="5962" xr:uid="{00000000-0005-0000-0000-000019250000}"/>
    <cellStyle name="Input 2 8 2 2 5 2" xfId="16154" xr:uid="{00000000-0005-0000-0000-00001A250000}"/>
    <cellStyle name="Input 2 8 2 2 5 2 2" xfId="30986" xr:uid="{00000000-0005-0000-0000-00001B250000}"/>
    <cellStyle name="Input 2 8 2 2 5 3" xfId="22527" xr:uid="{00000000-0005-0000-0000-00001C250000}"/>
    <cellStyle name="Input 2 8 2 2 6" xfId="12224" xr:uid="{00000000-0005-0000-0000-00001D250000}"/>
    <cellStyle name="Input 2 8 2 2 6 2" xfId="27056" xr:uid="{00000000-0005-0000-0000-00001E250000}"/>
    <cellStyle name="Input 2 8 2 2 7" xfId="9820" xr:uid="{00000000-0005-0000-0000-00001F250000}"/>
    <cellStyle name="Input 2 8 2 2 7 2" xfId="20071" xr:uid="{00000000-0005-0000-0000-000020250000}"/>
    <cellStyle name="Input 2 8 2 3" xfId="4090" xr:uid="{00000000-0005-0000-0000-000021250000}"/>
    <cellStyle name="Input 2 8 2 3 2" xfId="8136" xr:uid="{00000000-0005-0000-0000-000022250000}"/>
    <cellStyle name="Input 2 8 2 3 2 2" xfId="23884" xr:uid="{00000000-0005-0000-0000-000023250000}"/>
    <cellStyle name="Input 2 8 2 3 3" xfId="14422" xr:uid="{00000000-0005-0000-0000-000024250000}"/>
    <cellStyle name="Input 2 8 2 3 3 2" xfId="29254" xr:uid="{00000000-0005-0000-0000-000025250000}"/>
    <cellStyle name="Input 2 8 2 3 4" xfId="21514" xr:uid="{00000000-0005-0000-0000-000026250000}"/>
    <cellStyle name="Input 2 8 2 4" xfId="4388" xr:uid="{00000000-0005-0000-0000-000027250000}"/>
    <cellStyle name="Input 2 8 2 4 2" xfId="8427" xr:uid="{00000000-0005-0000-0000-000028250000}"/>
    <cellStyle name="Input 2 8 2 4 2 2" xfId="24085" xr:uid="{00000000-0005-0000-0000-000029250000}"/>
    <cellStyle name="Input 2 8 2 4 3" xfId="14717" xr:uid="{00000000-0005-0000-0000-00002A250000}"/>
    <cellStyle name="Input 2 8 2 4 3 2" xfId="29549" xr:uid="{00000000-0005-0000-0000-00002B250000}"/>
    <cellStyle name="Input 2 8 2 4 4" xfId="21653" xr:uid="{00000000-0005-0000-0000-00002C250000}"/>
    <cellStyle name="Input 2 8 2 5" xfId="2378" xr:uid="{00000000-0005-0000-0000-00002D250000}"/>
    <cellStyle name="Input 2 8 2 5 2" xfId="6490" xr:uid="{00000000-0005-0000-0000-00002E250000}"/>
    <cellStyle name="Input 2 8 2 5 2 2" xfId="22860" xr:uid="{00000000-0005-0000-0000-00002F250000}"/>
    <cellStyle name="Input 2 8 2 5 3" xfId="12717" xr:uid="{00000000-0005-0000-0000-000030250000}"/>
    <cellStyle name="Input 2 8 2 5 3 2" xfId="27549" xr:uid="{00000000-0005-0000-0000-000031250000}"/>
    <cellStyle name="Input 2 8 2 5 4" xfId="20502" xr:uid="{00000000-0005-0000-0000-000032250000}"/>
    <cellStyle name="Input 2 8 2 6" xfId="5503" xr:uid="{00000000-0005-0000-0000-000033250000}"/>
    <cellStyle name="Input 2 8 2 6 2" xfId="15738" xr:uid="{00000000-0005-0000-0000-000034250000}"/>
    <cellStyle name="Input 2 8 2 6 2 2" xfId="30570" xr:uid="{00000000-0005-0000-0000-000035250000}"/>
    <cellStyle name="Input 2 8 2 6 3" xfId="22231" xr:uid="{00000000-0005-0000-0000-000036250000}"/>
    <cellStyle name="Input 2 8 2 7" xfId="11753" xr:uid="{00000000-0005-0000-0000-000037250000}"/>
    <cellStyle name="Input 2 8 2 7 2" xfId="26585" xr:uid="{00000000-0005-0000-0000-000038250000}"/>
    <cellStyle name="Input 2 8 2 8" xfId="9424" xr:uid="{00000000-0005-0000-0000-000039250000}"/>
    <cellStyle name="Input 2 8 2 8 2" xfId="19728" xr:uid="{00000000-0005-0000-0000-00003A250000}"/>
    <cellStyle name="Input 2 8 3" xfId="1484" xr:uid="{00000000-0005-0000-0000-00003B250000}"/>
    <cellStyle name="Input 2 8 3 2" xfId="1985" xr:uid="{00000000-0005-0000-0000-00003C250000}"/>
    <cellStyle name="Input 2 8 3 2 2" xfId="3482" xr:uid="{00000000-0005-0000-0000-00003D250000}"/>
    <cellStyle name="Input 2 8 3 2 2 2" xfId="7544" xr:uid="{00000000-0005-0000-0000-00003E250000}"/>
    <cellStyle name="Input 2 8 3 2 2 2 2" xfId="23508" xr:uid="{00000000-0005-0000-0000-00003F250000}"/>
    <cellStyle name="Input 2 8 3 2 2 3" xfId="13819" xr:uid="{00000000-0005-0000-0000-000040250000}"/>
    <cellStyle name="Input 2 8 3 2 2 3 2" xfId="28651" xr:uid="{00000000-0005-0000-0000-000041250000}"/>
    <cellStyle name="Input 2 8 3 2 2 4" xfId="21184" xr:uid="{00000000-0005-0000-0000-000042250000}"/>
    <cellStyle name="Input 2 8 3 2 3" xfId="4949" xr:uid="{00000000-0005-0000-0000-000043250000}"/>
    <cellStyle name="Input 2 8 3 2 3 2" xfId="8988" xr:uid="{00000000-0005-0000-0000-000044250000}"/>
    <cellStyle name="Input 2 8 3 2 3 2 2" xfId="24454" xr:uid="{00000000-0005-0000-0000-000045250000}"/>
    <cellStyle name="Input 2 8 3 2 3 3" xfId="15271" xr:uid="{00000000-0005-0000-0000-000046250000}"/>
    <cellStyle name="Input 2 8 3 2 3 3 2" xfId="30103" xr:uid="{00000000-0005-0000-0000-000047250000}"/>
    <cellStyle name="Input 2 8 3 2 3 4" xfId="21984" xr:uid="{00000000-0005-0000-0000-000048250000}"/>
    <cellStyle name="Input 2 8 3 2 4" xfId="2939" xr:uid="{00000000-0005-0000-0000-000049250000}"/>
    <cellStyle name="Input 2 8 3 2 4 2" xfId="7023" xr:uid="{00000000-0005-0000-0000-00004A250000}"/>
    <cellStyle name="Input 2 8 3 2 4 2 2" xfId="23197" xr:uid="{00000000-0005-0000-0000-00004B250000}"/>
    <cellStyle name="Input 2 8 3 2 4 3" xfId="13277" xr:uid="{00000000-0005-0000-0000-00004C250000}"/>
    <cellStyle name="Input 2 8 3 2 4 3 2" xfId="28109" xr:uid="{00000000-0005-0000-0000-00004D250000}"/>
    <cellStyle name="Input 2 8 3 2 4 4" xfId="20865" xr:uid="{00000000-0005-0000-0000-00004E250000}"/>
    <cellStyle name="Input 2 8 3 2 5" xfId="6115" xr:uid="{00000000-0005-0000-0000-00004F250000}"/>
    <cellStyle name="Input 2 8 3 2 5 2" xfId="16302" xr:uid="{00000000-0005-0000-0000-000050250000}"/>
    <cellStyle name="Input 2 8 3 2 5 2 2" xfId="31134" xr:uid="{00000000-0005-0000-0000-000051250000}"/>
    <cellStyle name="Input 2 8 3 2 5 3" xfId="22648" xr:uid="{00000000-0005-0000-0000-000052250000}"/>
    <cellStyle name="Input 2 8 3 2 6" xfId="12372" xr:uid="{00000000-0005-0000-0000-000053250000}"/>
    <cellStyle name="Input 2 8 3 2 6 2" xfId="27204" xr:uid="{00000000-0005-0000-0000-000054250000}"/>
    <cellStyle name="Input 2 8 3 2 7" xfId="9954" xr:uid="{00000000-0005-0000-0000-000055250000}"/>
    <cellStyle name="Input 2 8 3 2 7 2" xfId="20156" xr:uid="{00000000-0005-0000-0000-000056250000}"/>
    <cellStyle name="Input 2 8 3 3" xfId="3120" xr:uid="{00000000-0005-0000-0000-000057250000}"/>
    <cellStyle name="Input 2 8 3 3 2" xfId="7185" xr:uid="{00000000-0005-0000-0000-000058250000}"/>
    <cellStyle name="Input 2 8 3 3 2 2" xfId="23259" xr:uid="{00000000-0005-0000-0000-000059250000}"/>
    <cellStyle name="Input 2 8 3 3 3" xfId="13458" xr:uid="{00000000-0005-0000-0000-00005A250000}"/>
    <cellStyle name="Input 2 8 3 3 3 2" xfId="28290" xr:uid="{00000000-0005-0000-0000-00005B250000}"/>
    <cellStyle name="Input 2 8 3 3 4" xfId="20949" xr:uid="{00000000-0005-0000-0000-00005C250000}"/>
    <cellStyle name="Input 2 8 3 4" xfId="4529" xr:uid="{00000000-0005-0000-0000-00005D250000}"/>
    <cellStyle name="Input 2 8 3 4 2" xfId="8568" xr:uid="{00000000-0005-0000-0000-00005E250000}"/>
    <cellStyle name="Input 2 8 3 4 2 2" xfId="24194" xr:uid="{00000000-0005-0000-0000-00005F250000}"/>
    <cellStyle name="Input 2 8 3 4 3" xfId="14856" xr:uid="{00000000-0005-0000-0000-000060250000}"/>
    <cellStyle name="Input 2 8 3 4 3 2" xfId="29688" xr:uid="{00000000-0005-0000-0000-000061250000}"/>
    <cellStyle name="Input 2 8 3 4 4" xfId="21754" xr:uid="{00000000-0005-0000-0000-000062250000}"/>
    <cellStyle name="Input 2 8 3 5" xfId="2519" xr:uid="{00000000-0005-0000-0000-000063250000}"/>
    <cellStyle name="Input 2 8 3 5 2" xfId="6625" xr:uid="{00000000-0005-0000-0000-000064250000}"/>
    <cellStyle name="Input 2 8 3 5 2 2" xfId="22963" xr:uid="{00000000-0005-0000-0000-000065250000}"/>
    <cellStyle name="Input 2 8 3 5 3" xfId="12857" xr:uid="{00000000-0005-0000-0000-000066250000}"/>
    <cellStyle name="Input 2 8 3 5 3 2" xfId="27689" xr:uid="{00000000-0005-0000-0000-000067250000}"/>
    <cellStyle name="Input 2 8 3 5 4" xfId="20609" xr:uid="{00000000-0005-0000-0000-000068250000}"/>
    <cellStyle name="Input 2 8 3 6" xfId="5642" xr:uid="{00000000-0005-0000-0000-000069250000}"/>
    <cellStyle name="Input 2 8 3 6 2" xfId="15877" xr:uid="{00000000-0005-0000-0000-00006A250000}"/>
    <cellStyle name="Input 2 8 3 6 2 2" xfId="30709" xr:uid="{00000000-0005-0000-0000-00006B250000}"/>
    <cellStyle name="Input 2 8 3 6 3" xfId="22338" xr:uid="{00000000-0005-0000-0000-00006C250000}"/>
    <cellStyle name="Input 2 8 3 7" xfId="11901" xr:uid="{00000000-0005-0000-0000-00006D250000}"/>
    <cellStyle name="Input 2 8 3 7 2" xfId="26733" xr:uid="{00000000-0005-0000-0000-00006E250000}"/>
    <cellStyle name="Input 2 8 3 8" xfId="9559" xr:uid="{00000000-0005-0000-0000-00006F250000}"/>
    <cellStyle name="Input 2 8 3 8 2" xfId="19861" xr:uid="{00000000-0005-0000-0000-000070250000}"/>
    <cellStyle name="Input 2 8 4" xfId="1396" xr:uid="{00000000-0005-0000-0000-000071250000}"/>
    <cellStyle name="Input 2 8 4 2" xfId="1898" xr:uid="{00000000-0005-0000-0000-000072250000}"/>
    <cellStyle name="Input 2 8 4 2 2" xfId="3519" xr:uid="{00000000-0005-0000-0000-000073250000}"/>
    <cellStyle name="Input 2 8 4 2 2 2" xfId="7581" xr:uid="{00000000-0005-0000-0000-000074250000}"/>
    <cellStyle name="Input 2 8 4 2 2 2 2" xfId="23529" xr:uid="{00000000-0005-0000-0000-000075250000}"/>
    <cellStyle name="Input 2 8 4 2 2 3" xfId="13856" xr:uid="{00000000-0005-0000-0000-000076250000}"/>
    <cellStyle name="Input 2 8 4 2 2 3 2" xfId="28688" xr:uid="{00000000-0005-0000-0000-000077250000}"/>
    <cellStyle name="Input 2 8 4 2 2 4" xfId="21204" xr:uid="{00000000-0005-0000-0000-000078250000}"/>
    <cellStyle name="Input 2 8 4 2 3" xfId="4876" xr:uid="{00000000-0005-0000-0000-000079250000}"/>
    <cellStyle name="Input 2 8 4 2 3 2" xfId="8915" xr:uid="{00000000-0005-0000-0000-00007A250000}"/>
    <cellStyle name="Input 2 8 4 2 3 2 2" xfId="24381" xr:uid="{00000000-0005-0000-0000-00007B250000}"/>
    <cellStyle name="Input 2 8 4 2 3 3" xfId="15199" xr:uid="{00000000-0005-0000-0000-00007C250000}"/>
    <cellStyle name="Input 2 8 4 2 3 3 2" xfId="30031" xr:uid="{00000000-0005-0000-0000-00007D250000}"/>
    <cellStyle name="Input 2 8 4 2 3 4" xfId="21913" xr:uid="{00000000-0005-0000-0000-00007E250000}"/>
    <cellStyle name="Input 2 8 4 2 4" xfId="2866" xr:uid="{00000000-0005-0000-0000-00007F250000}"/>
    <cellStyle name="Input 2 8 4 2 4 2" xfId="6951" xr:uid="{00000000-0005-0000-0000-000080250000}"/>
    <cellStyle name="Input 2 8 4 2 4 2 2" xfId="23126" xr:uid="{00000000-0005-0000-0000-000081250000}"/>
    <cellStyle name="Input 2 8 4 2 4 3" xfId="13204" xr:uid="{00000000-0005-0000-0000-000082250000}"/>
    <cellStyle name="Input 2 8 4 2 4 3 2" xfId="28036" xr:uid="{00000000-0005-0000-0000-000083250000}"/>
    <cellStyle name="Input 2 8 4 2 4 4" xfId="20792" xr:uid="{00000000-0005-0000-0000-000084250000}"/>
    <cellStyle name="Input 2 8 4 2 5" xfId="6029" xr:uid="{00000000-0005-0000-0000-000085250000}"/>
    <cellStyle name="Input 2 8 4 2 5 2" xfId="16216" xr:uid="{00000000-0005-0000-0000-000086250000}"/>
    <cellStyle name="Input 2 8 4 2 5 2 2" xfId="31048" xr:uid="{00000000-0005-0000-0000-000087250000}"/>
    <cellStyle name="Input 2 8 4 2 5 3" xfId="22562" xr:uid="{00000000-0005-0000-0000-000088250000}"/>
    <cellStyle name="Input 2 8 4 2 6" xfId="12286" xr:uid="{00000000-0005-0000-0000-000089250000}"/>
    <cellStyle name="Input 2 8 4 2 6 2" xfId="27118" xr:uid="{00000000-0005-0000-0000-00008A250000}"/>
    <cellStyle name="Input 2 8 4 2 7" xfId="9882" xr:uid="{00000000-0005-0000-0000-00008B250000}"/>
    <cellStyle name="Input 2 8 4 2 7 2" xfId="20086" xr:uid="{00000000-0005-0000-0000-00008C250000}"/>
    <cellStyle name="Input 2 8 4 3" xfId="3774" xr:uid="{00000000-0005-0000-0000-00008D250000}"/>
    <cellStyle name="Input 2 8 4 3 2" xfId="7830" xr:uid="{00000000-0005-0000-0000-00008E250000}"/>
    <cellStyle name="Input 2 8 4 3 2 2" xfId="23686" xr:uid="{00000000-0005-0000-0000-00008F250000}"/>
    <cellStyle name="Input 2 8 4 3 3" xfId="14109" xr:uid="{00000000-0005-0000-0000-000090250000}"/>
    <cellStyle name="Input 2 8 4 3 3 2" xfId="28941" xr:uid="{00000000-0005-0000-0000-000091250000}"/>
    <cellStyle name="Input 2 8 4 3 4" xfId="21342" xr:uid="{00000000-0005-0000-0000-000092250000}"/>
    <cellStyle name="Input 2 8 4 4" xfId="4456" xr:uid="{00000000-0005-0000-0000-000093250000}"/>
    <cellStyle name="Input 2 8 4 4 2" xfId="8495" xr:uid="{00000000-0005-0000-0000-000094250000}"/>
    <cellStyle name="Input 2 8 4 4 2 2" xfId="24121" xr:uid="{00000000-0005-0000-0000-000095250000}"/>
    <cellStyle name="Input 2 8 4 4 3" xfId="14784" xr:uid="{00000000-0005-0000-0000-000096250000}"/>
    <cellStyle name="Input 2 8 4 4 3 2" xfId="29616" xr:uid="{00000000-0005-0000-0000-000097250000}"/>
    <cellStyle name="Input 2 8 4 4 4" xfId="21683" xr:uid="{00000000-0005-0000-0000-000098250000}"/>
    <cellStyle name="Input 2 8 4 5" xfId="2446" xr:uid="{00000000-0005-0000-0000-000099250000}"/>
    <cellStyle name="Input 2 8 4 5 2" xfId="6552" xr:uid="{00000000-0005-0000-0000-00009A250000}"/>
    <cellStyle name="Input 2 8 4 5 2 2" xfId="22890" xr:uid="{00000000-0005-0000-0000-00009B250000}"/>
    <cellStyle name="Input 2 8 4 5 3" xfId="12785" xr:uid="{00000000-0005-0000-0000-00009C250000}"/>
    <cellStyle name="Input 2 8 4 5 3 2" xfId="27617" xr:uid="{00000000-0005-0000-0000-00009D250000}"/>
    <cellStyle name="Input 2 8 4 5 4" xfId="20538" xr:uid="{00000000-0005-0000-0000-00009E250000}"/>
    <cellStyle name="Input 2 8 4 6" xfId="5570" xr:uid="{00000000-0005-0000-0000-00009F250000}"/>
    <cellStyle name="Input 2 8 4 6 2" xfId="15805" xr:uid="{00000000-0005-0000-0000-0000A0250000}"/>
    <cellStyle name="Input 2 8 4 6 2 2" xfId="30637" xr:uid="{00000000-0005-0000-0000-0000A1250000}"/>
    <cellStyle name="Input 2 8 4 6 3" xfId="22266" xr:uid="{00000000-0005-0000-0000-0000A2250000}"/>
    <cellStyle name="Input 2 8 4 7" xfId="11815" xr:uid="{00000000-0005-0000-0000-0000A3250000}"/>
    <cellStyle name="Input 2 8 4 7 2" xfId="26647" xr:uid="{00000000-0005-0000-0000-0000A4250000}"/>
    <cellStyle name="Input 2 8 4 8" xfId="9487" xr:uid="{00000000-0005-0000-0000-0000A5250000}"/>
    <cellStyle name="Input 2 8 4 8 2" xfId="19790" xr:uid="{00000000-0005-0000-0000-0000A6250000}"/>
    <cellStyle name="Input 2 8 5" xfId="1474" xr:uid="{00000000-0005-0000-0000-0000A7250000}"/>
    <cellStyle name="Input 2 8 5 2" xfId="1975" xr:uid="{00000000-0005-0000-0000-0000A8250000}"/>
    <cellStyle name="Input 2 8 5 2 2" xfId="4139" xr:uid="{00000000-0005-0000-0000-0000A9250000}"/>
    <cellStyle name="Input 2 8 5 2 2 2" xfId="8183" xr:uid="{00000000-0005-0000-0000-0000AA250000}"/>
    <cellStyle name="Input 2 8 5 2 2 2 2" xfId="23912" xr:uid="{00000000-0005-0000-0000-0000AB250000}"/>
    <cellStyle name="Input 2 8 5 2 2 3" xfId="14471" xr:uid="{00000000-0005-0000-0000-0000AC250000}"/>
    <cellStyle name="Input 2 8 5 2 2 3 2" xfId="29303" xr:uid="{00000000-0005-0000-0000-0000AD250000}"/>
    <cellStyle name="Input 2 8 5 2 2 4" xfId="21539" xr:uid="{00000000-0005-0000-0000-0000AE250000}"/>
    <cellStyle name="Input 2 8 5 2 3" xfId="4939" xr:uid="{00000000-0005-0000-0000-0000AF250000}"/>
    <cellStyle name="Input 2 8 5 2 3 2" xfId="8978" xr:uid="{00000000-0005-0000-0000-0000B0250000}"/>
    <cellStyle name="Input 2 8 5 2 3 2 2" xfId="24444" xr:uid="{00000000-0005-0000-0000-0000B1250000}"/>
    <cellStyle name="Input 2 8 5 2 3 3" xfId="15261" xr:uid="{00000000-0005-0000-0000-0000B2250000}"/>
    <cellStyle name="Input 2 8 5 2 3 3 2" xfId="30093" xr:uid="{00000000-0005-0000-0000-0000B3250000}"/>
    <cellStyle name="Input 2 8 5 2 3 4" xfId="21974" xr:uid="{00000000-0005-0000-0000-0000B4250000}"/>
    <cellStyle name="Input 2 8 5 2 4" xfId="2929" xr:uid="{00000000-0005-0000-0000-0000B5250000}"/>
    <cellStyle name="Input 2 8 5 2 4 2" xfId="7013" xr:uid="{00000000-0005-0000-0000-0000B6250000}"/>
    <cellStyle name="Input 2 8 5 2 4 2 2" xfId="23187" xr:uid="{00000000-0005-0000-0000-0000B7250000}"/>
    <cellStyle name="Input 2 8 5 2 4 3" xfId="13267" xr:uid="{00000000-0005-0000-0000-0000B8250000}"/>
    <cellStyle name="Input 2 8 5 2 4 3 2" xfId="28099" xr:uid="{00000000-0005-0000-0000-0000B9250000}"/>
    <cellStyle name="Input 2 8 5 2 4 4" xfId="20855" xr:uid="{00000000-0005-0000-0000-0000BA250000}"/>
    <cellStyle name="Input 2 8 5 2 5" xfId="6105" xr:uid="{00000000-0005-0000-0000-0000BB250000}"/>
    <cellStyle name="Input 2 8 5 2 5 2" xfId="16292" xr:uid="{00000000-0005-0000-0000-0000BC250000}"/>
    <cellStyle name="Input 2 8 5 2 5 2 2" xfId="31124" xr:uid="{00000000-0005-0000-0000-0000BD250000}"/>
    <cellStyle name="Input 2 8 5 2 5 3" xfId="22638" xr:uid="{00000000-0005-0000-0000-0000BE250000}"/>
    <cellStyle name="Input 2 8 5 2 6" xfId="12362" xr:uid="{00000000-0005-0000-0000-0000BF250000}"/>
    <cellStyle name="Input 2 8 5 2 6 2" xfId="27194" xr:uid="{00000000-0005-0000-0000-0000C0250000}"/>
    <cellStyle name="Input 2 8 5 2 7" xfId="9944" xr:uid="{00000000-0005-0000-0000-0000C1250000}"/>
    <cellStyle name="Input 2 8 5 2 7 2" xfId="20146" xr:uid="{00000000-0005-0000-0000-0000C2250000}"/>
    <cellStyle name="Input 2 8 5 3" xfId="3305" xr:uid="{00000000-0005-0000-0000-0000C3250000}"/>
    <cellStyle name="Input 2 8 5 3 2" xfId="7369" xr:uid="{00000000-0005-0000-0000-0000C4250000}"/>
    <cellStyle name="Input 2 8 5 3 2 2" xfId="23389" xr:uid="{00000000-0005-0000-0000-0000C5250000}"/>
    <cellStyle name="Input 2 8 5 3 3" xfId="13642" xr:uid="{00000000-0005-0000-0000-0000C6250000}"/>
    <cellStyle name="Input 2 8 5 3 3 2" xfId="28474" xr:uid="{00000000-0005-0000-0000-0000C7250000}"/>
    <cellStyle name="Input 2 8 5 3 4" xfId="21076" xr:uid="{00000000-0005-0000-0000-0000C8250000}"/>
    <cellStyle name="Input 2 8 5 4" xfId="4519" xr:uid="{00000000-0005-0000-0000-0000C9250000}"/>
    <cellStyle name="Input 2 8 5 4 2" xfId="8558" xr:uid="{00000000-0005-0000-0000-0000CA250000}"/>
    <cellStyle name="Input 2 8 5 4 2 2" xfId="24184" xr:uid="{00000000-0005-0000-0000-0000CB250000}"/>
    <cellStyle name="Input 2 8 5 4 3" xfId="14846" xr:uid="{00000000-0005-0000-0000-0000CC250000}"/>
    <cellStyle name="Input 2 8 5 4 3 2" xfId="29678" xr:uid="{00000000-0005-0000-0000-0000CD250000}"/>
    <cellStyle name="Input 2 8 5 4 4" xfId="21744" xr:uid="{00000000-0005-0000-0000-0000CE250000}"/>
    <cellStyle name="Input 2 8 5 5" xfId="2509" xr:uid="{00000000-0005-0000-0000-0000CF250000}"/>
    <cellStyle name="Input 2 8 5 5 2" xfId="6615" xr:uid="{00000000-0005-0000-0000-0000D0250000}"/>
    <cellStyle name="Input 2 8 5 5 2 2" xfId="22953" xr:uid="{00000000-0005-0000-0000-0000D1250000}"/>
    <cellStyle name="Input 2 8 5 5 3" xfId="12847" xr:uid="{00000000-0005-0000-0000-0000D2250000}"/>
    <cellStyle name="Input 2 8 5 5 3 2" xfId="27679" xr:uid="{00000000-0005-0000-0000-0000D3250000}"/>
    <cellStyle name="Input 2 8 5 5 4" xfId="20599" xr:uid="{00000000-0005-0000-0000-0000D4250000}"/>
    <cellStyle name="Input 2 8 5 6" xfId="5632" xr:uid="{00000000-0005-0000-0000-0000D5250000}"/>
    <cellStyle name="Input 2 8 5 6 2" xfId="15867" xr:uid="{00000000-0005-0000-0000-0000D6250000}"/>
    <cellStyle name="Input 2 8 5 6 2 2" xfId="30699" xr:uid="{00000000-0005-0000-0000-0000D7250000}"/>
    <cellStyle name="Input 2 8 5 6 3" xfId="22328" xr:uid="{00000000-0005-0000-0000-0000D8250000}"/>
    <cellStyle name="Input 2 8 5 7" xfId="11891" xr:uid="{00000000-0005-0000-0000-0000D9250000}"/>
    <cellStyle name="Input 2 8 5 7 2" xfId="26723" xr:uid="{00000000-0005-0000-0000-0000DA250000}"/>
    <cellStyle name="Input 2 8 5 8" xfId="9549" xr:uid="{00000000-0005-0000-0000-0000DB250000}"/>
    <cellStyle name="Input 2 8 5 8 2" xfId="19851" xr:uid="{00000000-0005-0000-0000-0000DC250000}"/>
    <cellStyle name="Input 2 8 6" xfId="1752" xr:uid="{00000000-0005-0000-0000-0000DD250000}"/>
    <cellStyle name="Input 2 8 6 2" xfId="4120" xr:uid="{00000000-0005-0000-0000-0000DE250000}"/>
    <cellStyle name="Input 2 8 6 2 2" xfId="8165" xr:uid="{00000000-0005-0000-0000-0000DF250000}"/>
    <cellStyle name="Input 2 8 6 2 2 2" xfId="23903" xr:uid="{00000000-0005-0000-0000-0000E0250000}"/>
    <cellStyle name="Input 2 8 6 2 3" xfId="14452" xr:uid="{00000000-0005-0000-0000-0000E1250000}"/>
    <cellStyle name="Input 2 8 6 2 3 2" xfId="29284" xr:uid="{00000000-0005-0000-0000-0000E2250000}"/>
    <cellStyle name="Input 2 8 6 2 4" xfId="21529" xr:uid="{00000000-0005-0000-0000-0000E3250000}"/>
    <cellStyle name="Input 2 8 6 3" xfId="4730" xr:uid="{00000000-0005-0000-0000-0000E4250000}"/>
    <cellStyle name="Input 2 8 6 3 2" xfId="8769" xr:uid="{00000000-0005-0000-0000-0000E5250000}"/>
    <cellStyle name="Input 2 8 6 3 2 2" xfId="24299" xr:uid="{00000000-0005-0000-0000-0000E6250000}"/>
    <cellStyle name="Input 2 8 6 3 3" xfId="15054" xr:uid="{00000000-0005-0000-0000-0000E7250000}"/>
    <cellStyle name="Input 2 8 6 3 3 2" xfId="29886" xr:uid="{00000000-0005-0000-0000-0000E8250000}"/>
    <cellStyle name="Input 2 8 6 3 4" xfId="21837" xr:uid="{00000000-0005-0000-0000-0000E9250000}"/>
    <cellStyle name="Input 2 8 6 4" xfId="2720" xr:uid="{00000000-0005-0000-0000-0000EA250000}"/>
    <cellStyle name="Input 2 8 6 4 2" xfId="6811" xr:uid="{00000000-0005-0000-0000-0000EB250000}"/>
    <cellStyle name="Input 2 8 6 4 2 2" xfId="23050" xr:uid="{00000000-0005-0000-0000-0000EC250000}"/>
    <cellStyle name="Input 2 8 6 4 3" xfId="13058" xr:uid="{00000000-0005-0000-0000-0000ED250000}"/>
    <cellStyle name="Input 2 8 6 4 3 2" xfId="27890" xr:uid="{00000000-0005-0000-0000-0000EE250000}"/>
    <cellStyle name="Input 2 8 6 4 4" xfId="20710" xr:uid="{00000000-0005-0000-0000-0000EF250000}"/>
    <cellStyle name="Input 2 8 6 5" xfId="5884" xr:uid="{00000000-0005-0000-0000-0000F0250000}"/>
    <cellStyle name="Input 2 8 6 5 2" xfId="16076" xr:uid="{00000000-0005-0000-0000-0000F1250000}"/>
    <cellStyle name="Input 2 8 6 5 2 2" xfId="30908" xr:uid="{00000000-0005-0000-0000-0000F2250000}"/>
    <cellStyle name="Input 2 8 6 5 3" xfId="22481" xr:uid="{00000000-0005-0000-0000-0000F3250000}"/>
    <cellStyle name="Input 2 8 6 6" xfId="12146" xr:uid="{00000000-0005-0000-0000-0000F4250000}"/>
    <cellStyle name="Input 2 8 6 6 2" xfId="26978" xr:uid="{00000000-0005-0000-0000-0000F5250000}"/>
    <cellStyle name="Input 2 8 6 7" xfId="9742" xr:uid="{00000000-0005-0000-0000-0000F6250000}"/>
    <cellStyle name="Input 2 8 6 7 2" xfId="20040" xr:uid="{00000000-0005-0000-0000-0000F7250000}"/>
    <cellStyle name="Input 2 8 7" xfId="2214" xr:uid="{00000000-0005-0000-0000-0000F8250000}"/>
    <cellStyle name="Input 2 8 7 2" xfId="3500" xr:uid="{00000000-0005-0000-0000-0000F9250000}"/>
    <cellStyle name="Input 2 8 7 2 2" xfId="7562" xr:uid="{00000000-0005-0000-0000-0000FA250000}"/>
    <cellStyle name="Input 2 8 7 2 2 2" xfId="23516" xr:uid="{00000000-0005-0000-0000-0000FB250000}"/>
    <cellStyle name="Input 2 8 7 2 3" xfId="13837" xr:uid="{00000000-0005-0000-0000-0000FC250000}"/>
    <cellStyle name="Input 2 8 7 2 3 2" xfId="28669" xr:uid="{00000000-0005-0000-0000-0000FD250000}"/>
    <cellStyle name="Input 2 8 7 2 4" xfId="21191" xr:uid="{00000000-0005-0000-0000-0000FE250000}"/>
    <cellStyle name="Input 2 8 7 3" xfId="5182" xr:uid="{00000000-0005-0000-0000-0000FF250000}"/>
    <cellStyle name="Input 2 8 7 3 2" xfId="9221" xr:uid="{00000000-0005-0000-0000-000000260000}"/>
    <cellStyle name="Input 2 8 7 3 2 2" xfId="24559" xr:uid="{00000000-0005-0000-0000-000001260000}"/>
    <cellStyle name="Input 2 8 7 3 3" xfId="15500" xr:uid="{00000000-0005-0000-0000-000002260000}"/>
    <cellStyle name="Input 2 8 7 3 3 2" xfId="30332" xr:uid="{00000000-0005-0000-0000-000003260000}"/>
    <cellStyle name="Input 2 8 7 3 4" xfId="22066" xr:uid="{00000000-0005-0000-0000-000004260000}"/>
    <cellStyle name="Input 2 8 7 4" xfId="4212" xr:uid="{00000000-0005-0000-0000-000005260000}"/>
    <cellStyle name="Input 2 8 7 4 2" xfId="8253" xr:uid="{00000000-0005-0000-0000-000006260000}"/>
    <cellStyle name="Input 2 8 7 4 2 2" xfId="23948" xr:uid="{00000000-0005-0000-0000-000007260000}"/>
    <cellStyle name="Input 2 8 7 4 3" xfId="14544" xr:uid="{00000000-0005-0000-0000-000008260000}"/>
    <cellStyle name="Input 2 8 7 4 3 2" xfId="29376" xr:uid="{00000000-0005-0000-0000-000009260000}"/>
    <cellStyle name="Input 2 8 7 4 4" xfId="21573" xr:uid="{00000000-0005-0000-0000-00000A260000}"/>
    <cellStyle name="Input 2 8 7 5" xfId="6328" xr:uid="{00000000-0005-0000-0000-00000B260000}"/>
    <cellStyle name="Input 2 8 7 5 2" xfId="22730" xr:uid="{00000000-0005-0000-0000-00000C260000}"/>
    <cellStyle name="Input 2 8 7 6" xfId="12582" xr:uid="{00000000-0005-0000-0000-00000D260000}"/>
    <cellStyle name="Input 2 8 7 6 2" xfId="27414" xr:uid="{00000000-0005-0000-0000-00000E260000}"/>
    <cellStyle name="Input 2 8 7 7" xfId="20409" xr:uid="{00000000-0005-0000-0000-00000F260000}"/>
    <cellStyle name="Input 2 8 8" xfId="4293" xr:uid="{00000000-0005-0000-0000-000010260000}"/>
    <cellStyle name="Input 2 8 8 2" xfId="8332" xr:uid="{00000000-0005-0000-0000-000011260000}"/>
    <cellStyle name="Input 2 8 8 2 2" xfId="24020" xr:uid="{00000000-0005-0000-0000-000012260000}"/>
    <cellStyle name="Input 2 8 8 3" xfId="14624" xr:uid="{00000000-0005-0000-0000-000013260000}"/>
    <cellStyle name="Input 2 8 8 3 2" xfId="29456" xr:uid="{00000000-0005-0000-0000-000014260000}"/>
    <cellStyle name="Input 2 8 8 4" xfId="21617" xr:uid="{00000000-0005-0000-0000-000015260000}"/>
    <cellStyle name="Input 2 8 9" xfId="3216" xr:uid="{00000000-0005-0000-0000-000016260000}"/>
    <cellStyle name="Input 2 8 9 2" xfId="7280" xr:uid="{00000000-0005-0000-0000-000017260000}"/>
    <cellStyle name="Input 2 8 9 2 2" xfId="23325" xr:uid="{00000000-0005-0000-0000-000018260000}"/>
    <cellStyle name="Input 2 8 9 3" xfId="13554" xr:uid="{00000000-0005-0000-0000-000019260000}"/>
    <cellStyle name="Input 2 8 9 3 2" xfId="28386" xr:uid="{00000000-0005-0000-0000-00001A260000}"/>
    <cellStyle name="Input 2 8 9 4" xfId="21014" xr:uid="{00000000-0005-0000-0000-00001B260000}"/>
    <cellStyle name="Input 2 9" xfId="1319" xr:uid="{00000000-0005-0000-0000-00001C260000}"/>
    <cellStyle name="Input 2 9 2" xfId="1823" xr:uid="{00000000-0005-0000-0000-00001D260000}"/>
    <cellStyle name="Input 2 9 2 2" xfId="3434" xr:uid="{00000000-0005-0000-0000-00001E260000}"/>
    <cellStyle name="Input 2 9 2 2 2" xfId="7497" xr:uid="{00000000-0005-0000-0000-00001F260000}"/>
    <cellStyle name="Input 2 9 2 2 2 2" xfId="23474" xr:uid="{00000000-0005-0000-0000-000020260000}"/>
    <cellStyle name="Input 2 9 2 2 3" xfId="13771" xr:uid="{00000000-0005-0000-0000-000021260000}"/>
    <cellStyle name="Input 2 9 2 2 3 2" xfId="28603" xr:uid="{00000000-0005-0000-0000-000022260000}"/>
    <cellStyle name="Input 2 9 2 2 4" xfId="21150" xr:uid="{00000000-0005-0000-0000-000023260000}"/>
    <cellStyle name="Input 2 9 2 3" xfId="4801" xr:uid="{00000000-0005-0000-0000-000024260000}"/>
    <cellStyle name="Input 2 9 2 3 2" xfId="8840" xr:uid="{00000000-0005-0000-0000-000025260000}"/>
    <cellStyle name="Input 2 9 2 3 2 2" xfId="24338" xr:uid="{00000000-0005-0000-0000-000026260000}"/>
    <cellStyle name="Input 2 9 2 3 3" xfId="15125" xr:uid="{00000000-0005-0000-0000-000027260000}"/>
    <cellStyle name="Input 2 9 2 3 3 2" xfId="29957" xr:uid="{00000000-0005-0000-0000-000028260000}"/>
    <cellStyle name="Input 2 9 2 3 4" xfId="21876" xr:uid="{00000000-0005-0000-0000-000029260000}"/>
    <cellStyle name="Input 2 9 2 4" xfId="2791" xr:uid="{00000000-0005-0000-0000-00002A260000}"/>
    <cellStyle name="Input 2 9 2 4 2" xfId="6882" xr:uid="{00000000-0005-0000-0000-00002B260000}"/>
    <cellStyle name="Input 2 9 2 4 2 2" xfId="23089" xr:uid="{00000000-0005-0000-0000-00002C260000}"/>
    <cellStyle name="Input 2 9 2 4 3" xfId="13129" xr:uid="{00000000-0005-0000-0000-00002D260000}"/>
    <cellStyle name="Input 2 9 2 4 3 2" xfId="27961" xr:uid="{00000000-0005-0000-0000-00002E260000}"/>
    <cellStyle name="Input 2 9 2 4 4" xfId="20749" xr:uid="{00000000-0005-0000-0000-00002F260000}"/>
    <cellStyle name="Input 2 9 2 5" xfId="5955" xr:uid="{00000000-0005-0000-0000-000030260000}"/>
    <cellStyle name="Input 2 9 2 5 2" xfId="16147" xr:uid="{00000000-0005-0000-0000-000031260000}"/>
    <cellStyle name="Input 2 9 2 5 2 2" xfId="30979" xr:uid="{00000000-0005-0000-0000-000032260000}"/>
    <cellStyle name="Input 2 9 2 5 3" xfId="22520" xr:uid="{00000000-0005-0000-0000-000033260000}"/>
    <cellStyle name="Input 2 9 2 6" xfId="12217" xr:uid="{00000000-0005-0000-0000-000034260000}"/>
    <cellStyle name="Input 2 9 2 6 2" xfId="27049" xr:uid="{00000000-0005-0000-0000-000035260000}"/>
    <cellStyle name="Input 2 9 2 7" xfId="9813" xr:uid="{00000000-0005-0000-0000-000036260000}"/>
    <cellStyle name="Input 2 9 2 7 2" xfId="20064" xr:uid="{00000000-0005-0000-0000-000037260000}"/>
    <cellStyle name="Input 2 9 3" xfId="3608" xr:uid="{00000000-0005-0000-0000-000038260000}"/>
    <cellStyle name="Input 2 9 3 2" xfId="7669" xr:uid="{00000000-0005-0000-0000-000039260000}"/>
    <cellStyle name="Input 2 9 3 2 2" xfId="23579" xr:uid="{00000000-0005-0000-0000-00003A260000}"/>
    <cellStyle name="Input 2 9 3 3" xfId="13944" xr:uid="{00000000-0005-0000-0000-00003B260000}"/>
    <cellStyle name="Input 2 9 3 3 2" xfId="28776" xr:uid="{00000000-0005-0000-0000-00003C260000}"/>
    <cellStyle name="Input 2 9 3 4" xfId="21248" xr:uid="{00000000-0005-0000-0000-00003D260000}"/>
    <cellStyle name="Input 2 9 4" xfId="4381" xr:uid="{00000000-0005-0000-0000-00003E260000}"/>
    <cellStyle name="Input 2 9 4 2" xfId="8420" xr:uid="{00000000-0005-0000-0000-00003F260000}"/>
    <cellStyle name="Input 2 9 4 2 2" xfId="24078" xr:uid="{00000000-0005-0000-0000-000040260000}"/>
    <cellStyle name="Input 2 9 4 3" xfId="14710" xr:uid="{00000000-0005-0000-0000-000041260000}"/>
    <cellStyle name="Input 2 9 4 3 2" xfId="29542" xr:uid="{00000000-0005-0000-0000-000042260000}"/>
    <cellStyle name="Input 2 9 4 4" xfId="21646" xr:uid="{00000000-0005-0000-0000-000043260000}"/>
    <cellStyle name="Input 2 9 5" xfId="2371" xr:uid="{00000000-0005-0000-0000-000044260000}"/>
    <cellStyle name="Input 2 9 5 2" xfId="6483" xr:uid="{00000000-0005-0000-0000-000045260000}"/>
    <cellStyle name="Input 2 9 5 2 2" xfId="22853" xr:uid="{00000000-0005-0000-0000-000046260000}"/>
    <cellStyle name="Input 2 9 5 3" xfId="12710" xr:uid="{00000000-0005-0000-0000-000047260000}"/>
    <cellStyle name="Input 2 9 5 3 2" xfId="27542" xr:uid="{00000000-0005-0000-0000-000048260000}"/>
    <cellStyle name="Input 2 9 5 4" xfId="20495" xr:uid="{00000000-0005-0000-0000-000049260000}"/>
    <cellStyle name="Input 2 9 6" xfId="5496" xr:uid="{00000000-0005-0000-0000-00004A260000}"/>
    <cellStyle name="Input 2 9 6 2" xfId="15731" xr:uid="{00000000-0005-0000-0000-00004B260000}"/>
    <cellStyle name="Input 2 9 6 2 2" xfId="30563" xr:uid="{00000000-0005-0000-0000-00004C260000}"/>
    <cellStyle name="Input 2 9 6 3" xfId="22224" xr:uid="{00000000-0005-0000-0000-00004D260000}"/>
    <cellStyle name="Input 2 9 7" xfId="11746" xr:uid="{00000000-0005-0000-0000-00004E260000}"/>
    <cellStyle name="Input 2 9 7 2" xfId="26578" xr:uid="{00000000-0005-0000-0000-00004F260000}"/>
    <cellStyle name="Input 2 9 8" xfId="9417" xr:uid="{00000000-0005-0000-0000-000050260000}"/>
    <cellStyle name="Input 2 9 8 2" xfId="19721" xr:uid="{00000000-0005-0000-0000-000051260000}"/>
    <cellStyle name="Input 3" xfId="1120" xr:uid="{00000000-0005-0000-0000-000052260000}"/>
    <cellStyle name="Input 3 10" xfId="2291" xr:uid="{00000000-0005-0000-0000-000053260000}"/>
    <cellStyle name="Input 3 10 2" xfId="6403" xr:uid="{00000000-0005-0000-0000-000054260000}"/>
    <cellStyle name="Input 3 10 2 2" xfId="22805" xr:uid="{00000000-0005-0000-0000-000055260000}"/>
    <cellStyle name="Input 3 10 3" xfId="12631" xr:uid="{00000000-0005-0000-0000-000056260000}"/>
    <cellStyle name="Input 3 10 3 2" xfId="27463" xr:uid="{00000000-0005-0000-0000-000057260000}"/>
    <cellStyle name="Input 3 10 4" xfId="20457" xr:uid="{00000000-0005-0000-0000-000058260000}"/>
    <cellStyle name="Input 3 11" xfId="5257" xr:uid="{00000000-0005-0000-0000-000059260000}"/>
    <cellStyle name="Input 3 11 2" xfId="15573" xr:uid="{00000000-0005-0000-0000-00005A260000}"/>
    <cellStyle name="Input 3 11 2 2" xfId="30405" xr:uid="{00000000-0005-0000-0000-00005B260000}"/>
    <cellStyle name="Input 3 11 3" xfId="22114" xr:uid="{00000000-0005-0000-0000-00005C260000}"/>
    <cellStyle name="Input 3 12" xfId="5415" xr:uid="{00000000-0005-0000-0000-00005D260000}"/>
    <cellStyle name="Input 3 12 2" xfId="15651" xr:uid="{00000000-0005-0000-0000-00005E260000}"/>
    <cellStyle name="Input 3 12 2 2" xfId="30483" xr:uid="{00000000-0005-0000-0000-00005F260000}"/>
    <cellStyle name="Input 3 12 3" xfId="22176" xr:uid="{00000000-0005-0000-0000-000060260000}"/>
    <cellStyle name="Input 3 13" xfId="9376" xr:uid="{00000000-0005-0000-0000-000061260000}"/>
    <cellStyle name="Input 3 13 2" xfId="24682" xr:uid="{00000000-0005-0000-0000-000062260000}"/>
    <cellStyle name="Input 3 14" xfId="5365" xr:uid="{00000000-0005-0000-0000-000063260000}"/>
    <cellStyle name="Input 3 14 2" xfId="18239" xr:uid="{00000000-0005-0000-0000-000064260000}"/>
    <cellStyle name="Input 3 2" xfId="1327" xr:uid="{00000000-0005-0000-0000-000065260000}"/>
    <cellStyle name="Input 3 2 2" xfId="1831" xr:uid="{00000000-0005-0000-0000-000066260000}"/>
    <cellStyle name="Input 3 2 2 2" xfId="3785" xr:uid="{00000000-0005-0000-0000-000067260000}"/>
    <cellStyle name="Input 3 2 2 2 2" xfId="7840" xr:uid="{00000000-0005-0000-0000-000068260000}"/>
    <cellStyle name="Input 3 2 2 2 2 2" xfId="23696" xr:uid="{00000000-0005-0000-0000-000069260000}"/>
    <cellStyle name="Input 3 2 2 2 3" xfId="14120" xr:uid="{00000000-0005-0000-0000-00006A260000}"/>
    <cellStyle name="Input 3 2 2 2 3 2" xfId="28952" xr:uid="{00000000-0005-0000-0000-00006B260000}"/>
    <cellStyle name="Input 3 2 2 2 4" xfId="21348" xr:uid="{00000000-0005-0000-0000-00006C260000}"/>
    <cellStyle name="Input 3 2 2 3" xfId="4809" xr:uid="{00000000-0005-0000-0000-00006D260000}"/>
    <cellStyle name="Input 3 2 2 3 2" xfId="8848" xr:uid="{00000000-0005-0000-0000-00006E260000}"/>
    <cellStyle name="Input 3 2 2 3 2 2" xfId="24346" xr:uid="{00000000-0005-0000-0000-00006F260000}"/>
    <cellStyle name="Input 3 2 2 3 3" xfId="15133" xr:uid="{00000000-0005-0000-0000-000070260000}"/>
    <cellStyle name="Input 3 2 2 3 3 2" xfId="29965" xr:uid="{00000000-0005-0000-0000-000071260000}"/>
    <cellStyle name="Input 3 2 2 3 4" xfId="21884" xr:uid="{00000000-0005-0000-0000-000072260000}"/>
    <cellStyle name="Input 3 2 2 4" xfId="2799" xr:uid="{00000000-0005-0000-0000-000073260000}"/>
    <cellStyle name="Input 3 2 2 4 2" xfId="6890" xr:uid="{00000000-0005-0000-0000-000074260000}"/>
    <cellStyle name="Input 3 2 2 4 2 2" xfId="23097" xr:uid="{00000000-0005-0000-0000-000075260000}"/>
    <cellStyle name="Input 3 2 2 4 3" xfId="13137" xr:uid="{00000000-0005-0000-0000-000076260000}"/>
    <cellStyle name="Input 3 2 2 4 3 2" xfId="27969" xr:uid="{00000000-0005-0000-0000-000077260000}"/>
    <cellStyle name="Input 3 2 2 4 4" xfId="20757" xr:uid="{00000000-0005-0000-0000-000078260000}"/>
    <cellStyle name="Input 3 2 2 5" xfId="5963" xr:uid="{00000000-0005-0000-0000-000079260000}"/>
    <cellStyle name="Input 3 2 2 5 2" xfId="16155" xr:uid="{00000000-0005-0000-0000-00007A260000}"/>
    <cellStyle name="Input 3 2 2 5 2 2" xfId="30987" xr:uid="{00000000-0005-0000-0000-00007B260000}"/>
    <cellStyle name="Input 3 2 2 5 3" xfId="22528" xr:uid="{00000000-0005-0000-0000-00007C260000}"/>
    <cellStyle name="Input 3 2 2 6" xfId="12225" xr:uid="{00000000-0005-0000-0000-00007D260000}"/>
    <cellStyle name="Input 3 2 2 6 2" xfId="27057" xr:uid="{00000000-0005-0000-0000-00007E260000}"/>
    <cellStyle name="Input 3 2 2 7" xfId="9821" xr:uid="{00000000-0005-0000-0000-00007F260000}"/>
    <cellStyle name="Input 3 2 2 7 2" xfId="20072" xr:uid="{00000000-0005-0000-0000-000080260000}"/>
    <cellStyle name="Input 3 2 3" xfId="3440" xr:uid="{00000000-0005-0000-0000-000081260000}"/>
    <cellStyle name="Input 3 2 3 2" xfId="7503" xr:uid="{00000000-0005-0000-0000-000082260000}"/>
    <cellStyle name="Input 3 2 3 2 2" xfId="23477" xr:uid="{00000000-0005-0000-0000-000083260000}"/>
    <cellStyle name="Input 3 2 3 3" xfId="13777" xr:uid="{00000000-0005-0000-0000-000084260000}"/>
    <cellStyle name="Input 3 2 3 3 2" xfId="28609" xr:uid="{00000000-0005-0000-0000-000085260000}"/>
    <cellStyle name="Input 3 2 3 4" xfId="21153" xr:uid="{00000000-0005-0000-0000-000086260000}"/>
    <cellStyle name="Input 3 2 4" xfId="4389" xr:uid="{00000000-0005-0000-0000-000087260000}"/>
    <cellStyle name="Input 3 2 4 2" xfId="8428" xr:uid="{00000000-0005-0000-0000-000088260000}"/>
    <cellStyle name="Input 3 2 4 2 2" xfId="24086" xr:uid="{00000000-0005-0000-0000-000089260000}"/>
    <cellStyle name="Input 3 2 4 3" xfId="14718" xr:uid="{00000000-0005-0000-0000-00008A260000}"/>
    <cellStyle name="Input 3 2 4 3 2" xfId="29550" xr:uid="{00000000-0005-0000-0000-00008B260000}"/>
    <cellStyle name="Input 3 2 4 4" xfId="21654" xr:uid="{00000000-0005-0000-0000-00008C260000}"/>
    <cellStyle name="Input 3 2 5" xfId="2379" xr:uid="{00000000-0005-0000-0000-00008D260000}"/>
    <cellStyle name="Input 3 2 5 2" xfId="6491" xr:uid="{00000000-0005-0000-0000-00008E260000}"/>
    <cellStyle name="Input 3 2 5 2 2" xfId="22861" xr:uid="{00000000-0005-0000-0000-00008F260000}"/>
    <cellStyle name="Input 3 2 5 3" xfId="12718" xr:uid="{00000000-0005-0000-0000-000090260000}"/>
    <cellStyle name="Input 3 2 5 3 2" xfId="27550" xr:uid="{00000000-0005-0000-0000-000091260000}"/>
    <cellStyle name="Input 3 2 5 4" xfId="20503" xr:uid="{00000000-0005-0000-0000-000092260000}"/>
    <cellStyle name="Input 3 2 6" xfId="5504" xr:uid="{00000000-0005-0000-0000-000093260000}"/>
    <cellStyle name="Input 3 2 6 2" xfId="15739" xr:uid="{00000000-0005-0000-0000-000094260000}"/>
    <cellStyle name="Input 3 2 6 2 2" xfId="30571" xr:uid="{00000000-0005-0000-0000-000095260000}"/>
    <cellStyle name="Input 3 2 6 3" xfId="22232" xr:uid="{00000000-0005-0000-0000-000096260000}"/>
    <cellStyle name="Input 3 2 7" xfId="11754" xr:uid="{00000000-0005-0000-0000-000097260000}"/>
    <cellStyle name="Input 3 2 7 2" xfId="26586" xr:uid="{00000000-0005-0000-0000-000098260000}"/>
    <cellStyle name="Input 3 2 8" xfId="9425" xr:uid="{00000000-0005-0000-0000-000099260000}"/>
    <cellStyle name="Input 3 2 8 2" xfId="19729" xr:uid="{00000000-0005-0000-0000-00009A260000}"/>
    <cellStyle name="Input 3 3" xfId="1485" xr:uid="{00000000-0005-0000-0000-00009B260000}"/>
    <cellStyle name="Input 3 3 2" xfId="1986" xr:uid="{00000000-0005-0000-0000-00009C260000}"/>
    <cellStyle name="Input 3 3 2 2" xfId="3906" xr:uid="{00000000-0005-0000-0000-00009D260000}"/>
    <cellStyle name="Input 3 3 2 2 2" xfId="7957" xr:uid="{00000000-0005-0000-0000-00009E260000}"/>
    <cellStyle name="Input 3 3 2 2 2 2" xfId="23771" xr:uid="{00000000-0005-0000-0000-00009F260000}"/>
    <cellStyle name="Input 3 3 2 2 3" xfId="14239" xr:uid="{00000000-0005-0000-0000-0000A0260000}"/>
    <cellStyle name="Input 3 3 2 2 3 2" xfId="29071" xr:uid="{00000000-0005-0000-0000-0000A1260000}"/>
    <cellStyle name="Input 3 3 2 2 4" xfId="21412" xr:uid="{00000000-0005-0000-0000-0000A2260000}"/>
    <cellStyle name="Input 3 3 2 3" xfId="4950" xr:uid="{00000000-0005-0000-0000-0000A3260000}"/>
    <cellStyle name="Input 3 3 2 3 2" xfId="8989" xr:uid="{00000000-0005-0000-0000-0000A4260000}"/>
    <cellStyle name="Input 3 3 2 3 2 2" xfId="24455" xr:uid="{00000000-0005-0000-0000-0000A5260000}"/>
    <cellStyle name="Input 3 3 2 3 3" xfId="15272" xr:uid="{00000000-0005-0000-0000-0000A6260000}"/>
    <cellStyle name="Input 3 3 2 3 3 2" xfId="30104" xr:uid="{00000000-0005-0000-0000-0000A7260000}"/>
    <cellStyle name="Input 3 3 2 3 4" xfId="21985" xr:uid="{00000000-0005-0000-0000-0000A8260000}"/>
    <cellStyle name="Input 3 3 2 4" xfId="2940" xr:uid="{00000000-0005-0000-0000-0000A9260000}"/>
    <cellStyle name="Input 3 3 2 4 2" xfId="7024" xr:uid="{00000000-0005-0000-0000-0000AA260000}"/>
    <cellStyle name="Input 3 3 2 4 2 2" xfId="23198" xr:uid="{00000000-0005-0000-0000-0000AB260000}"/>
    <cellStyle name="Input 3 3 2 4 3" xfId="13278" xr:uid="{00000000-0005-0000-0000-0000AC260000}"/>
    <cellStyle name="Input 3 3 2 4 3 2" xfId="28110" xr:uid="{00000000-0005-0000-0000-0000AD260000}"/>
    <cellStyle name="Input 3 3 2 4 4" xfId="20866" xr:uid="{00000000-0005-0000-0000-0000AE260000}"/>
    <cellStyle name="Input 3 3 2 5" xfId="6116" xr:uid="{00000000-0005-0000-0000-0000AF260000}"/>
    <cellStyle name="Input 3 3 2 5 2" xfId="16303" xr:uid="{00000000-0005-0000-0000-0000B0260000}"/>
    <cellStyle name="Input 3 3 2 5 2 2" xfId="31135" xr:uid="{00000000-0005-0000-0000-0000B1260000}"/>
    <cellStyle name="Input 3 3 2 5 3" xfId="22649" xr:uid="{00000000-0005-0000-0000-0000B2260000}"/>
    <cellStyle name="Input 3 3 2 6" xfId="12373" xr:uid="{00000000-0005-0000-0000-0000B3260000}"/>
    <cellStyle name="Input 3 3 2 6 2" xfId="27205" xr:uid="{00000000-0005-0000-0000-0000B4260000}"/>
    <cellStyle name="Input 3 3 2 7" xfId="9955" xr:uid="{00000000-0005-0000-0000-0000B5260000}"/>
    <cellStyle name="Input 3 3 2 7 2" xfId="20157" xr:uid="{00000000-0005-0000-0000-0000B6260000}"/>
    <cellStyle name="Input 3 3 3" xfId="3828" xr:uid="{00000000-0005-0000-0000-0000B7260000}"/>
    <cellStyle name="Input 3 3 3 2" xfId="7881" xr:uid="{00000000-0005-0000-0000-0000B8260000}"/>
    <cellStyle name="Input 3 3 3 2 2" xfId="23724" xr:uid="{00000000-0005-0000-0000-0000B9260000}"/>
    <cellStyle name="Input 3 3 3 3" xfId="14163" xr:uid="{00000000-0005-0000-0000-0000BA260000}"/>
    <cellStyle name="Input 3 3 3 3 2" xfId="28995" xr:uid="{00000000-0005-0000-0000-0000BB260000}"/>
    <cellStyle name="Input 3 3 3 4" xfId="21372" xr:uid="{00000000-0005-0000-0000-0000BC260000}"/>
    <cellStyle name="Input 3 3 4" xfId="4530" xr:uid="{00000000-0005-0000-0000-0000BD260000}"/>
    <cellStyle name="Input 3 3 4 2" xfId="8569" xr:uid="{00000000-0005-0000-0000-0000BE260000}"/>
    <cellStyle name="Input 3 3 4 2 2" xfId="24195" xr:uid="{00000000-0005-0000-0000-0000BF260000}"/>
    <cellStyle name="Input 3 3 4 3" xfId="14857" xr:uid="{00000000-0005-0000-0000-0000C0260000}"/>
    <cellStyle name="Input 3 3 4 3 2" xfId="29689" xr:uid="{00000000-0005-0000-0000-0000C1260000}"/>
    <cellStyle name="Input 3 3 4 4" xfId="21755" xr:uid="{00000000-0005-0000-0000-0000C2260000}"/>
    <cellStyle name="Input 3 3 5" xfId="2520" xr:uid="{00000000-0005-0000-0000-0000C3260000}"/>
    <cellStyle name="Input 3 3 5 2" xfId="6626" xr:uid="{00000000-0005-0000-0000-0000C4260000}"/>
    <cellStyle name="Input 3 3 5 2 2" xfId="22964" xr:uid="{00000000-0005-0000-0000-0000C5260000}"/>
    <cellStyle name="Input 3 3 5 3" xfId="12858" xr:uid="{00000000-0005-0000-0000-0000C6260000}"/>
    <cellStyle name="Input 3 3 5 3 2" xfId="27690" xr:uid="{00000000-0005-0000-0000-0000C7260000}"/>
    <cellStyle name="Input 3 3 5 4" xfId="20610" xr:uid="{00000000-0005-0000-0000-0000C8260000}"/>
    <cellStyle name="Input 3 3 6" xfId="5643" xr:uid="{00000000-0005-0000-0000-0000C9260000}"/>
    <cellStyle name="Input 3 3 6 2" xfId="15878" xr:uid="{00000000-0005-0000-0000-0000CA260000}"/>
    <cellStyle name="Input 3 3 6 2 2" xfId="30710" xr:uid="{00000000-0005-0000-0000-0000CB260000}"/>
    <cellStyle name="Input 3 3 6 3" xfId="22339" xr:uid="{00000000-0005-0000-0000-0000CC260000}"/>
    <cellStyle name="Input 3 3 7" xfId="11902" xr:uid="{00000000-0005-0000-0000-0000CD260000}"/>
    <cellStyle name="Input 3 3 7 2" xfId="26734" xr:uid="{00000000-0005-0000-0000-0000CE260000}"/>
    <cellStyle name="Input 3 3 8" xfId="9560" xr:uid="{00000000-0005-0000-0000-0000CF260000}"/>
    <cellStyle name="Input 3 3 8 2" xfId="19862" xr:uid="{00000000-0005-0000-0000-0000D0260000}"/>
    <cellStyle name="Input 3 4" xfId="1395" xr:uid="{00000000-0005-0000-0000-0000D1260000}"/>
    <cellStyle name="Input 3 4 2" xfId="1897" xr:uid="{00000000-0005-0000-0000-0000D2260000}"/>
    <cellStyle name="Input 3 4 2 2" xfId="3359" xr:uid="{00000000-0005-0000-0000-0000D3260000}"/>
    <cellStyle name="Input 3 4 2 2 2" xfId="7422" xr:uid="{00000000-0005-0000-0000-0000D4260000}"/>
    <cellStyle name="Input 3 4 2 2 2 2" xfId="23423" xr:uid="{00000000-0005-0000-0000-0000D5260000}"/>
    <cellStyle name="Input 3 4 2 2 3" xfId="13696" xr:uid="{00000000-0005-0000-0000-0000D6260000}"/>
    <cellStyle name="Input 3 4 2 2 3 2" xfId="28528" xr:uid="{00000000-0005-0000-0000-0000D7260000}"/>
    <cellStyle name="Input 3 4 2 2 4" xfId="21108" xr:uid="{00000000-0005-0000-0000-0000D8260000}"/>
    <cellStyle name="Input 3 4 2 3" xfId="4875" xr:uid="{00000000-0005-0000-0000-0000D9260000}"/>
    <cellStyle name="Input 3 4 2 3 2" xfId="8914" xr:uid="{00000000-0005-0000-0000-0000DA260000}"/>
    <cellStyle name="Input 3 4 2 3 2 2" xfId="24380" xr:uid="{00000000-0005-0000-0000-0000DB260000}"/>
    <cellStyle name="Input 3 4 2 3 3" xfId="15198" xr:uid="{00000000-0005-0000-0000-0000DC260000}"/>
    <cellStyle name="Input 3 4 2 3 3 2" xfId="30030" xr:uid="{00000000-0005-0000-0000-0000DD260000}"/>
    <cellStyle name="Input 3 4 2 3 4" xfId="21912" xr:uid="{00000000-0005-0000-0000-0000DE260000}"/>
    <cellStyle name="Input 3 4 2 4" xfId="2865" xr:uid="{00000000-0005-0000-0000-0000DF260000}"/>
    <cellStyle name="Input 3 4 2 4 2" xfId="6950" xr:uid="{00000000-0005-0000-0000-0000E0260000}"/>
    <cellStyle name="Input 3 4 2 4 2 2" xfId="23125" xr:uid="{00000000-0005-0000-0000-0000E1260000}"/>
    <cellStyle name="Input 3 4 2 4 3" xfId="13203" xr:uid="{00000000-0005-0000-0000-0000E2260000}"/>
    <cellStyle name="Input 3 4 2 4 3 2" xfId="28035" xr:uid="{00000000-0005-0000-0000-0000E3260000}"/>
    <cellStyle name="Input 3 4 2 4 4" xfId="20791" xr:uid="{00000000-0005-0000-0000-0000E4260000}"/>
    <cellStyle name="Input 3 4 2 5" xfId="6028" xr:uid="{00000000-0005-0000-0000-0000E5260000}"/>
    <cellStyle name="Input 3 4 2 5 2" xfId="16215" xr:uid="{00000000-0005-0000-0000-0000E6260000}"/>
    <cellStyle name="Input 3 4 2 5 2 2" xfId="31047" xr:uid="{00000000-0005-0000-0000-0000E7260000}"/>
    <cellStyle name="Input 3 4 2 5 3" xfId="22561" xr:uid="{00000000-0005-0000-0000-0000E8260000}"/>
    <cellStyle name="Input 3 4 2 6" xfId="12285" xr:uid="{00000000-0005-0000-0000-0000E9260000}"/>
    <cellStyle name="Input 3 4 2 6 2" xfId="27117" xr:uid="{00000000-0005-0000-0000-0000EA260000}"/>
    <cellStyle name="Input 3 4 2 7" xfId="9881" xr:uid="{00000000-0005-0000-0000-0000EB260000}"/>
    <cellStyle name="Input 3 4 2 7 2" xfId="20085" xr:uid="{00000000-0005-0000-0000-0000EC260000}"/>
    <cellStyle name="Input 3 4 3" xfId="3741" xr:uid="{00000000-0005-0000-0000-0000ED260000}"/>
    <cellStyle name="Input 3 4 3 2" xfId="7797" xr:uid="{00000000-0005-0000-0000-0000EE260000}"/>
    <cellStyle name="Input 3 4 3 2 2" xfId="23670" xr:uid="{00000000-0005-0000-0000-0000EF260000}"/>
    <cellStyle name="Input 3 4 3 3" xfId="14076" xr:uid="{00000000-0005-0000-0000-0000F0260000}"/>
    <cellStyle name="Input 3 4 3 3 2" xfId="28908" xr:uid="{00000000-0005-0000-0000-0000F1260000}"/>
    <cellStyle name="Input 3 4 3 4" xfId="21326" xr:uid="{00000000-0005-0000-0000-0000F2260000}"/>
    <cellStyle name="Input 3 4 4" xfId="4455" xr:uid="{00000000-0005-0000-0000-0000F3260000}"/>
    <cellStyle name="Input 3 4 4 2" xfId="8494" xr:uid="{00000000-0005-0000-0000-0000F4260000}"/>
    <cellStyle name="Input 3 4 4 2 2" xfId="24120" xr:uid="{00000000-0005-0000-0000-0000F5260000}"/>
    <cellStyle name="Input 3 4 4 3" xfId="14783" xr:uid="{00000000-0005-0000-0000-0000F6260000}"/>
    <cellStyle name="Input 3 4 4 3 2" xfId="29615" xr:uid="{00000000-0005-0000-0000-0000F7260000}"/>
    <cellStyle name="Input 3 4 4 4" xfId="21682" xr:uid="{00000000-0005-0000-0000-0000F8260000}"/>
    <cellStyle name="Input 3 4 5" xfId="2445" xr:uid="{00000000-0005-0000-0000-0000F9260000}"/>
    <cellStyle name="Input 3 4 5 2" xfId="6551" xr:uid="{00000000-0005-0000-0000-0000FA260000}"/>
    <cellStyle name="Input 3 4 5 2 2" xfId="22889" xr:uid="{00000000-0005-0000-0000-0000FB260000}"/>
    <cellStyle name="Input 3 4 5 3" xfId="12784" xr:uid="{00000000-0005-0000-0000-0000FC260000}"/>
    <cellStyle name="Input 3 4 5 3 2" xfId="27616" xr:uid="{00000000-0005-0000-0000-0000FD260000}"/>
    <cellStyle name="Input 3 4 5 4" xfId="20537" xr:uid="{00000000-0005-0000-0000-0000FE260000}"/>
    <cellStyle name="Input 3 4 6" xfId="5569" xr:uid="{00000000-0005-0000-0000-0000FF260000}"/>
    <cellStyle name="Input 3 4 6 2" xfId="15804" xr:uid="{00000000-0005-0000-0000-000000270000}"/>
    <cellStyle name="Input 3 4 6 2 2" xfId="30636" xr:uid="{00000000-0005-0000-0000-000001270000}"/>
    <cellStyle name="Input 3 4 6 3" xfId="22265" xr:uid="{00000000-0005-0000-0000-000002270000}"/>
    <cellStyle name="Input 3 4 7" xfId="11814" xr:uid="{00000000-0005-0000-0000-000003270000}"/>
    <cellStyle name="Input 3 4 7 2" xfId="26646" xr:uid="{00000000-0005-0000-0000-000004270000}"/>
    <cellStyle name="Input 3 4 8" xfId="9486" xr:uid="{00000000-0005-0000-0000-000005270000}"/>
    <cellStyle name="Input 3 4 8 2" xfId="19789" xr:uid="{00000000-0005-0000-0000-000006270000}"/>
    <cellStyle name="Input 3 5" xfId="1475" xr:uid="{00000000-0005-0000-0000-000007270000}"/>
    <cellStyle name="Input 3 5 2" xfId="1976" xr:uid="{00000000-0005-0000-0000-000008270000}"/>
    <cellStyle name="Input 3 5 2 2" xfId="3524" xr:uid="{00000000-0005-0000-0000-000009270000}"/>
    <cellStyle name="Input 3 5 2 2 2" xfId="7586" xr:uid="{00000000-0005-0000-0000-00000A270000}"/>
    <cellStyle name="Input 3 5 2 2 2 2" xfId="23534" xr:uid="{00000000-0005-0000-0000-00000B270000}"/>
    <cellStyle name="Input 3 5 2 2 3" xfId="13861" xr:uid="{00000000-0005-0000-0000-00000C270000}"/>
    <cellStyle name="Input 3 5 2 2 3 2" xfId="28693" xr:uid="{00000000-0005-0000-0000-00000D270000}"/>
    <cellStyle name="Input 3 5 2 2 4" xfId="21209" xr:uid="{00000000-0005-0000-0000-00000E270000}"/>
    <cellStyle name="Input 3 5 2 3" xfId="4940" xr:uid="{00000000-0005-0000-0000-00000F270000}"/>
    <cellStyle name="Input 3 5 2 3 2" xfId="8979" xr:uid="{00000000-0005-0000-0000-000010270000}"/>
    <cellStyle name="Input 3 5 2 3 2 2" xfId="24445" xr:uid="{00000000-0005-0000-0000-000011270000}"/>
    <cellStyle name="Input 3 5 2 3 3" xfId="15262" xr:uid="{00000000-0005-0000-0000-000012270000}"/>
    <cellStyle name="Input 3 5 2 3 3 2" xfId="30094" xr:uid="{00000000-0005-0000-0000-000013270000}"/>
    <cellStyle name="Input 3 5 2 3 4" xfId="21975" xr:uid="{00000000-0005-0000-0000-000014270000}"/>
    <cellStyle name="Input 3 5 2 4" xfId="2930" xr:uid="{00000000-0005-0000-0000-000015270000}"/>
    <cellStyle name="Input 3 5 2 4 2" xfId="7014" xr:uid="{00000000-0005-0000-0000-000016270000}"/>
    <cellStyle name="Input 3 5 2 4 2 2" xfId="23188" xr:uid="{00000000-0005-0000-0000-000017270000}"/>
    <cellStyle name="Input 3 5 2 4 3" xfId="13268" xr:uid="{00000000-0005-0000-0000-000018270000}"/>
    <cellStyle name="Input 3 5 2 4 3 2" xfId="28100" xr:uid="{00000000-0005-0000-0000-000019270000}"/>
    <cellStyle name="Input 3 5 2 4 4" xfId="20856" xr:uid="{00000000-0005-0000-0000-00001A270000}"/>
    <cellStyle name="Input 3 5 2 5" xfId="6106" xr:uid="{00000000-0005-0000-0000-00001B270000}"/>
    <cellStyle name="Input 3 5 2 5 2" xfId="16293" xr:uid="{00000000-0005-0000-0000-00001C270000}"/>
    <cellStyle name="Input 3 5 2 5 2 2" xfId="31125" xr:uid="{00000000-0005-0000-0000-00001D270000}"/>
    <cellStyle name="Input 3 5 2 5 3" xfId="22639" xr:uid="{00000000-0005-0000-0000-00001E270000}"/>
    <cellStyle name="Input 3 5 2 6" xfId="12363" xr:uid="{00000000-0005-0000-0000-00001F270000}"/>
    <cellStyle name="Input 3 5 2 6 2" xfId="27195" xr:uid="{00000000-0005-0000-0000-000020270000}"/>
    <cellStyle name="Input 3 5 2 7" xfId="9945" xr:uid="{00000000-0005-0000-0000-000021270000}"/>
    <cellStyle name="Input 3 5 2 7 2" xfId="20147" xr:uid="{00000000-0005-0000-0000-000022270000}"/>
    <cellStyle name="Input 3 5 3" xfId="3141" xr:uid="{00000000-0005-0000-0000-000023270000}"/>
    <cellStyle name="Input 3 5 3 2" xfId="7205" xr:uid="{00000000-0005-0000-0000-000024270000}"/>
    <cellStyle name="Input 3 5 3 2 2" xfId="23275" xr:uid="{00000000-0005-0000-0000-000025270000}"/>
    <cellStyle name="Input 3 5 3 3" xfId="13479" xr:uid="{00000000-0005-0000-0000-000026270000}"/>
    <cellStyle name="Input 3 5 3 3 2" xfId="28311" xr:uid="{00000000-0005-0000-0000-000027270000}"/>
    <cellStyle name="Input 3 5 3 4" xfId="20966" xr:uid="{00000000-0005-0000-0000-000028270000}"/>
    <cellStyle name="Input 3 5 4" xfId="4520" xr:uid="{00000000-0005-0000-0000-000029270000}"/>
    <cellStyle name="Input 3 5 4 2" xfId="8559" xr:uid="{00000000-0005-0000-0000-00002A270000}"/>
    <cellStyle name="Input 3 5 4 2 2" xfId="24185" xr:uid="{00000000-0005-0000-0000-00002B270000}"/>
    <cellStyle name="Input 3 5 4 3" xfId="14847" xr:uid="{00000000-0005-0000-0000-00002C270000}"/>
    <cellStyle name="Input 3 5 4 3 2" xfId="29679" xr:uid="{00000000-0005-0000-0000-00002D270000}"/>
    <cellStyle name="Input 3 5 4 4" xfId="21745" xr:uid="{00000000-0005-0000-0000-00002E270000}"/>
    <cellStyle name="Input 3 5 5" xfId="2510" xr:uid="{00000000-0005-0000-0000-00002F270000}"/>
    <cellStyle name="Input 3 5 5 2" xfId="6616" xr:uid="{00000000-0005-0000-0000-000030270000}"/>
    <cellStyle name="Input 3 5 5 2 2" xfId="22954" xr:uid="{00000000-0005-0000-0000-000031270000}"/>
    <cellStyle name="Input 3 5 5 3" xfId="12848" xr:uid="{00000000-0005-0000-0000-000032270000}"/>
    <cellStyle name="Input 3 5 5 3 2" xfId="27680" xr:uid="{00000000-0005-0000-0000-000033270000}"/>
    <cellStyle name="Input 3 5 5 4" xfId="20600" xr:uid="{00000000-0005-0000-0000-000034270000}"/>
    <cellStyle name="Input 3 5 6" xfId="5633" xr:uid="{00000000-0005-0000-0000-000035270000}"/>
    <cellStyle name="Input 3 5 6 2" xfId="15868" xr:uid="{00000000-0005-0000-0000-000036270000}"/>
    <cellStyle name="Input 3 5 6 2 2" xfId="30700" xr:uid="{00000000-0005-0000-0000-000037270000}"/>
    <cellStyle name="Input 3 5 6 3" xfId="22329" xr:uid="{00000000-0005-0000-0000-000038270000}"/>
    <cellStyle name="Input 3 5 7" xfId="11892" xr:uid="{00000000-0005-0000-0000-000039270000}"/>
    <cellStyle name="Input 3 5 7 2" xfId="26724" xr:uid="{00000000-0005-0000-0000-00003A270000}"/>
    <cellStyle name="Input 3 5 8" xfId="9550" xr:uid="{00000000-0005-0000-0000-00003B270000}"/>
    <cellStyle name="Input 3 5 8 2" xfId="19852" xr:uid="{00000000-0005-0000-0000-00003C270000}"/>
    <cellStyle name="Input 3 6" xfId="1753" xr:uid="{00000000-0005-0000-0000-00003D270000}"/>
    <cellStyle name="Input 3 6 2" xfId="4149" xr:uid="{00000000-0005-0000-0000-00003E270000}"/>
    <cellStyle name="Input 3 6 2 2" xfId="8192" xr:uid="{00000000-0005-0000-0000-00003F270000}"/>
    <cellStyle name="Input 3 6 2 2 2" xfId="23919" xr:uid="{00000000-0005-0000-0000-000040270000}"/>
    <cellStyle name="Input 3 6 2 3" xfId="14481" xr:uid="{00000000-0005-0000-0000-000041270000}"/>
    <cellStyle name="Input 3 6 2 3 2" xfId="29313" xr:uid="{00000000-0005-0000-0000-000042270000}"/>
    <cellStyle name="Input 3 6 2 4" xfId="21547" xr:uid="{00000000-0005-0000-0000-000043270000}"/>
    <cellStyle name="Input 3 6 3" xfId="4731" xr:uid="{00000000-0005-0000-0000-000044270000}"/>
    <cellStyle name="Input 3 6 3 2" xfId="8770" xr:uid="{00000000-0005-0000-0000-000045270000}"/>
    <cellStyle name="Input 3 6 3 2 2" xfId="24300" xr:uid="{00000000-0005-0000-0000-000046270000}"/>
    <cellStyle name="Input 3 6 3 3" xfId="15055" xr:uid="{00000000-0005-0000-0000-000047270000}"/>
    <cellStyle name="Input 3 6 3 3 2" xfId="29887" xr:uid="{00000000-0005-0000-0000-000048270000}"/>
    <cellStyle name="Input 3 6 3 4" xfId="21838" xr:uid="{00000000-0005-0000-0000-000049270000}"/>
    <cellStyle name="Input 3 6 4" xfId="2721" xr:uid="{00000000-0005-0000-0000-00004A270000}"/>
    <cellStyle name="Input 3 6 4 2" xfId="6812" xr:uid="{00000000-0005-0000-0000-00004B270000}"/>
    <cellStyle name="Input 3 6 4 2 2" xfId="23051" xr:uid="{00000000-0005-0000-0000-00004C270000}"/>
    <cellStyle name="Input 3 6 4 3" xfId="13059" xr:uid="{00000000-0005-0000-0000-00004D270000}"/>
    <cellStyle name="Input 3 6 4 3 2" xfId="27891" xr:uid="{00000000-0005-0000-0000-00004E270000}"/>
    <cellStyle name="Input 3 6 4 4" xfId="20711" xr:uid="{00000000-0005-0000-0000-00004F270000}"/>
    <cellStyle name="Input 3 6 5" xfId="5885" xr:uid="{00000000-0005-0000-0000-000050270000}"/>
    <cellStyle name="Input 3 6 5 2" xfId="16077" xr:uid="{00000000-0005-0000-0000-000051270000}"/>
    <cellStyle name="Input 3 6 5 2 2" xfId="30909" xr:uid="{00000000-0005-0000-0000-000052270000}"/>
    <cellStyle name="Input 3 6 5 3" xfId="22482" xr:uid="{00000000-0005-0000-0000-000053270000}"/>
    <cellStyle name="Input 3 6 6" xfId="12147" xr:uid="{00000000-0005-0000-0000-000054270000}"/>
    <cellStyle name="Input 3 6 6 2" xfId="26979" xr:uid="{00000000-0005-0000-0000-000055270000}"/>
    <cellStyle name="Input 3 6 7" xfId="9743" xr:uid="{00000000-0005-0000-0000-000056270000}"/>
    <cellStyle name="Input 3 6 7 2" xfId="20041" xr:uid="{00000000-0005-0000-0000-000057270000}"/>
    <cellStyle name="Input 3 7" xfId="2213" xr:uid="{00000000-0005-0000-0000-000058270000}"/>
    <cellStyle name="Input 3 7 2" xfId="3576" xr:uid="{00000000-0005-0000-0000-000059270000}"/>
    <cellStyle name="Input 3 7 2 2" xfId="7638" xr:uid="{00000000-0005-0000-0000-00005A270000}"/>
    <cellStyle name="Input 3 7 2 2 2" xfId="23561" xr:uid="{00000000-0005-0000-0000-00005B270000}"/>
    <cellStyle name="Input 3 7 2 3" xfId="13912" xr:uid="{00000000-0005-0000-0000-00005C270000}"/>
    <cellStyle name="Input 3 7 2 3 2" xfId="28744" xr:uid="{00000000-0005-0000-0000-00005D270000}"/>
    <cellStyle name="Input 3 7 2 4" xfId="21230" xr:uid="{00000000-0005-0000-0000-00005E270000}"/>
    <cellStyle name="Input 3 7 3" xfId="5181" xr:uid="{00000000-0005-0000-0000-00005F270000}"/>
    <cellStyle name="Input 3 7 3 2" xfId="9220" xr:uid="{00000000-0005-0000-0000-000060270000}"/>
    <cellStyle name="Input 3 7 3 2 2" xfId="24558" xr:uid="{00000000-0005-0000-0000-000061270000}"/>
    <cellStyle name="Input 3 7 3 3" xfId="15499" xr:uid="{00000000-0005-0000-0000-000062270000}"/>
    <cellStyle name="Input 3 7 3 3 2" xfId="30331" xr:uid="{00000000-0005-0000-0000-000063270000}"/>
    <cellStyle name="Input 3 7 3 4" xfId="22065" xr:uid="{00000000-0005-0000-0000-000064270000}"/>
    <cellStyle name="Input 3 7 4" xfId="4211" xr:uid="{00000000-0005-0000-0000-000065270000}"/>
    <cellStyle name="Input 3 7 4 2" xfId="8252" xr:uid="{00000000-0005-0000-0000-000066270000}"/>
    <cellStyle name="Input 3 7 4 2 2" xfId="23947" xr:uid="{00000000-0005-0000-0000-000067270000}"/>
    <cellStyle name="Input 3 7 4 3" xfId="14543" xr:uid="{00000000-0005-0000-0000-000068270000}"/>
    <cellStyle name="Input 3 7 4 3 2" xfId="29375" xr:uid="{00000000-0005-0000-0000-000069270000}"/>
    <cellStyle name="Input 3 7 4 4" xfId="21572" xr:uid="{00000000-0005-0000-0000-00006A270000}"/>
    <cellStyle name="Input 3 7 5" xfId="6327" xr:uid="{00000000-0005-0000-0000-00006B270000}"/>
    <cellStyle name="Input 3 7 5 2" xfId="22729" xr:uid="{00000000-0005-0000-0000-00006C270000}"/>
    <cellStyle name="Input 3 7 6" xfId="12581" xr:uid="{00000000-0005-0000-0000-00006D270000}"/>
    <cellStyle name="Input 3 7 6 2" xfId="27413" xr:uid="{00000000-0005-0000-0000-00006E270000}"/>
    <cellStyle name="Input 3 7 7" xfId="20408" xr:uid="{00000000-0005-0000-0000-00006F270000}"/>
    <cellStyle name="Input 3 8" xfId="3309" xr:uid="{00000000-0005-0000-0000-000070270000}"/>
    <cellStyle name="Input 3 8 2" xfId="7373" xr:uid="{00000000-0005-0000-0000-000071270000}"/>
    <cellStyle name="Input 3 8 2 2" xfId="23392" xr:uid="{00000000-0005-0000-0000-000072270000}"/>
    <cellStyle name="Input 3 8 3" xfId="13646" xr:uid="{00000000-0005-0000-0000-000073270000}"/>
    <cellStyle name="Input 3 8 3 2" xfId="28478" xr:uid="{00000000-0005-0000-0000-000074270000}"/>
    <cellStyle name="Input 3 8 4" xfId="21079" xr:uid="{00000000-0005-0000-0000-000075270000}"/>
    <cellStyle name="Input 3 9" xfId="3857" xr:uid="{00000000-0005-0000-0000-000076270000}"/>
    <cellStyle name="Input 3 9 2" xfId="7909" xr:uid="{00000000-0005-0000-0000-000077270000}"/>
    <cellStyle name="Input 3 9 2 2" xfId="23745" xr:uid="{00000000-0005-0000-0000-000078270000}"/>
    <cellStyle name="Input 3 9 3" xfId="14192" xr:uid="{00000000-0005-0000-0000-000079270000}"/>
    <cellStyle name="Input 3 9 3 2" xfId="29024" xr:uid="{00000000-0005-0000-0000-00007A270000}"/>
    <cellStyle name="Input 3 9 4" xfId="21387" xr:uid="{00000000-0005-0000-0000-00007B270000}"/>
    <cellStyle name="Input 4" xfId="1121" xr:uid="{00000000-0005-0000-0000-00007C270000}"/>
    <cellStyle name="Input 4 10" xfId="2292" xr:uid="{00000000-0005-0000-0000-00007D270000}"/>
    <cellStyle name="Input 4 10 2" xfId="6404" xr:uid="{00000000-0005-0000-0000-00007E270000}"/>
    <cellStyle name="Input 4 10 2 2" xfId="22806" xr:uid="{00000000-0005-0000-0000-00007F270000}"/>
    <cellStyle name="Input 4 10 3" xfId="12632" xr:uid="{00000000-0005-0000-0000-000080270000}"/>
    <cellStyle name="Input 4 10 3 2" xfId="27464" xr:uid="{00000000-0005-0000-0000-000081270000}"/>
    <cellStyle name="Input 4 10 4" xfId="20458" xr:uid="{00000000-0005-0000-0000-000082270000}"/>
    <cellStyle name="Input 4 11" xfId="5258" xr:uid="{00000000-0005-0000-0000-000083270000}"/>
    <cellStyle name="Input 4 11 2" xfId="15574" xr:uid="{00000000-0005-0000-0000-000084270000}"/>
    <cellStyle name="Input 4 11 2 2" xfId="30406" xr:uid="{00000000-0005-0000-0000-000085270000}"/>
    <cellStyle name="Input 4 11 3" xfId="22115" xr:uid="{00000000-0005-0000-0000-000086270000}"/>
    <cellStyle name="Input 4 12" xfId="5416" xr:uid="{00000000-0005-0000-0000-000087270000}"/>
    <cellStyle name="Input 4 12 2" xfId="15652" xr:uid="{00000000-0005-0000-0000-000088270000}"/>
    <cellStyle name="Input 4 12 2 2" xfId="30484" xr:uid="{00000000-0005-0000-0000-000089270000}"/>
    <cellStyle name="Input 4 12 3" xfId="22177" xr:uid="{00000000-0005-0000-0000-00008A270000}"/>
    <cellStyle name="Input 4 13" xfId="9375" xr:uid="{00000000-0005-0000-0000-00008B270000}"/>
    <cellStyle name="Input 4 13 2" xfId="24681" xr:uid="{00000000-0005-0000-0000-00008C270000}"/>
    <cellStyle name="Input 4 14" xfId="5364" xr:uid="{00000000-0005-0000-0000-00008D270000}"/>
    <cellStyle name="Input 4 14 2" xfId="18238" xr:uid="{00000000-0005-0000-0000-00008E270000}"/>
    <cellStyle name="Input 4 2" xfId="1328" xr:uid="{00000000-0005-0000-0000-00008F270000}"/>
    <cellStyle name="Input 4 2 2" xfId="1832" xr:uid="{00000000-0005-0000-0000-000090270000}"/>
    <cellStyle name="Input 4 2 2 2" xfId="3662" xr:uid="{00000000-0005-0000-0000-000091270000}"/>
    <cellStyle name="Input 4 2 2 2 2" xfId="7721" xr:uid="{00000000-0005-0000-0000-000092270000}"/>
    <cellStyle name="Input 4 2 2 2 2 2" xfId="23617" xr:uid="{00000000-0005-0000-0000-000093270000}"/>
    <cellStyle name="Input 4 2 2 2 3" xfId="13997" xr:uid="{00000000-0005-0000-0000-000094270000}"/>
    <cellStyle name="Input 4 2 2 2 3 2" xfId="28829" xr:uid="{00000000-0005-0000-0000-000095270000}"/>
    <cellStyle name="Input 4 2 2 2 4" xfId="21281" xr:uid="{00000000-0005-0000-0000-000096270000}"/>
    <cellStyle name="Input 4 2 2 3" xfId="4810" xr:uid="{00000000-0005-0000-0000-000097270000}"/>
    <cellStyle name="Input 4 2 2 3 2" xfId="8849" xr:uid="{00000000-0005-0000-0000-000098270000}"/>
    <cellStyle name="Input 4 2 2 3 2 2" xfId="24347" xr:uid="{00000000-0005-0000-0000-000099270000}"/>
    <cellStyle name="Input 4 2 2 3 3" xfId="15134" xr:uid="{00000000-0005-0000-0000-00009A270000}"/>
    <cellStyle name="Input 4 2 2 3 3 2" xfId="29966" xr:uid="{00000000-0005-0000-0000-00009B270000}"/>
    <cellStyle name="Input 4 2 2 3 4" xfId="21885" xr:uid="{00000000-0005-0000-0000-00009C270000}"/>
    <cellStyle name="Input 4 2 2 4" xfId="2800" xr:uid="{00000000-0005-0000-0000-00009D270000}"/>
    <cellStyle name="Input 4 2 2 4 2" xfId="6891" xr:uid="{00000000-0005-0000-0000-00009E270000}"/>
    <cellStyle name="Input 4 2 2 4 2 2" xfId="23098" xr:uid="{00000000-0005-0000-0000-00009F270000}"/>
    <cellStyle name="Input 4 2 2 4 3" xfId="13138" xr:uid="{00000000-0005-0000-0000-0000A0270000}"/>
    <cellStyle name="Input 4 2 2 4 3 2" xfId="27970" xr:uid="{00000000-0005-0000-0000-0000A1270000}"/>
    <cellStyle name="Input 4 2 2 4 4" xfId="20758" xr:uid="{00000000-0005-0000-0000-0000A2270000}"/>
    <cellStyle name="Input 4 2 2 5" xfId="5964" xr:uid="{00000000-0005-0000-0000-0000A3270000}"/>
    <cellStyle name="Input 4 2 2 5 2" xfId="16156" xr:uid="{00000000-0005-0000-0000-0000A4270000}"/>
    <cellStyle name="Input 4 2 2 5 2 2" xfId="30988" xr:uid="{00000000-0005-0000-0000-0000A5270000}"/>
    <cellStyle name="Input 4 2 2 5 3" xfId="22529" xr:uid="{00000000-0005-0000-0000-0000A6270000}"/>
    <cellStyle name="Input 4 2 2 6" xfId="12226" xr:uid="{00000000-0005-0000-0000-0000A7270000}"/>
    <cellStyle name="Input 4 2 2 6 2" xfId="27058" xr:uid="{00000000-0005-0000-0000-0000A8270000}"/>
    <cellStyle name="Input 4 2 2 7" xfId="9822" xr:uid="{00000000-0005-0000-0000-0000A9270000}"/>
    <cellStyle name="Input 4 2 2 7 2" xfId="20073" xr:uid="{00000000-0005-0000-0000-0000AA270000}"/>
    <cellStyle name="Input 4 2 3" xfId="3790" xr:uid="{00000000-0005-0000-0000-0000AB270000}"/>
    <cellStyle name="Input 4 2 3 2" xfId="7845" xr:uid="{00000000-0005-0000-0000-0000AC270000}"/>
    <cellStyle name="Input 4 2 3 2 2" xfId="23700" xr:uid="{00000000-0005-0000-0000-0000AD270000}"/>
    <cellStyle name="Input 4 2 3 3" xfId="14125" xr:uid="{00000000-0005-0000-0000-0000AE270000}"/>
    <cellStyle name="Input 4 2 3 3 2" xfId="28957" xr:uid="{00000000-0005-0000-0000-0000AF270000}"/>
    <cellStyle name="Input 4 2 3 4" xfId="21352" xr:uid="{00000000-0005-0000-0000-0000B0270000}"/>
    <cellStyle name="Input 4 2 4" xfId="4390" xr:uid="{00000000-0005-0000-0000-0000B1270000}"/>
    <cellStyle name="Input 4 2 4 2" xfId="8429" xr:uid="{00000000-0005-0000-0000-0000B2270000}"/>
    <cellStyle name="Input 4 2 4 2 2" xfId="24087" xr:uid="{00000000-0005-0000-0000-0000B3270000}"/>
    <cellStyle name="Input 4 2 4 3" xfId="14719" xr:uid="{00000000-0005-0000-0000-0000B4270000}"/>
    <cellStyle name="Input 4 2 4 3 2" xfId="29551" xr:uid="{00000000-0005-0000-0000-0000B5270000}"/>
    <cellStyle name="Input 4 2 4 4" xfId="21655" xr:uid="{00000000-0005-0000-0000-0000B6270000}"/>
    <cellStyle name="Input 4 2 5" xfId="2380" xr:uid="{00000000-0005-0000-0000-0000B7270000}"/>
    <cellStyle name="Input 4 2 5 2" xfId="6492" xr:uid="{00000000-0005-0000-0000-0000B8270000}"/>
    <cellStyle name="Input 4 2 5 2 2" xfId="22862" xr:uid="{00000000-0005-0000-0000-0000B9270000}"/>
    <cellStyle name="Input 4 2 5 3" xfId="12719" xr:uid="{00000000-0005-0000-0000-0000BA270000}"/>
    <cellStyle name="Input 4 2 5 3 2" xfId="27551" xr:uid="{00000000-0005-0000-0000-0000BB270000}"/>
    <cellStyle name="Input 4 2 5 4" xfId="20504" xr:uid="{00000000-0005-0000-0000-0000BC270000}"/>
    <cellStyle name="Input 4 2 6" xfId="5505" xr:uid="{00000000-0005-0000-0000-0000BD270000}"/>
    <cellStyle name="Input 4 2 6 2" xfId="15740" xr:uid="{00000000-0005-0000-0000-0000BE270000}"/>
    <cellStyle name="Input 4 2 6 2 2" xfId="30572" xr:uid="{00000000-0005-0000-0000-0000BF270000}"/>
    <cellStyle name="Input 4 2 6 3" xfId="22233" xr:uid="{00000000-0005-0000-0000-0000C0270000}"/>
    <cellStyle name="Input 4 2 7" xfId="11755" xr:uid="{00000000-0005-0000-0000-0000C1270000}"/>
    <cellStyle name="Input 4 2 7 2" xfId="26587" xr:uid="{00000000-0005-0000-0000-0000C2270000}"/>
    <cellStyle name="Input 4 2 8" xfId="9426" xr:uid="{00000000-0005-0000-0000-0000C3270000}"/>
    <cellStyle name="Input 4 2 8 2" xfId="19730" xr:uid="{00000000-0005-0000-0000-0000C4270000}"/>
    <cellStyle name="Input 4 3" xfId="1486" xr:uid="{00000000-0005-0000-0000-0000C5270000}"/>
    <cellStyle name="Input 4 3 2" xfId="1987" xr:uid="{00000000-0005-0000-0000-0000C6270000}"/>
    <cellStyle name="Input 4 3 2 2" xfId="3525" xr:uid="{00000000-0005-0000-0000-0000C7270000}"/>
    <cellStyle name="Input 4 3 2 2 2" xfId="7587" xr:uid="{00000000-0005-0000-0000-0000C8270000}"/>
    <cellStyle name="Input 4 3 2 2 2 2" xfId="23535" xr:uid="{00000000-0005-0000-0000-0000C9270000}"/>
    <cellStyle name="Input 4 3 2 2 3" xfId="13862" xr:uid="{00000000-0005-0000-0000-0000CA270000}"/>
    <cellStyle name="Input 4 3 2 2 3 2" xfId="28694" xr:uid="{00000000-0005-0000-0000-0000CB270000}"/>
    <cellStyle name="Input 4 3 2 2 4" xfId="21210" xr:uid="{00000000-0005-0000-0000-0000CC270000}"/>
    <cellStyle name="Input 4 3 2 3" xfId="4951" xr:uid="{00000000-0005-0000-0000-0000CD270000}"/>
    <cellStyle name="Input 4 3 2 3 2" xfId="8990" xr:uid="{00000000-0005-0000-0000-0000CE270000}"/>
    <cellStyle name="Input 4 3 2 3 2 2" xfId="24456" xr:uid="{00000000-0005-0000-0000-0000CF270000}"/>
    <cellStyle name="Input 4 3 2 3 3" xfId="15273" xr:uid="{00000000-0005-0000-0000-0000D0270000}"/>
    <cellStyle name="Input 4 3 2 3 3 2" xfId="30105" xr:uid="{00000000-0005-0000-0000-0000D1270000}"/>
    <cellStyle name="Input 4 3 2 3 4" xfId="21986" xr:uid="{00000000-0005-0000-0000-0000D2270000}"/>
    <cellStyle name="Input 4 3 2 4" xfId="2941" xr:uid="{00000000-0005-0000-0000-0000D3270000}"/>
    <cellStyle name="Input 4 3 2 4 2" xfId="7025" xr:uid="{00000000-0005-0000-0000-0000D4270000}"/>
    <cellStyle name="Input 4 3 2 4 2 2" xfId="23199" xr:uid="{00000000-0005-0000-0000-0000D5270000}"/>
    <cellStyle name="Input 4 3 2 4 3" xfId="13279" xr:uid="{00000000-0005-0000-0000-0000D6270000}"/>
    <cellStyle name="Input 4 3 2 4 3 2" xfId="28111" xr:uid="{00000000-0005-0000-0000-0000D7270000}"/>
    <cellStyle name="Input 4 3 2 4 4" xfId="20867" xr:uid="{00000000-0005-0000-0000-0000D8270000}"/>
    <cellStyle name="Input 4 3 2 5" xfId="6117" xr:uid="{00000000-0005-0000-0000-0000D9270000}"/>
    <cellStyle name="Input 4 3 2 5 2" xfId="16304" xr:uid="{00000000-0005-0000-0000-0000DA270000}"/>
    <cellStyle name="Input 4 3 2 5 2 2" xfId="31136" xr:uid="{00000000-0005-0000-0000-0000DB270000}"/>
    <cellStyle name="Input 4 3 2 5 3" xfId="22650" xr:uid="{00000000-0005-0000-0000-0000DC270000}"/>
    <cellStyle name="Input 4 3 2 6" xfId="12374" xr:uid="{00000000-0005-0000-0000-0000DD270000}"/>
    <cellStyle name="Input 4 3 2 6 2" xfId="27206" xr:uid="{00000000-0005-0000-0000-0000DE270000}"/>
    <cellStyle name="Input 4 3 2 7" xfId="9956" xr:uid="{00000000-0005-0000-0000-0000DF270000}"/>
    <cellStyle name="Input 4 3 2 7 2" xfId="20158" xr:uid="{00000000-0005-0000-0000-0000E0270000}"/>
    <cellStyle name="Input 4 3 3" xfId="4014" xr:uid="{00000000-0005-0000-0000-0000E1270000}"/>
    <cellStyle name="Input 4 3 3 2" xfId="8061" xr:uid="{00000000-0005-0000-0000-0000E2270000}"/>
    <cellStyle name="Input 4 3 3 2 2" xfId="23838" xr:uid="{00000000-0005-0000-0000-0000E3270000}"/>
    <cellStyle name="Input 4 3 3 3" xfId="14346" xr:uid="{00000000-0005-0000-0000-0000E4270000}"/>
    <cellStyle name="Input 4 3 3 3 2" xfId="29178" xr:uid="{00000000-0005-0000-0000-0000E5270000}"/>
    <cellStyle name="Input 4 3 3 4" xfId="21476" xr:uid="{00000000-0005-0000-0000-0000E6270000}"/>
    <cellStyle name="Input 4 3 4" xfId="4531" xr:uid="{00000000-0005-0000-0000-0000E7270000}"/>
    <cellStyle name="Input 4 3 4 2" xfId="8570" xr:uid="{00000000-0005-0000-0000-0000E8270000}"/>
    <cellStyle name="Input 4 3 4 2 2" xfId="24196" xr:uid="{00000000-0005-0000-0000-0000E9270000}"/>
    <cellStyle name="Input 4 3 4 3" xfId="14858" xr:uid="{00000000-0005-0000-0000-0000EA270000}"/>
    <cellStyle name="Input 4 3 4 3 2" xfId="29690" xr:uid="{00000000-0005-0000-0000-0000EB270000}"/>
    <cellStyle name="Input 4 3 4 4" xfId="21756" xr:uid="{00000000-0005-0000-0000-0000EC270000}"/>
    <cellStyle name="Input 4 3 5" xfId="2521" xr:uid="{00000000-0005-0000-0000-0000ED270000}"/>
    <cellStyle name="Input 4 3 5 2" xfId="6627" xr:uid="{00000000-0005-0000-0000-0000EE270000}"/>
    <cellStyle name="Input 4 3 5 2 2" xfId="22965" xr:uid="{00000000-0005-0000-0000-0000EF270000}"/>
    <cellStyle name="Input 4 3 5 3" xfId="12859" xr:uid="{00000000-0005-0000-0000-0000F0270000}"/>
    <cellStyle name="Input 4 3 5 3 2" xfId="27691" xr:uid="{00000000-0005-0000-0000-0000F1270000}"/>
    <cellStyle name="Input 4 3 5 4" xfId="20611" xr:uid="{00000000-0005-0000-0000-0000F2270000}"/>
    <cellStyle name="Input 4 3 6" xfId="5644" xr:uid="{00000000-0005-0000-0000-0000F3270000}"/>
    <cellStyle name="Input 4 3 6 2" xfId="15879" xr:uid="{00000000-0005-0000-0000-0000F4270000}"/>
    <cellStyle name="Input 4 3 6 2 2" xfId="30711" xr:uid="{00000000-0005-0000-0000-0000F5270000}"/>
    <cellStyle name="Input 4 3 6 3" xfId="22340" xr:uid="{00000000-0005-0000-0000-0000F6270000}"/>
    <cellStyle name="Input 4 3 7" xfId="11903" xr:uid="{00000000-0005-0000-0000-0000F7270000}"/>
    <cellStyle name="Input 4 3 7 2" xfId="26735" xr:uid="{00000000-0005-0000-0000-0000F8270000}"/>
    <cellStyle name="Input 4 3 8" xfId="9561" xr:uid="{00000000-0005-0000-0000-0000F9270000}"/>
    <cellStyle name="Input 4 3 8 2" xfId="19863" xr:uid="{00000000-0005-0000-0000-0000FA270000}"/>
    <cellStyle name="Input 4 4" xfId="1401" xr:uid="{00000000-0005-0000-0000-0000FB270000}"/>
    <cellStyle name="Input 4 4 2" xfId="1903" xr:uid="{00000000-0005-0000-0000-0000FC270000}"/>
    <cellStyle name="Input 4 4 2 2" xfId="3709" xr:uid="{00000000-0005-0000-0000-0000FD270000}"/>
    <cellStyle name="Input 4 4 2 2 2" xfId="7765" xr:uid="{00000000-0005-0000-0000-0000FE270000}"/>
    <cellStyle name="Input 4 4 2 2 2 2" xfId="23647" xr:uid="{00000000-0005-0000-0000-0000FF270000}"/>
    <cellStyle name="Input 4 4 2 2 3" xfId="14044" xr:uid="{00000000-0005-0000-0000-000000280000}"/>
    <cellStyle name="Input 4 4 2 2 3 2" xfId="28876" xr:uid="{00000000-0005-0000-0000-000001280000}"/>
    <cellStyle name="Input 4 4 2 2 4" xfId="21307" xr:uid="{00000000-0005-0000-0000-000002280000}"/>
    <cellStyle name="Input 4 4 2 3" xfId="4881" xr:uid="{00000000-0005-0000-0000-000003280000}"/>
    <cellStyle name="Input 4 4 2 3 2" xfId="8920" xr:uid="{00000000-0005-0000-0000-000004280000}"/>
    <cellStyle name="Input 4 4 2 3 2 2" xfId="24386" xr:uid="{00000000-0005-0000-0000-000005280000}"/>
    <cellStyle name="Input 4 4 2 3 3" xfId="15204" xr:uid="{00000000-0005-0000-0000-000006280000}"/>
    <cellStyle name="Input 4 4 2 3 3 2" xfId="30036" xr:uid="{00000000-0005-0000-0000-000007280000}"/>
    <cellStyle name="Input 4 4 2 3 4" xfId="21918" xr:uid="{00000000-0005-0000-0000-000008280000}"/>
    <cellStyle name="Input 4 4 2 4" xfId="2871" xr:uid="{00000000-0005-0000-0000-000009280000}"/>
    <cellStyle name="Input 4 4 2 4 2" xfId="6956" xr:uid="{00000000-0005-0000-0000-00000A280000}"/>
    <cellStyle name="Input 4 4 2 4 2 2" xfId="23131" xr:uid="{00000000-0005-0000-0000-00000B280000}"/>
    <cellStyle name="Input 4 4 2 4 3" xfId="13209" xr:uid="{00000000-0005-0000-0000-00000C280000}"/>
    <cellStyle name="Input 4 4 2 4 3 2" xfId="28041" xr:uid="{00000000-0005-0000-0000-00000D280000}"/>
    <cellStyle name="Input 4 4 2 4 4" xfId="20797" xr:uid="{00000000-0005-0000-0000-00000E280000}"/>
    <cellStyle name="Input 4 4 2 5" xfId="6034" xr:uid="{00000000-0005-0000-0000-00000F280000}"/>
    <cellStyle name="Input 4 4 2 5 2" xfId="16221" xr:uid="{00000000-0005-0000-0000-000010280000}"/>
    <cellStyle name="Input 4 4 2 5 2 2" xfId="31053" xr:uid="{00000000-0005-0000-0000-000011280000}"/>
    <cellStyle name="Input 4 4 2 5 3" xfId="22567" xr:uid="{00000000-0005-0000-0000-000012280000}"/>
    <cellStyle name="Input 4 4 2 6" xfId="12291" xr:uid="{00000000-0005-0000-0000-000013280000}"/>
    <cellStyle name="Input 4 4 2 6 2" xfId="27123" xr:uid="{00000000-0005-0000-0000-000014280000}"/>
    <cellStyle name="Input 4 4 2 7" xfId="9887" xr:uid="{00000000-0005-0000-0000-000015280000}"/>
    <cellStyle name="Input 4 4 2 7 2" xfId="20090" xr:uid="{00000000-0005-0000-0000-000016280000}"/>
    <cellStyle name="Input 4 4 3" xfId="3561" xr:uid="{00000000-0005-0000-0000-000017280000}"/>
    <cellStyle name="Input 4 4 3 2" xfId="7623" xr:uid="{00000000-0005-0000-0000-000018280000}"/>
    <cellStyle name="Input 4 4 3 2 2" xfId="23553" xr:uid="{00000000-0005-0000-0000-000019280000}"/>
    <cellStyle name="Input 4 4 3 3" xfId="13897" xr:uid="{00000000-0005-0000-0000-00001A280000}"/>
    <cellStyle name="Input 4 4 3 3 2" xfId="28729" xr:uid="{00000000-0005-0000-0000-00001B280000}"/>
    <cellStyle name="Input 4 4 3 4" xfId="21223" xr:uid="{00000000-0005-0000-0000-00001C280000}"/>
    <cellStyle name="Input 4 4 4" xfId="4461" xr:uid="{00000000-0005-0000-0000-00001D280000}"/>
    <cellStyle name="Input 4 4 4 2" xfId="8500" xr:uid="{00000000-0005-0000-0000-00001E280000}"/>
    <cellStyle name="Input 4 4 4 2 2" xfId="24126" xr:uid="{00000000-0005-0000-0000-00001F280000}"/>
    <cellStyle name="Input 4 4 4 3" xfId="14789" xr:uid="{00000000-0005-0000-0000-000020280000}"/>
    <cellStyle name="Input 4 4 4 3 2" xfId="29621" xr:uid="{00000000-0005-0000-0000-000021280000}"/>
    <cellStyle name="Input 4 4 4 4" xfId="21688" xr:uid="{00000000-0005-0000-0000-000022280000}"/>
    <cellStyle name="Input 4 4 5" xfId="2451" xr:uid="{00000000-0005-0000-0000-000023280000}"/>
    <cellStyle name="Input 4 4 5 2" xfId="6557" xr:uid="{00000000-0005-0000-0000-000024280000}"/>
    <cellStyle name="Input 4 4 5 2 2" xfId="22895" xr:uid="{00000000-0005-0000-0000-000025280000}"/>
    <cellStyle name="Input 4 4 5 3" xfId="12790" xr:uid="{00000000-0005-0000-0000-000026280000}"/>
    <cellStyle name="Input 4 4 5 3 2" xfId="27622" xr:uid="{00000000-0005-0000-0000-000027280000}"/>
    <cellStyle name="Input 4 4 5 4" xfId="20543" xr:uid="{00000000-0005-0000-0000-000028280000}"/>
    <cellStyle name="Input 4 4 6" xfId="5575" xr:uid="{00000000-0005-0000-0000-000029280000}"/>
    <cellStyle name="Input 4 4 6 2" xfId="15810" xr:uid="{00000000-0005-0000-0000-00002A280000}"/>
    <cellStyle name="Input 4 4 6 2 2" xfId="30642" xr:uid="{00000000-0005-0000-0000-00002B280000}"/>
    <cellStyle name="Input 4 4 6 3" xfId="22271" xr:uid="{00000000-0005-0000-0000-00002C280000}"/>
    <cellStyle name="Input 4 4 7" xfId="11820" xr:uid="{00000000-0005-0000-0000-00002D280000}"/>
    <cellStyle name="Input 4 4 7 2" xfId="26652" xr:uid="{00000000-0005-0000-0000-00002E280000}"/>
    <cellStyle name="Input 4 4 8" xfId="9492" xr:uid="{00000000-0005-0000-0000-00002F280000}"/>
    <cellStyle name="Input 4 4 8 2" xfId="19795" xr:uid="{00000000-0005-0000-0000-000030280000}"/>
    <cellStyle name="Input 4 5" xfId="1492" xr:uid="{00000000-0005-0000-0000-000031280000}"/>
    <cellStyle name="Input 4 5 2" xfId="1993" xr:uid="{00000000-0005-0000-0000-000032280000}"/>
    <cellStyle name="Input 4 5 2 2" xfId="4034" xr:uid="{00000000-0005-0000-0000-000033280000}"/>
    <cellStyle name="Input 4 5 2 2 2" xfId="8081" xr:uid="{00000000-0005-0000-0000-000034280000}"/>
    <cellStyle name="Input 4 5 2 2 2 2" xfId="23850" xr:uid="{00000000-0005-0000-0000-000035280000}"/>
    <cellStyle name="Input 4 5 2 2 3" xfId="14366" xr:uid="{00000000-0005-0000-0000-000036280000}"/>
    <cellStyle name="Input 4 5 2 2 3 2" xfId="29198" xr:uid="{00000000-0005-0000-0000-000037280000}"/>
    <cellStyle name="Input 4 5 2 2 4" xfId="21484" xr:uid="{00000000-0005-0000-0000-000038280000}"/>
    <cellStyle name="Input 4 5 2 3" xfId="4957" xr:uid="{00000000-0005-0000-0000-000039280000}"/>
    <cellStyle name="Input 4 5 2 3 2" xfId="8996" xr:uid="{00000000-0005-0000-0000-00003A280000}"/>
    <cellStyle name="Input 4 5 2 3 2 2" xfId="24462" xr:uid="{00000000-0005-0000-0000-00003B280000}"/>
    <cellStyle name="Input 4 5 2 3 3" xfId="15279" xr:uid="{00000000-0005-0000-0000-00003C280000}"/>
    <cellStyle name="Input 4 5 2 3 3 2" xfId="30111" xr:uid="{00000000-0005-0000-0000-00003D280000}"/>
    <cellStyle name="Input 4 5 2 3 4" xfId="21992" xr:uid="{00000000-0005-0000-0000-00003E280000}"/>
    <cellStyle name="Input 4 5 2 4" xfId="2947" xr:uid="{00000000-0005-0000-0000-00003F280000}"/>
    <cellStyle name="Input 4 5 2 4 2" xfId="7031" xr:uid="{00000000-0005-0000-0000-000040280000}"/>
    <cellStyle name="Input 4 5 2 4 2 2" xfId="23205" xr:uid="{00000000-0005-0000-0000-000041280000}"/>
    <cellStyle name="Input 4 5 2 4 3" xfId="13285" xr:uid="{00000000-0005-0000-0000-000042280000}"/>
    <cellStyle name="Input 4 5 2 4 3 2" xfId="28117" xr:uid="{00000000-0005-0000-0000-000043280000}"/>
    <cellStyle name="Input 4 5 2 4 4" xfId="20873" xr:uid="{00000000-0005-0000-0000-000044280000}"/>
    <cellStyle name="Input 4 5 2 5" xfId="6123" xr:uid="{00000000-0005-0000-0000-000045280000}"/>
    <cellStyle name="Input 4 5 2 5 2" xfId="16310" xr:uid="{00000000-0005-0000-0000-000046280000}"/>
    <cellStyle name="Input 4 5 2 5 2 2" xfId="31142" xr:uid="{00000000-0005-0000-0000-000047280000}"/>
    <cellStyle name="Input 4 5 2 5 3" xfId="22656" xr:uid="{00000000-0005-0000-0000-000048280000}"/>
    <cellStyle name="Input 4 5 2 6" xfId="12380" xr:uid="{00000000-0005-0000-0000-000049280000}"/>
    <cellStyle name="Input 4 5 2 6 2" xfId="27212" xr:uid="{00000000-0005-0000-0000-00004A280000}"/>
    <cellStyle name="Input 4 5 2 7" xfId="9962" xr:uid="{00000000-0005-0000-0000-00004B280000}"/>
    <cellStyle name="Input 4 5 2 7 2" xfId="20164" xr:uid="{00000000-0005-0000-0000-00004C280000}"/>
    <cellStyle name="Input 4 5 3" xfId="3998" xr:uid="{00000000-0005-0000-0000-00004D280000}"/>
    <cellStyle name="Input 4 5 3 2" xfId="8045" xr:uid="{00000000-0005-0000-0000-00004E280000}"/>
    <cellStyle name="Input 4 5 3 2 2" xfId="23828" xr:uid="{00000000-0005-0000-0000-00004F280000}"/>
    <cellStyle name="Input 4 5 3 3" xfId="14330" xr:uid="{00000000-0005-0000-0000-000050280000}"/>
    <cellStyle name="Input 4 5 3 3 2" xfId="29162" xr:uid="{00000000-0005-0000-0000-000051280000}"/>
    <cellStyle name="Input 4 5 3 4" xfId="21466" xr:uid="{00000000-0005-0000-0000-000052280000}"/>
    <cellStyle name="Input 4 5 4" xfId="4537" xr:uid="{00000000-0005-0000-0000-000053280000}"/>
    <cellStyle name="Input 4 5 4 2" xfId="8576" xr:uid="{00000000-0005-0000-0000-000054280000}"/>
    <cellStyle name="Input 4 5 4 2 2" xfId="24202" xr:uid="{00000000-0005-0000-0000-000055280000}"/>
    <cellStyle name="Input 4 5 4 3" xfId="14864" xr:uid="{00000000-0005-0000-0000-000056280000}"/>
    <cellStyle name="Input 4 5 4 3 2" xfId="29696" xr:uid="{00000000-0005-0000-0000-000057280000}"/>
    <cellStyle name="Input 4 5 4 4" xfId="21762" xr:uid="{00000000-0005-0000-0000-000058280000}"/>
    <cellStyle name="Input 4 5 5" xfId="2527" xr:uid="{00000000-0005-0000-0000-000059280000}"/>
    <cellStyle name="Input 4 5 5 2" xfId="6633" xr:uid="{00000000-0005-0000-0000-00005A280000}"/>
    <cellStyle name="Input 4 5 5 2 2" xfId="22971" xr:uid="{00000000-0005-0000-0000-00005B280000}"/>
    <cellStyle name="Input 4 5 5 3" xfId="12865" xr:uid="{00000000-0005-0000-0000-00005C280000}"/>
    <cellStyle name="Input 4 5 5 3 2" xfId="27697" xr:uid="{00000000-0005-0000-0000-00005D280000}"/>
    <cellStyle name="Input 4 5 5 4" xfId="20617" xr:uid="{00000000-0005-0000-0000-00005E280000}"/>
    <cellStyle name="Input 4 5 6" xfId="5650" xr:uid="{00000000-0005-0000-0000-00005F280000}"/>
    <cellStyle name="Input 4 5 6 2" xfId="15885" xr:uid="{00000000-0005-0000-0000-000060280000}"/>
    <cellStyle name="Input 4 5 6 2 2" xfId="30717" xr:uid="{00000000-0005-0000-0000-000061280000}"/>
    <cellStyle name="Input 4 5 6 3" xfId="22346" xr:uid="{00000000-0005-0000-0000-000062280000}"/>
    <cellStyle name="Input 4 5 7" xfId="11909" xr:uid="{00000000-0005-0000-0000-000063280000}"/>
    <cellStyle name="Input 4 5 7 2" xfId="26741" xr:uid="{00000000-0005-0000-0000-000064280000}"/>
    <cellStyle name="Input 4 5 8" xfId="9567" xr:uid="{00000000-0005-0000-0000-000065280000}"/>
    <cellStyle name="Input 4 5 8 2" xfId="19869" xr:uid="{00000000-0005-0000-0000-000066280000}"/>
    <cellStyle name="Input 4 6" xfId="1754" xr:uid="{00000000-0005-0000-0000-000067280000}"/>
    <cellStyle name="Input 4 6 2" xfId="3372" xr:uid="{00000000-0005-0000-0000-000068280000}"/>
    <cellStyle name="Input 4 6 2 2" xfId="7435" xr:uid="{00000000-0005-0000-0000-000069280000}"/>
    <cellStyle name="Input 4 6 2 2 2" xfId="23433" xr:uid="{00000000-0005-0000-0000-00006A280000}"/>
    <cellStyle name="Input 4 6 2 3" xfId="13709" xr:uid="{00000000-0005-0000-0000-00006B280000}"/>
    <cellStyle name="Input 4 6 2 3 2" xfId="28541" xr:uid="{00000000-0005-0000-0000-00006C280000}"/>
    <cellStyle name="Input 4 6 2 4" xfId="21115" xr:uid="{00000000-0005-0000-0000-00006D280000}"/>
    <cellStyle name="Input 4 6 3" xfId="4732" xr:uid="{00000000-0005-0000-0000-00006E280000}"/>
    <cellStyle name="Input 4 6 3 2" xfId="8771" xr:uid="{00000000-0005-0000-0000-00006F280000}"/>
    <cellStyle name="Input 4 6 3 2 2" xfId="24301" xr:uid="{00000000-0005-0000-0000-000070280000}"/>
    <cellStyle name="Input 4 6 3 3" xfId="15056" xr:uid="{00000000-0005-0000-0000-000071280000}"/>
    <cellStyle name="Input 4 6 3 3 2" xfId="29888" xr:uid="{00000000-0005-0000-0000-000072280000}"/>
    <cellStyle name="Input 4 6 3 4" xfId="21839" xr:uid="{00000000-0005-0000-0000-000073280000}"/>
    <cellStyle name="Input 4 6 4" xfId="2722" xr:uid="{00000000-0005-0000-0000-000074280000}"/>
    <cellStyle name="Input 4 6 4 2" xfId="6813" xr:uid="{00000000-0005-0000-0000-000075280000}"/>
    <cellStyle name="Input 4 6 4 2 2" xfId="23052" xr:uid="{00000000-0005-0000-0000-000076280000}"/>
    <cellStyle name="Input 4 6 4 3" xfId="13060" xr:uid="{00000000-0005-0000-0000-000077280000}"/>
    <cellStyle name="Input 4 6 4 3 2" xfId="27892" xr:uid="{00000000-0005-0000-0000-000078280000}"/>
    <cellStyle name="Input 4 6 4 4" xfId="20712" xr:uid="{00000000-0005-0000-0000-000079280000}"/>
    <cellStyle name="Input 4 6 5" xfId="5886" xr:uid="{00000000-0005-0000-0000-00007A280000}"/>
    <cellStyle name="Input 4 6 5 2" xfId="16078" xr:uid="{00000000-0005-0000-0000-00007B280000}"/>
    <cellStyle name="Input 4 6 5 2 2" xfId="30910" xr:uid="{00000000-0005-0000-0000-00007C280000}"/>
    <cellStyle name="Input 4 6 5 3" xfId="22483" xr:uid="{00000000-0005-0000-0000-00007D280000}"/>
    <cellStyle name="Input 4 6 6" xfId="12148" xr:uid="{00000000-0005-0000-0000-00007E280000}"/>
    <cellStyle name="Input 4 6 6 2" xfId="26980" xr:uid="{00000000-0005-0000-0000-00007F280000}"/>
    <cellStyle name="Input 4 6 7" xfId="9744" xr:uid="{00000000-0005-0000-0000-000080280000}"/>
    <cellStyle name="Input 4 6 7 2" xfId="20042" xr:uid="{00000000-0005-0000-0000-000081280000}"/>
    <cellStyle name="Input 4 7" xfId="2212" xr:uid="{00000000-0005-0000-0000-000082280000}"/>
    <cellStyle name="Input 4 7 2" xfId="3882" xr:uid="{00000000-0005-0000-0000-000083280000}"/>
    <cellStyle name="Input 4 7 2 2" xfId="7933" xr:uid="{00000000-0005-0000-0000-000084280000}"/>
    <cellStyle name="Input 4 7 2 2 2" xfId="23759" xr:uid="{00000000-0005-0000-0000-000085280000}"/>
    <cellStyle name="Input 4 7 2 3" xfId="14216" xr:uid="{00000000-0005-0000-0000-000086280000}"/>
    <cellStyle name="Input 4 7 2 3 2" xfId="29048" xr:uid="{00000000-0005-0000-0000-000087280000}"/>
    <cellStyle name="Input 4 7 2 4" xfId="21401" xr:uid="{00000000-0005-0000-0000-000088280000}"/>
    <cellStyle name="Input 4 7 3" xfId="5180" xr:uid="{00000000-0005-0000-0000-000089280000}"/>
    <cellStyle name="Input 4 7 3 2" xfId="9219" xr:uid="{00000000-0005-0000-0000-00008A280000}"/>
    <cellStyle name="Input 4 7 3 2 2" xfId="24557" xr:uid="{00000000-0005-0000-0000-00008B280000}"/>
    <cellStyle name="Input 4 7 3 3" xfId="15498" xr:uid="{00000000-0005-0000-0000-00008C280000}"/>
    <cellStyle name="Input 4 7 3 3 2" xfId="30330" xr:uid="{00000000-0005-0000-0000-00008D280000}"/>
    <cellStyle name="Input 4 7 3 4" xfId="22064" xr:uid="{00000000-0005-0000-0000-00008E280000}"/>
    <cellStyle name="Input 4 7 4" xfId="4210" xr:uid="{00000000-0005-0000-0000-00008F280000}"/>
    <cellStyle name="Input 4 7 4 2" xfId="8251" xr:uid="{00000000-0005-0000-0000-000090280000}"/>
    <cellStyle name="Input 4 7 4 2 2" xfId="23946" xr:uid="{00000000-0005-0000-0000-000091280000}"/>
    <cellStyle name="Input 4 7 4 3" xfId="14542" xr:uid="{00000000-0005-0000-0000-000092280000}"/>
    <cellStyle name="Input 4 7 4 3 2" xfId="29374" xr:uid="{00000000-0005-0000-0000-000093280000}"/>
    <cellStyle name="Input 4 7 4 4" xfId="21571" xr:uid="{00000000-0005-0000-0000-000094280000}"/>
    <cellStyle name="Input 4 7 5" xfId="6326" xr:uid="{00000000-0005-0000-0000-000095280000}"/>
    <cellStyle name="Input 4 7 5 2" xfId="22728" xr:uid="{00000000-0005-0000-0000-000096280000}"/>
    <cellStyle name="Input 4 7 6" xfId="12580" xr:uid="{00000000-0005-0000-0000-000097280000}"/>
    <cellStyle name="Input 4 7 6 2" xfId="27412" xr:uid="{00000000-0005-0000-0000-000098280000}"/>
    <cellStyle name="Input 4 7 7" xfId="20407" xr:uid="{00000000-0005-0000-0000-000099280000}"/>
    <cellStyle name="Input 4 8" xfId="3257" xr:uid="{00000000-0005-0000-0000-00009A280000}"/>
    <cellStyle name="Input 4 8 2" xfId="7321" xr:uid="{00000000-0005-0000-0000-00009B280000}"/>
    <cellStyle name="Input 4 8 2 2" xfId="23357" xr:uid="{00000000-0005-0000-0000-00009C280000}"/>
    <cellStyle name="Input 4 8 3" xfId="13594" xr:uid="{00000000-0005-0000-0000-00009D280000}"/>
    <cellStyle name="Input 4 8 3 2" xfId="28426" xr:uid="{00000000-0005-0000-0000-00009E280000}"/>
    <cellStyle name="Input 4 8 4" xfId="21044" xr:uid="{00000000-0005-0000-0000-00009F280000}"/>
    <cellStyle name="Input 4 9" xfId="3147" xr:uid="{00000000-0005-0000-0000-0000A0280000}"/>
    <cellStyle name="Input 4 9 2" xfId="7211" xr:uid="{00000000-0005-0000-0000-0000A1280000}"/>
    <cellStyle name="Input 4 9 2 2" xfId="23280" xr:uid="{00000000-0005-0000-0000-0000A2280000}"/>
    <cellStyle name="Input 4 9 3" xfId="13485" xr:uid="{00000000-0005-0000-0000-0000A3280000}"/>
    <cellStyle name="Input 4 9 3 2" xfId="28317" xr:uid="{00000000-0005-0000-0000-0000A4280000}"/>
    <cellStyle name="Input 4 9 4" xfId="20971" xr:uid="{00000000-0005-0000-0000-0000A5280000}"/>
    <cellStyle name="Input 5" xfId="1122" xr:uid="{00000000-0005-0000-0000-0000A6280000}"/>
    <cellStyle name="Input 5 10" xfId="2293" xr:uid="{00000000-0005-0000-0000-0000A7280000}"/>
    <cellStyle name="Input 5 10 2" xfId="6405" xr:uid="{00000000-0005-0000-0000-0000A8280000}"/>
    <cellStyle name="Input 5 10 2 2" xfId="22807" xr:uid="{00000000-0005-0000-0000-0000A9280000}"/>
    <cellStyle name="Input 5 10 3" xfId="12633" xr:uid="{00000000-0005-0000-0000-0000AA280000}"/>
    <cellStyle name="Input 5 10 3 2" xfId="27465" xr:uid="{00000000-0005-0000-0000-0000AB280000}"/>
    <cellStyle name="Input 5 10 4" xfId="20459" xr:uid="{00000000-0005-0000-0000-0000AC280000}"/>
    <cellStyle name="Input 5 11" xfId="5259" xr:uid="{00000000-0005-0000-0000-0000AD280000}"/>
    <cellStyle name="Input 5 11 2" xfId="15575" xr:uid="{00000000-0005-0000-0000-0000AE280000}"/>
    <cellStyle name="Input 5 11 2 2" xfId="30407" xr:uid="{00000000-0005-0000-0000-0000AF280000}"/>
    <cellStyle name="Input 5 11 3" xfId="22116" xr:uid="{00000000-0005-0000-0000-0000B0280000}"/>
    <cellStyle name="Input 5 12" xfId="5417" xr:uid="{00000000-0005-0000-0000-0000B1280000}"/>
    <cellStyle name="Input 5 12 2" xfId="15653" xr:uid="{00000000-0005-0000-0000-0000B2280000}"/>
    <cellStyle name="Input 5 12 2 2" xfId="30485" xr:uid="{00000000-0005-0000-0000-0000B3280000}"/>
    <cellStyle name="Input 5 12 3" xfId="22178" xr:uid="{00000000-0005-0000-0000-0000B4280000}"/>
    <cellStyle name="Input 5 13" xfId="9374" xr:uid="{00000000-0005-0000-0000-0000B5280000}"/>
    <cellStyle name="Input 5 13 2" xfId="24680" xr:uid="{00000000-0005-0000-0000-0000B6280000}"/>
    <cellStyle name="Input 5 14" xfId="5363" xr:uid="{00000000-0005-0000-0000-0000B7280000}"/>
    <cellStyle name="Input 5 14 2" xfId="18237" xr:uid="{00000000-0005-0000-0000-0000B8280000}"/>
    <cellStyle name="Input 5 2" xfId="1329" xr:uid="{00000000-0005-0000-0000-0000B9280000}"/>
    <cellStyle name="Input 5 2 2" xfId="1833" xr:uid="{00000000-0005-0000-0000-0000BA280000}"/>
    <cellStyle name="Input 5 2 2 2" xfId="3695" xr:uid="{00000000-0005-0000-0000-0000BB280000}"/>
    <cellStyle name="Input 5 2 2 2 2" xfId="7751" xr:uid="{00000000-0005-0000-0000-0000BC280000}"/>
    <cellStyle name="Input 5 2 2 2 2 2" xfId="23636" xr:uid="{00000000-0005-0000-0000-0000BD280000}"/>
    <cellStyle name="Input 5 2 2 2 3" xfId="14030" xr:uid="{00000000-0005-0000-0000-0000BE280000}"/>
    <cellStyle name="Input 5 2 2 2 3 2" xfId="28862" xr:uid="{00000000-0005-0000-0000-0000BF280000}"/>
    <cellStyle name="Input 5 2 2 2 4" xfId="21297" xr:uid="{00000000-0005-0000-0000-0000C0280000}"/>
    <cellStyle name="Input 5 2 2 3" xfId="4811" xr:uid="{00000000-0005-0000-0000-0000C1280000}"/>
    <cellStyle name="Input 5 2 2 3 2" xfId="8850" xr:uid="{00000000-0005-0000-0000-0000C2280000}"/>
    <cellStyle name="Input 5 2 2 3 2 2" xfId="24348" xr:uid="{00000000-0005-0000-0000-0000C3280000}"/>
    <cellStyle name="Input 5 2 2 3 3" xfId="15135" xr:uid="{00000000-0005-0000-0000-0000C4280000}"/>
    <cellStyle name="Input 5 2 2 3 3 2" xfId="29967" xr:uid="{00000000-0005-0000-0000-0000C5280000}"/>
    <cellStyle name="Input 5 2 2 3 4" xfId="21886" xr:uid="{00000000-0005-0000-0000-0000C6280000}"/>
    <cellStyle name="Input 5 2 2 4" xfId="2801" xr:uid="{00000000-0005-0000-0000-0000C7280000}"/>
    <cellStyle name="Input 5 2 2 4 2" xfId="6892" xr:uid="{00000000-0005-0000-0000-0000C8280000}"/>
    <cellStyle name="Input 5 2 2 4 2 2" xfId="23099" xr:uid="{00000000-0005-0000-0000-0000C9280000}"/>
    <cellStyle name="Input 5 2 2 4 3" xfId="13139" xr:uid="{00000000-0005-0000-0000-0000CA280000}"/>
    <cellStyle name="Input 5 2 2 4 3 2" xfId="27971" xr:uid="{00000000-0005-0000-0000-0000CB280000}"/>
    <cellStyle name="Input 5 2 2 4 4" xfId="20759" xr:uid="{00000000-0005-0000-0000-0000CC280000}"/>
    <cellStyle name="Input 5 2 2 5" xfId="5965" xr:uid="{00000000-0005-0000-0000-0000CD280000}"/>
    <cellStyle name="Input 5 2 2 5 2" xfId="16157" xr:uid="{00000000-0005-0000-0000-0000CE280000}"/>
    <cellStyle name="Input 5 2 2 5 2 2" xfId="30989" xr:uid="{00000000-0005-0000-0000-0000CF280000}"/>
    <cellStyle name="Input 5 2 2 5 3" xfId="22530" xr:uid="{00000000-0005-0000-0000-0000D0280000}"/>
    <cellStyle name="Input 5 2 2 6" xfId="12227" xr:uid="{00000000-0005-0000-0000-0000D1280000}"/>
    <cellStyle name="Input 5 2 2 6 2" xfId="27059" xr:uid="{00000000-0005-0000-0000-0000D2280000}"/>
    <cellStyle name="Input 5 2 2 7" xfId="9823" xr:uid="{00000000-0005-0000-0000-0000D3280000}"/>
    <cellStyle name="Input 5 2 2 7 2" xfId="20074" xr:uid="{00000000-0005-0000-0000-0000D4280000}"/>
    <cellStyle name="Input 5 2 3" xfId="3819" xr:uid="{00000000-0005-0000-0000-0000D5280000}"/>
    <cellStyle name="Input 5 2 3 2" xfId="7872" xr:uid="{00000000-0005-0000-0000-0000D6280000}"/>
    <cellStyle name="Input 5 2 3 2 2" xfId="23719" xr:uid="{00000000-0005-0000-0000-0000D7280000}"/>
    <cellStyle name="Input 5 2 3 3" xfId="14154" xr:uid="{00000000-0005-0000-0000-0000D8280000}"/>
    <cellStyle name="Input 5 2 3 3 2" xfId="28986" xr:uid="{00000000-0005-0000-0000-0000D9280000}"/>
    <cellStyle name="Input 5 2 3 4" xfId="21367" xr:uid="{00000000-0005-0000-0000-0000DA280000}"/>
    <cellStyle name="Input 5 2 4" xfId="4391" xr:uid="{00000000-0005-0000-0000-0000DB280000}"/>
    <cellStyle name="Input 5 2 4 2" xfId="8430" xr:uid="{00000000-0005-0000-0000-0000DC280000}"/>
    <cellStyle name="Input 5 2 4 2 2" xfId="24088" xr:uid="{00000000-0005-0000-0000-0000DD280000}"/>
    <cellStyle name="Input 5 2 4 3" xfId="14720" xr:uid="{00000000-0005-0000-0000-0000DE280000}"/>
    <cellStyle name="Input 5 2 4 3 2" xfId="29552" xr:uid="{00000000-0005-0000-0000-0000DF280000}"/>
    <cellStyle name="Input 5 2 4 4" xfId="21656" xr:uid="{00000000-0005-0000-0000-0000E0280000}"/>
    <cellStyle name="Input 5 2 5" xfId="2381" xr:uid="{00000000-0005-0000-0000-0000E1280000}"/>
    <cellStyle name="Input 5 2 5 2" xfId="6493" xr:uid="{00000000-0005-0000-0000-0000E2280000}"/>
    <cellStyle name="Input 5 2 5 2 2" xfId="22863" xr:uid="{00000000-0005-0000-0000-0000E3280000}"/>
    <cellStyle name="Input 5 2 5 3" xfId="12720" xr:uid="{00000000-0005-0000-0000-0000E4280000}"/>
    <cellStyle name="Input 5 2 5 3 2" xfId="27552" xr:uid="{00000000-0005-0000-0000-0000E5280000}"/>
    <cellStyle name="Input 5 2 5 4" xfId="20505" xr:uid="{00000000-0005-0000-0000-0000E6280000}"/>
    <cellStyle name="Input 5 2 6" xfId="5506" xr:uid="{00000000-0005-0000-0000-0000E7280000}"/>
    <cellStyle name="Input 5 2 6 2" xfId="15741" xr:uid="{00000000-0005-0000-0000-0000E8280000}"/>
    <cellStyle name="Input 5 2 6 2 2" xfId="30573" xr:uid="{00000000-0005-0000-0000-0000E9280000}"/>
    <cellStyle name="Input 5 2 6 3" xfId="22234" xr:uid="{00000000-0005-0000-0000-0000EA280000}"/>
    <cellStyle name="Input 5 2 7" xfId="11756" xr:uid="{00000000-0005-0000-0000-0000EB280000}"/>
    <cellStyle name="Input 5 2 7 2" xfId="26588" xr:uid="{00000000-0005-0000-0000-0000EC280000}"/>
    <cellStyle name="Input 5 2 8" xfId="9427" xr:uid="{00000000-0005-0000-0000-0000ED280000}"/>
    <cellStyle name="Input 5 2 8 2" xfId="19731" xr:uid="{00000000-0005-0000-0000-0000EE280000}"/>
    <cellStyle name="Input 5 3" xfId="1487" xr:uid="{00000000-0005-0000-0000-0000EF280000}"/>
    <cellStyle name="Input 5 3 2" xfId="1988" xr:uid="{00000000-0005-0000-0000-0000F0280000}"/>
    <cellStyle name="Input 5 3 2 2" xfId="3910" xr:uid="{00000000-0005-0000-0000-0000F1280000}"/>
    <cellStyle name="Input 5 3 2 2 2" xfId="7961" xr:uid="{00000000-0005-0000-0000-0000F2280000}"/>
    <cellStyle name="Input 5 3 2 2 2 2" xfId="23773" xr:uid="{00000000-0005-0000-0000-0000F3280000}"/>
    <cellStyle name="Input 5 3 2 2 3" xfId="14243" xr:uid="{00000000-0005-0000-0000-0000F4280000}"/>
    <cellStyle name="Input 5 3 2 2 3 2" xfId="29075" xr:uid="{00000000-0005-0000-0000-0000F5280000}"/>
    <cellStyle name="Input 5 3 2 2 4" xfId="21414" xr:uid="{00000000-0005-0000-0000-0000F6280000}"/>
    <cellStyle name="Input 5 3 2 3" xfId="4952" xr:uid="{00000000-0005-0000-0000-0000F7280000}"/>
    <cellStyle name="Input 5 3 2 3 2" xfId="8991" xr:uid="{00000000-0005-0000-0000-0000F8280000}"/>
    <cellStyle name="Input 5 3 2 3 2 2" xfId="24457" xr:uid="{00000000-0005-0000-0000-0000F9280000}"/>
    <cellStyle name="Input 5 3 2 3 3" xfId="15274" xr:uid="{00000000-0005-0000-0000-0000FA280000}"/>
    <cellStyle name="Input 5 3 2 3 3 2" xfId="30106" xr:uid="{00000000-0005-0000-0000-0000FB280000}"/>
    <cellStyle name="Input 5 3 2 3 4" xfId="21987" xr:uid="{00000000-0005-0000-0000-0000FC280000}"/>
    <cellStyle name="Input 5 3 2 4" xfId="2942" xr:uid="{00000000-0005-0000-0000-0000FD280000}"/>
    <cellStyle name="Input 5 3 2 4 2" xfId="7026" xr:uid="{00000000-0005-0000-0000-0000FE280000}"/>
    <cellStyle name="Input 5 3 2 4 2 2" xfId="23200" xr:uid="{00000000-0005-0000-0000-0000FF280000}"/>
    <cellStyle name="Input 5 3 2 4 3" xfId="13280" xr:uid="{00000000-0005-0000-0000-000000290000}"/>
    <cellStyle name="Input 5 3 2 4 3 2" xfId="28112" xr:uid="{00000000-0005-0000-0000-000001290000}"/>
    <cellStyle name="Input 5 3 2 4 4" xfId="20868" xr:uid="{00000000-0005-0000-0000-000002290000}"/>
    <cellStyle name="Input 5 3 2 5" xfId="6118" xr:uid="{00000000-0005-0000-0000-000003290000}"/>
    <cellStyle name="Input 5 3 2 5 2" xfId="16305" xr:uid="{00000000-0005-0000-0000-000004290000}"/>
    <cellStyle name="Input 5 3 2 5 2 2" xfId="31137" xr:uid="{00000000-0005-0000-0000-000005290000}"/>
    <cellStyle name="Input 5 3 2 5 3" xfId="22651" xr:uid="{00000000-0005-0000-0000-000006290000}"/>
    <cellStyle name="Input 5 3 2 6" xfId="12375" xr:uid="{00000000-0005-0000-0000-000007290000}"/>
    <cellStyle name="Input 5 3 2 6 2" xfId="27207" xr:uid="{00000000-0005-0000-0000-000008290000}"/>
    <cellStyle name="Input 5 3 2 7" xfId="9957" xr:uid="{00000000-0005-0000-0000-000009290000}"/>
    <cellStyle name="Input 5 3 2 7 2" xfId="20159" xr:uid="{00000000-0005-0000-0000-00000A290000}"/>
    <cellStyle name="Input 5 3 3" xfId="3949" xr:uid="{00000000-0005-0000-0000-00000B290000}"/>
    <cellStyle name="Input 5 3 3 2" xfId="7999" xr:uid="{00000000-0005-0000-0000-00000C290000}"/>
    <cellStyle name="Input 5 3 3 2 2" xfId="23799" xr:uid="{00000000-0005-0000-0000-00000D290000}"/>
    <cellStyle name="Input 5 3 3 3" xfId="14282" xr:uid="{00000000-0005-0000-0000-00000E290000}"/>
    <cellStyle name="Input 5 3 3 3 2" xfId="29114" xr:uid="{00000000-0005-0000-0000-00000F290000}"/>
    <cellStyle name="Input 5 3 3 4" xfId="21441" xr:uid="{00000000-0005-0000-0000-000010290000}"/>
    <cellStyle name="Input 5 3 4" xfId="4532" xr:uid="{00000000-0005-0000-0000-000011290000}"/>
    <cellStyle name="Input 5 3 4 2" xfId="8571" xr:uid="{00000000-0005-0000-0000-000012290000}"/>
    <cellStyle name="Input 5 3 4 2 2" xfId="24197" xr:uid="{00000000-0005-0000-0000-000013290000}"/>
    <cellStyle name="Input 5 3 4 3" xfId="14859" xr:uid="{00000000-0005-0000-0000-000014290000}"/>
    <cellStyle name="Input 5 3 4 3 2" xfId="29691" xr:uid="{00000000-0005-0000-0000-000015290000}"/>
    <cellStyle name="Input 5 3 4 4" xfId="21757" xr:uid="{00000000-0005-0000-0000-000016290000}"/>
    <cellStyle name="Input 5 3 5" xfId="2522" xr:uid="{00000000-0005-0000-0000-000017290000}"/>
    <cellStyle name="Input 5 3 5 2" xfId="6628" xr:uid="{00000000-0005-0000-0000-000018290000}"/>
    <cellStyle name="Input 5 3 5 2 2" xfId="22966" xr:uid="{00000000-0005-0000-0000-000019290000}"/>
    <cellStyle name="Input 5 3 5 3" xfId="12860" xr:uid="{00000000-0005-0000-0000-00001A290000}"/>
    <cellStyle name="Input 5 3 5 3 2" xfId="27692" xr:uid="{00000000-0005-0000-0000-00001B290000}"/>
    <cellStyle name="Input 5 3 5 4" xfId="20612" xr:uid="{00000000-0005-0000-0000-00001C290000}"/>
    <cellStyle name="Input 5 3 6" xfId="5645" xr:uid="{00000000-0005-0000-0000-00001D290000}"/>
    <cellStyle name="Input 5 3 6 2" xfId="15880" xr:uid="{00000000-0005-0000-0000-00001E290000}"/>
    <cellStyle name="Input 5 3 6 2 2" xfId="30712" xr:uid="{00000000-0005-0000-0000-00001F290000}"/>
    <cellStyle name="Input 5 3 6 3" xfId="22341" xr:uid="{00000000-0005-0000-0000-000020290000}"/>
    <cellStyle name="Input 5 3 7" xfId="11904" xr:uid="{00000000-0005-0000-0000-000021290000}"/>
    <cellStyle name="Input 5 3 7 2" xfId="26736" xr:uid="{00000000-0005-0000-0000-000022290000}"/>
    <cellStyle name="Input 5 3 8" xfId="9562" xr:uid="{00000000-0005-0000-0000-000023290000}"/>
    <cellStyle name="Input 5 3 8 2" xfId="19864" xr:uid="{00000000-0005-0000-0000-000024290000}"/>
    <cellStyle name="Input 5 4" xfId="1506" xr:uid="{00000000-0005-0000-0000-000025290000}"/>
    <cellStyle name="Input 5 4 2" xfId="2003" xr:uid="{00000000-0005-0000-0000-000026290000}"/>
    <cellStyle name="Input 5 4 2 2" xfId="3484" xr:uid="{00000000-0005-0000-0000-000027290000}"/>
    <cellStyle name="Input 5 4 2 2 2" xfId="7546" xr:uid="{00000000-0005-0000-0000-000028290000}"/>
    <cellStyle name="Input 5 4 2 2 2 2" xfId="23510" xr:uid="{00000000-0005-0000-0000-000029290000}"/>
    <cellStyle name="Input 5 4 2 2 3" xfId="13821" xr:uid="{00000000-0005-0000-0000-00002A290000}"/>
    <cellStyle name="Input 5 4 2 2 3 2" xfId="28653" xr:uid="{00000000-0005-0000-0000-00002B290000}"/>
    <cellStyle name="Input 5 4 2 2 4" xfId="21186" xr:uid="{00000000-0005-0000-0000-00002C290000}"/>
    <cellStyle name="Input 5 4 2 3" xfId="4971" xr:uid="{00000000-0005-0000-0000-00002D290000}"/>
    <cellStyle name="Input 5 4 2 3 2" xfId="9010" xr:uid="{00000000-0005-0000-0000-00002E290000}"/>
    <cellStyle name="Input 5 4 2 3 2 2" xfId="24476" xr:uid="{00000000-0005-0000-0000-00002F290000}"/>
    <cellStyle name="Input 5 4 2 3 3" xfId="15293" xr:uid="{00000000-0005-0000-0000-000030290000}"/>
    <cellStyle name="Input 5 4 2 3 3 2" xfId="30125" xr:uid="{00000000-0005-0000-0000-000031290000}"/>
    <cellStyle name="Input 5 4 2 3 4" xfId="22002" xr:uid="{00000000-0005-0000-0000-000032290000}"/>
    <cellStyle name="Input 5 4 2 4" xfId="2961" xr:uid="{00000000-0005-0000-0000-000033290000}"/>
    <cellStyle name="Input 5 4 2 4 2" xfId="7041" xr:uid="{00000000-0005-0000-0000-000034290000}"/>
    <cellStyle name="Input 5 4 2 4 2 2" xfId="23215" xr:uid="{00000000-0005-0000-0000-000035290000}"/>
    <cellStyle name="Input 5 4 2 4 3" xfId="13299" xr:uid="{00000000-0005-0000-0000-000036290000}"/>
    <cellStyle name="Input 5 4 2 4 3 2" xfId="28131" xr:uid="{00000000-0005-0000-0000-000037290000}"/>
    <cellStyle name="Input 5 4 2 4 4" xfId="20887" xr:uid="{00000000-0005-0000-0000-000038290000}"/>
    <cellStyle name="Input 5 4 2 5" xfId="6133" xr:uid="{00000000-0005-0000-0000-000039290000}"/>
    <cellStyle name="Input 5 4 2 5 2" xfId="16320" xr:uid="{00000000-0005-0000-0000-00003A290000}"/>
    <cellStyle name="Input 5 4 2 5 2 2" xfId="31152" xr:uid="{00000000-0005-0000-0000-00003B290000}"/>
    <cellStyle name="Input 5 4 2 5 3" xfId="22666" xr:uid="{00000000-0005-0000-0000-00003C290000}"/>
    <cellStyle name="Input 5 4 2 6" xfId="12390" xr:uid="{00000000-0005-0000-0000-00003D290000}"/>
    <cellStyle name="Input 5 4 2 6 2" xfId="27222" xr:uid="{00000000-0005-0000-0000-00003E290000}"/>
    <cellStyle name="Input 5 4 2 7" xfId="9972" xr:uid="{00000000-0005-0000-0000-00003F290000}"/>
    <cellStyle name="Input 5 4 2 7 2" xfId="20170" xr:uid="{00000000-0005-0000-0000-000040290000}"/>
    <cellStyle name="Input 5 4 3" xfId="3286" xr:uid="{00000000-0005-0000-0000-000041290000}"/>
    <cellStyle name="Input 5 4 3 2" xfId="7350" xr:uid="{00000000-0005-0000-0000-000042290000}"/>
    <cellStyle name="Input 5 4 3 2 2" xfId="23377" xr:uid="{00000000-0005-0000-0000-000043290000}"/>
    <cellStyle name="Input 5 4 3 3" xfId="13623" xr:uid="{00000000-0005-0000-0000-000044290000}"/>
    <cellStyle name="Input 5 4 3 3 2" xfId="28455" xr:uid="{00000000-0005-0000-0000-000045290000}"/>
    <cellStyle name="Input 5 4 3 4" xfId="21064" xr:uid="{00000000-0005-0000-0000-000046290000}"/>
    <cellStyle name="Input 5 4 4" xfId="4551" xr:uid="{00000000-0005-0000-0000-000047290000}"/>
    <cellStyle name="Input 5 4 4 2" xfId="8590" xr:uid="{00000000-0005-0000-0000-000048290000}"/>
    <cellStyle name="Input 5 4 4 2 2" xfId="24216" xr:uid="{00000000-0005-0000-0000-000049290000}"/>
    <cellStyle name="Input 5 4 4 3" xfId="14878" xr:uid="{00000000-0005-0000-0000-00004A290000}"/>
    <cellStyle name="Input 5 4 4 3 2" xfId="29710" xr:uid="{00000000-0005-0000-0000-00004B290000}"/>
    <cellStyle name="Input 5 4 4 4" xfId="21772" xr:uid="{00000000-0005-0000-0000-00004C290000}"/>
    <cellStyle name="Input 5 4 5" xfId="2541" xr:uid="{00000000-0005-0000-0000-00004D290000}"/>
    <cellStyle name="Input 5 4 5 2" xfId="6647" xr:uid="{00000000-0005-0000-0000-00004E290000}"/>
    <cellStyle name="Input 5 4 5 2 2" xfId="22985" xr:uid="{00000000-0005-0000-0000-00004F290000}"/>
    <cellStyle name="Input 5 4 5 3" xfId="12879" xr:uid="{00000000-0005-0000-0000-000050290000}"/>
    <cellStyle name="Input 5 4 5 3 2" xfId="27711" xr:uid="{00000000-0005-0000-0000-000051290000}"/>
    <cellStyle name="Input 5 4 5 4" xfId="20627" xr:uid="{00000000-0005-0000-0000-000052290000}"/>
    <cellStyle name="Input 5 4 6" xfId="5664" xr:uid="{00000000-0005-0000-0000-000053290000}"/>
    <cellStyle name="Input 5 4 6 2" xfId="15899" xr:uid="{00000000-0005-0000-0000-000054290000}"/>
    <cellStyle name="Input 5 4 6 2 2" xfId="30731" xr:uid="{00000000-0005-0000-0000-000055290000}"/>
    <cellStyle name="Input 5 4 6 3" xfId="22360" xr:uid="{00000000-0005-0000-0000-000056290000}"/>
    <cellStyle name="Input 5 4 7" xfId="11919" xr:uid="{00000000-0005-0000-0000-000057290000}"/>
    <cellStyle name="Input 5 4 7 2" xfId="26751" xr:uid="{00000000-0005-0000-0000-000058290000}"/>
    <cellStyle name="Input 5 4 8" xfId="9577" xr:uid="{00000000-0005-0000-0000-000059290000}"/>
    <cellStyle name="Input 5 4 8 2" xfId="19879" xr:uid="{00000000-0005-0000-0000-00005A290000}"/>
    <cellStyle name="Input 5 5" xfId="1493" xr:uid="{00000000-0005-0000-0000-00005B290000}"/>
    <cellStyle name="Input 5 5 2" xfId="1994" xr:uid="{00000000-0005-0000-0000-00005C290000}"/>
    <cellStyle name="Input 5 5 2 2" xfId="3474" xr:uid="{00000000-0005-0000-0000-00005D290000}"/>
    <cellStyle name="Input 5 5 2 2 2" xfId="7536" xr:uid="{00000000-0005-0000-0000-00005E290000}"/>
    <cellStyle name="Input 5 5 2 2 2 2" xfId="23502" xr:uid="{00000000-0005-0000-0000-00005F290000}"/>
    <cellStyle name="Input 5 5 2 2 3" xfId="13811" xr:uid="{00000000-0005-0000-0000-000060290000}"/>
    <cellStyle name="Input 5 5 2 2 3 2" xfId="28643" xr:uid="{00000000-0005-0000-0000-000061290000}"/>
    <cellStyle name="Input 5 5 2 2 4" xfId="21178" xr:uid="{00000000-0005-0000-0000-000062290000}"/>
    <cellStyle name="Input 5 5 2 3" xfId="4958" xr:uid="{00000000-0005-0000-0000-000063290000}"/>
    <cellStyle name="Input 5 5 2 3 2" xfId="8997" xr:uid="{00000000-0005-0000-0000-000064290000}"/>
    <cellStyle name="Input 5 5 2 3 2 2" xfId="24463" xr:uid="{00000000-0005-0000-0000-000065290000}"/>
    <cellStyle name="Input 5 5 2 3 3" xfId="15280" xr:uid="{00000000-0005-0000-0000-000066290000}"/>
    <cellStyle name="Input 5 5 2 3 3 2" xfId="30112" xr:uid="{00000000-0005-0000-0000-000067290000}"/>
    <cellStyle name="Input 5 5 2 3 4" xfId="21993" xr:uid="{00000000-0005-0000-0000-000068290000}"/>
    <cellStyle name="Input 5 5 2 4" xfId="2948" xr:uid="{00000000-0005-0000-0000-000069290000}"/>
    <cellStyle name="Input 5 5 2 4 2" xfId="7032" xr:uid="{00000000-0005-0000-0000-00006A290000}"/>
    <cellStyle name="Input 5 5 2 4 2 2" xfId="23206" xr:uid="{00000000-0005-0000-0000-00006B290000}"/>
    <cellStyle name="Input 5 5 2 4 3" xfId="13286" xr:uid="{00000000-0005-0000-0000-00006C290000}"/>
    <cellStyle name="Input 5 5 2 4 3 2" xfId="28118" xr:uid="{00000000-0005-0000-0000-00006D290000}"/>
    <cellStyle name="Input 5 5 2 4 4" xfId="20874" xr:uid="{00000000-0005-0000-0000-00006E290000}"/>
    <cellStyle name="Input 5 5 2 5" xfId="6124" xr:uid="{00000000-0005-0000-0000-00006F290000}"/>
    <cellStyle name="Input 5 5 2 5 2" xfId="16311" xr:uid="{00000000-0005-0000-0000-000070290000}"/>
    <cellStyle name="Input 5 5 2 5 2 2" xfId="31143" xr:uid="{00000000-0005-0000-0000-000071290000}"/>
    <cellStyle name="Input 5 5 2 5 3" xfId="22657" xr:uid="{00000000-0005-0000-0000-000072290000}"/>
    <cellStyle name="Input 5 5 2 6" xfId="12381" xr:uid="{00000000-0005-0000-0000-000073290000}"/>
    <cellStyle name="Input 5 5 2 6 2" xfId="27213" xr:uid="{00000000-0005-0000-0000-000074290000}"/>
    <cellStyle name="Input 5 5 2 7" xfId="9963" xr:uid="{00000000-0005-0000-0000-000075290000}"/>
    <cellStyle name="Input 5 5 2 7 2" xfId="20165" xr:uid="{00000000-0005-0000-0000-000076290000}"/>
    <cellStyle name="Input 5 5 3" xfId="4299" xr:uid="{00000000-0005-0000-0000-000077290000}"/>
    <cellStyle name="Input 5 5 3 2" xfId="8338" xr:uid="{00000000-0005-0000-0000-000078290000}"/>
    <cellStyle name="Input 5 5 3 2 2" xfId="24023" xr:uid="{00000000-0005-0000-0000-000079290000}"/>
    <cellStyle name="Input 5 5 3 3" xfId="14630" xr:uid="{00000000-0005-0000-0000-00007A290000}"/>
    <cellStyle name="Input 5 5 3 3 2" xfId="29462" xr:uid="{00000000-0005-0000-0000-00007B290000}"/>
    <cellStyle name="Input 5 5 3 4" xfId="21620" xr:uid="{00000000-0005-0000-0000-00007C290000}"/>
    <cellStyle name="Input 5 5 4" xfId="4538" xr:uid="{00000000-0005-0000-0000-00007D290000}"/>
    <cellStyle name="Input 5 5 4 2" xfId="8577" xr:uid="{00000000-0005-0000-0000-00007E290000}"/>
    <cellStyle name="Input 5 5 4 2 2" xfId="24203" xr:uid="{00000000-0005-0000-0000-00007F290000}"/>
    <cellStyle name="Input 5 5 4 3" xfId="14865" xr:uid="{00000000-0005-0000-0000-000080290000}"/>
    <cellStyle name="Input 5 5 4 3 2" xfId="29697" xr:uid="{00000000-0005-0000-0000-000081290000}"/>
    <cellStyle name="Input 5 5 4 4" xfId="21763" xr:uid="{00000000-0005-0000-0000-000082290000}"/>
    <cellStyle name="Input 5 5 5" xfId="2528" xr:uid="{00000000-0005-0000-0000-000083290000}"/>
    <cellStyle name="Input 5 5 5 2" xfId="6634" xr:uid="{00000000-0005-0000-0000-000084290000}"/>
    <cellStyle name="Input 5 5 5 2 2" xfId="22972" xr:uid="{00000000-0005-0000-0000-000085290000}"/>
    <cellStyle name="Input 5 5 5 3" xfId="12866" xr:uid="{00000000-0005-0000-0000-000086290000}"/>
    <cellStyle name="Input 5 5 5 3 2" xfId="27698" xr:uid="{00000000-0005-0000-0000-000087290000}"/>
    <cellStyle name="Input 5 5 5 4" xfId="20618" xr:uid="{00000000-0005-0000-0000-000088290000}"/>
    <cellStyle name="Input 5 5 6" xfId="5651" xr:uid="{00000000-0005-0000-0000-000089290000}"/>
    <cellStyle name="Input 5 5 6 2" xfId="15886" xr:uid="{00000000-0005-0000-0000-00008A290000}"/>
    <cellStyle name="Input 5 5 6 2 2" xfId="30718" xr:uid="{00000000-0005-0000-0000-00008B290000}"/>
    <cellStyle name="Input 5 5 6 3" xfId="22347" xr:uid="{00000000-0005-0000-0000-00008C290000}"/>
    <cellStyle name="Input 5 5 7" xfId="11910" xr:uid="{00000000-0005-0000-0000-00008D290000}"/>
    <cellStyle name="Input 5 5 7 2" xfId="26742" xr:uid="{00000000-0005-0000-0000-00008E290000}"/>
    <cellStyle name="Input 5 5 8" xfId="9568" xr:uid="{00000000-0005-0000-0000-00008F290000}"/>
    <cellStyle name="Input 5 5 8 2" xfId="19870" xr:uid="{00000000-0005-0000-0000-000090290000}"/>
    <cellStyle name="Input 5 6" xfId="1755" xr:uid="{00000000-0005-0000-0000-000091290000}"/>
    <cellStyle name="Input 5 6 2" xfId="3433" xr:uid="{00000000-0005-0000-0000-000092290000}"/>
    <cellStyle name="Input 5 6 2 2" xfId="7496" xr:uid="{00000000-0005-0000-0000-000093290000}"/>
    <cellStyle name="Input 5 6 2 2 2" xfId="23473" xr:uid="{00000000-0005-0000-0000-000094290000}"/>
    <cellStyle name="Input 5 6 2 3" xfId="13770" xr:uid="{00000000-0005-0000-0000-000095290000}"/>
    <cellStyle name="Input 5 6 2 3 2" xfId="28602" xr:uid="{00000000-0005-0000-0000-000096290000}"/>
    <cellStyle name="Input 5 6 2 4" xfId="21149" xr:uid="{00000000-0005-0000-0000-000097290000}"/>
    <cellStyle name="Input 5 6 3" xfId="4733" xr:uid="{00000000-0005-0000-0000-000098290000}"/>
    <cellStyle name="Input 5 6 3 2" xfId="8772" xr:uid="{00000000-0005-0000-0000-000099290000}"/>
    <cellStyle name="Input 5 6 3 2 2" xfId="24302" xr:uid="{00000000-0005-0000-0000-00009A290000}"/>
    <cellStyle name="Input 5 6 3 3" xfId="15057" xr:uid="{00000000-0005-0000-0000-00009B290000}"/>
    <cellStyle name="Input 5 6 3 3 2" xfId="29889" xr:uid="{00000000-0005-0000-0000-00009C290000}"/>
    <cellStyle name="Input 5 6 3 4" xfId="21840" xr:uid="{00000000-0005-0000-0000-00009D290000}"/>
    <cellStyle name="Input 5 6 4" xfId="2723" xr:uid="{00000000-0005-0000-0000-00009E290000}"/>
    <cellStyle name="Input 5 6 4 2" xfId="6814" xr:uid="{00000000-0005-0000-0000-00009F290000}"/>
    <cellStyle name="Input 5 6 4 2 2" xfId="23053" xr:uid="{00000000-0005-0000-0000-0000A0290000}"/>
    <cellStyle name="Input 5 6 4 3" xfId="13061" xr:uid="{00000000-0005-0000-0000-0000A1290000}"/>
    <cellStyle name="Input 5 6 4 3 2" xfId="27893" xr:uid="{00000000-0005-0000-0000-0000A2290000}"/>
    <cellStyle name="Input 5 6 4 4" xfId="20713" xr:uid="{00000000-0005-0000-0000-0000A3290000}"/>
    <cellStyle name="Input 5 6 5" xfId="5887" xr:uid="{00000000-0005-0000-0000-0000A4290000}"/>
    <cellStyle name="Input 5 6 5 2" xfId="16079" xr:uid="{00000000-0005-0000-0000-0000A5290000}"/>
    <cellStyle name="Input 5 6 5 2 2" xfId="30911" xr:uid="{00000000-0005-0000-0000-0000A6290000}"/>
    <cellStyle name="Input 5 6 5 3" xfId="22484" xr:uid="{00000000-0005-0000-0000-0000A7290000}"/>
    <cellStyle name="Input 5 6 6" xfId="12149" xr:uid="{00000000-0005-0000-0000-0000A8290000}"/>
    <cellStyle name="Input 5 6 6 2" xfId="26981" xr:uid="{00000000-0005-0000-0000-0000A9290000}"/>
    <cellStyle name="Input 5 6 7" xfId="9745" xr:uid="{00000000-0005-0000-0000-0000AA290000}"/>
    <cellStyle name="Input 5 6 7 2" xfId="20043" xr:uid="{00000000-0005-0000-0000-0000AB290000}"/>
    <cellStyle name="Input 5 7" xfId="2211" xr:uid="{00000000-0005-0000-0000-0000AC290000}"/>
    <cellStyle name="Input 5 7 2" xfId="4266" xr:uid="{00000000-0005-0000-0000-0000AD290000}"/>
    <cellStyle name="Input 5 7 2 2" xfId="8305" xr:uid="{00000000-0005-0000-0000-0000AE290000}"/>
    <cellStyle name="Input 5 7 2 2 2" xfId="23999" xr:uid="{00000000-0005-0000-0000-0000AF290000}"/>
    <cellStyle name="Input 5 7 2 3" xfId="14598" xr:uid="{00000000-0005-0000-0000-0000B0290000}"/>
    <cellStyle name="Input 5 7 2 3 2" xfId="29430" xr:uid="{00000000-0005-0000-0000-0000B1290000}"/>
    <cellStyle name="Input 5 7 2 4" xfId="21599" xr:uid="{00000000-0005-0000-0000-0000B2290000}"/>
    <cellStyle name="Input 5 7 3" xfId="5179" xr:uid="{00000000-0005-0000-0000-0000B3290000}"/>
    <cellStyle name="Input 5 7 3 2" xfId="9218" xr:uid="{00000000-0005-0000-0000-0000B4290000}"/>
    <cellStyle name="Input 5 7 3 2 2" xfId="24556" xr:uid="{00000000-0005-0000-0000-0000B5290000}"/>
    <cellStyle name="Input 5 7 3 3" xfId="15497" xr:uid="{00000000-0005-0000-0000-0000B6290000}"/>
    <cellStyle name="Input 5 7 3 3 2" xfId="30329" xr:uid="{00000000-0005-0000-0000-0000B7290000}"/>
    <cellStyle name="Input 5 7 3 4" xfId="22063" xr:uid="{00000000-0005-0000-0000-0000B8290000}"/>
    <cellStyle name="Input 5 7 4" xfId="4209" xr:uid="{00000000-0005-0000-0000-0000B9290000}"/>
    <cellStyle name="Input 5 7 4 2" xfId="8250" xr:uid="{00000000-0005-0000-0000-0000BA290000}"/>
    <cellStyle name="Input 5 7 4 2 2" xfId="23945" xr:uid="{00000000-0005-0000-0000-0000BB290000}"/>
    <cellStyle name="Input 5 7 4 3" xfId="14541" xr:uid="{00000000-0005-0000-0000-0000BC290000}"/>
    <cellStyle name="Input 5 7 4 3 2" xfId="29373" xr:uid="{00000000-0005-0000-0000-0000BD290000}"/>
    <cellStyle name="Input 5 7 4 4" xfId="21570" xr:uid="{00000000-0005-0000-0000-0000BE290000}"/>
    <cellStyle name="Input 5 7 5" xfId="6325" xr:uid="{00000000-0005-0000-0000-0000BF290000}"/>
    <cellStyle name="Input 5 7 5 2" xfId="22727" xr:uid="{00000000-0005-0000-0000-0000C0290000}"/>
    <cellStyle name="Input 5 7 6" xfId="12579" xr:uid="{00000000-0005-0000-0000-0000C1290000}"/>
    <cellStyle name="Input 5 7 6 2" xfId="27411" xr:uid="{00000000-0005-0000-0000-0000C2290000}"/>
    <cellStyle name="Input 5 7 7" xfId="20406" xr:uid="{00000000-0005-0000-0000-0000C3290000}"/>
    <cellStyle name="Input 5 8" xfId="3252" xr:uid="{00000000-0005-0000-0000-0000C4290000}"/>
    <cellStyle name="Input 5 8 2" xfId="7316" xr:uid="{00000000-0005-0000-0000-0000C5290000}"/>
    <cellStyle name="Input 5 8 2 2" xfId="23354" xr:uid="{00000000-0005-0000-0000-0000C6290000}"/>
    <cellStyle name="Input 5 8 3" xfId="13589" xr:uid="{00000000-0005-0000-0000-0000C7290000}"/>
    <cellStyle name="Input 5 8 3 2" xfId="28421" xr:uid="{00000000-0005-0000-0000-0000C8290000}"/>
    <cellStyle name="Input 5 8 4" xfId="21041" xr:uid="{00000000-0005-0000-0000-0000C9290000}"/>
    <cellStyle name="Input 5 9" xfId="3263" xr:uid="{00000000-0005-0000-0000-0000CA290000}"/>
    <cellStyle name="Input 5 9 2" xfId="7327" xr:uid="{00000000-0005-0000-0000-0000CB290000}"/>
    <cellStyle name="Input 5 9 2 2" xfId="23362" xr:uid="{00000000-0005-0000-0000-0000CC290000}"/>
    <cellStyle name="Input 5 9 3" xfId="13600" xr:uid="{00000000-0005-0000-0000-0000CD290000}"/>
    <cellStyle name="Input 5 9 3 2" xfId="28432" xr:uid="{00000000-0005-0000-0000-0000CE290000}"/>
    <cellStyle name="Input 5 9 4" xfId="21049" xr:uid="{00000000-0005-0000-0000-0000CF290000}"/>
    <cellStyle name="Input 6" xfId="1123" xr:uid="{00000000-0005-0000-0000-0000D0290000}"/>
    <cellStyle name="Input 6 10" xfId="2294" xr:uid="{00000000-0005-0000-0000-0000D1290000}"/>
    <cellStyle name="Input 6 10 2" xfId="6406" xr:uid="{00000000-0005-0000-0000-0000D2290000}"/>
    <cellStyle name="Input 6 10 2 2" xfId="22808" xr:uid="{00000000-0005-0000-0000-0000D3290000}"/>
    <cellStyle name="Input 6 10 3" xfId="12634" xr:uid="{00000000-0005-0000-0000-0000D4290000}"/>
    <cellStyle name="Input 6 10 3 2" xfId="27466" xr:uid="{00000000-0005-0000-0000-0000D5290000}"/>
    <cellStyle name="Input 6 10 4" xfId="20460" xr:uid="{00000000-0005-0000-0000-0000D6290000}"/>
    <cellStyle name="Input 6 11" xfId="5260" xr:uid="{00000000-0005-0000-0000-0000D7290000}"/>
    <cellStyle name="Input 6 11 2" xfId="15576" xr:uid="{00000000-0005-0000-0000-0000D8290000}"/>
    <cellStyle name="Input 6 11 2 2" xfId="30408" xr:uid="{00000000-0005-0000-0000-0000D9290000}"/>
    <cellStyle name="Input 6 11 3" xfId="22117" xr:uid="{00000000-0005-0000-0000-0000DA290000}"/>
    <cellStyle name="Input 6 12" xfId="5418" xr:uid="{00000000-0005-0000-0000-0000DB290000}"/>
    <cellStyle name="Input 6 12 2" xfId="15654" xr:uid="{00000000-0005-0000-0000-0000DC290000}"/>
    <cellStyle name="Input 6 12 2 2" xfId="30486" xr:uid="{00000000-0005-0000-0000-0000DD290000}"/>
    <cellStyle name="Input 6 12 3" xfId="22179" xr:uid="{00000000-0005-0000-0000-0000DE290000}"/>
    <cellStyle name="Input 6 13" xfId="9373" xr:uid="{00000000-0005-0000-0000-0000DF290000}"/>
    <cellStyle name="Input 6 13 2" xfId="24679" xr:uid="{00000000-0005-0000-0000-0000E0290000}"/>
    <cellStyle name="Input 6 14" xfId="5362" xr:uid="{00000000-0005-0000-0000-0000E1290000}"/>
    <cellStyle name="Input 6 14 2" xfId="18236" xr:uid="{00000000-0005-0000-0000-0000E2290000}"/>
    <cellStyle name="Input 6 2" xfId="1330" xr:uid="{00000000-0005-0000-0000-0000E3290000}"/>
    <cellStyle name="Input 6 2 2" xfId="1834" xr:uid="{00000000-0005-0000-0000-0000E4290000}"/>
    <cellStyle name="Input 6 2 2 2" xfId="3432" xr:uid="{00000000-0005-0000-0000-0000E5290000}"/>
    <cellStyle name="Input 6 2 2 2 2" xfId="7495" xr:uid="{00000000-0005-0000-0000-0000E6290000}"/>
    <cellStyle name="Input 6 2 2 2 2 2" xfId="23472" xr:uid="{00000000-0005-0000-0000-0000E7290000}"/>
    <cellStyle name="Input 6 2 2 2 3" xfId="13769" xr:uid="{00000000-0005-0000-0000-0000E8290000}"/>
    <cellStyle name="Input 6 2 2 2 3 2" xfId="28601" xr:uid="{00000000-0005-0000-0000-0000E9290000}"/>
    <cellStyle name="Input 6 2 2 2 4" xfId="21148" xr:uid="{00000000-0005-0000-0000-0000EA290000}"/>
    <cellStyle name="Input 6 2 2 3" xfId="4812" xr:uid="{00000000-0005-0000-0000-0000EB290000}"/>
    <cellStyle name="Input 6 2 2 3 2" xfId="8851" xr:uid="{00000000-0005-0000-0000-0000EC290000}"/>
    <cellStyle name="Input 6 2 2 3 2 2" xfId="24349" xr:uid="{00000000-0005-0000-0000-0000ED290000}"/>
    <cellStyle name="Input 6 2 2 3 3" xfId="15136" xr:uid="{00000000-0005-0000-0000-0000EE290000}"/>
    <cellStyle name="Input 6 2 2 3 3 2" xfId="29968" xr:uid="{00000000-0005-0000-0000-0000EF290000}"/>
    <cellStyle name="Input 6 2 2 3 4" xfId="21887" xr:uid="{00000000-0005-0000-0000-0000F0290000}"/>
    <cellStyle name="Input 6 2 2 4" xfId="2802" xr:uid="{00000000-0005-0000-0000-0000F1290000}"/>
    <cellStyle name="Input 6 2 2 4 2" xfId="6893" xr:uid="{00000000-0005-0000-0000-0000F2290000}"/>
    <cellStyle name="Input 6 2 2 4 2 2" xfId="23100" xr:uid="{00000000-0005-0000-0000-0000F3290000}"/>
    <cellStyle name="Input 6 2 2 4 3" xfId="13140" xr:uid="{00000000-0005-0000-0000-0000F4290000}"/>
    <cellStyle name="Input 6 2 2 4 3 2" xfId="27972" xr:uid="{00000000-0005-0000-0000-0000F5290000}"/>
    <cellStyle name="Input 6 2 2 4 4" xfId="20760" xr:uid="{00000000-0005-0000-0000-0000F6290000}"/>
    <cellStyle name="Input 6 2 2 5" xfId="5966" xr:uid="{00000000-0005-0000-0000-0000F7290000}"/>
    <cellStyle name="Input 6 2 2 5 2" xfId="16158" xr:uid="{00000000-0005-0000-0000-0000F8290000}"/>
    <cellStyle name="Input 6 2 2 5 2 2" xfId="30990" xr:uid="{00000000-0005-0000-0000-0000F9290000}"/>
    <cellStyle name="Input 6 2 2 5 3" xfId="22531" xr:uid="{00000000-0005-0000-0000-0000FA290000}"/>
    <cellStyle name="Input 6 2 2 6" xfId="12228" xr:uid="{00000000-0005-0000-0000-0000FB290000}"/>
    <cellStyle name="Input 6 2 2 6 2" xfId="27060" xr:uid="{00000000-0005-0000-0000-0000FC290000}"/>
    <cellStyle name="Input 6 2 2 7" xfId="9824" xr:uid="{00000000-0005-0000-0000-0000FD290000}"/>
    <cellStyle name="Input 6 2 2 7 2" xfId="20075" xr:uid="{00000000-0005-0000-0000-0000FE290000}"/>
    <cellStyle name="Input 6 2 3" xfId="3916" xr:uid="{00000000-0005-0000-0000-0000FF290000}"/>
    <cellStyle name="Input 6 2 3 2" xfId="7967" xr:uid="{00000000-0005-0000-0000-0000002A0000}"/>
    <cellStyle name="Input 6 2 3 2 2" xfId="23776" xr:uid="{00000000-0005-0000-0000-0000012A0000}"/>
    <cellStyle name="Input 6 2 3 3" xfId="14249" xr:uid="{00000000-0005-0000-0000-0000022A0000}"/>
    <cellStyle name="Input 6 2 3 3 2" xfId="29081" xr:uid="{00000000-0005-0000-0000-0000032A0000}"/>
    <cellStyle name="Input 6 2 3 4" xfId="21417" xr:uid="{00000000-0005-0000-0000-0000042A0000}"/>
    <cellStyle name="Input 6 2 4" xfId="4392" xr:uid="{00000000-0005-0000-0000-0000052A0000}"/>
    <cellStyle name="Input 6 2 4 2" xfId="8431" xr:uid="{00000000-0005-0000-0000-0000062A0000}"/>
    <cellStyle name="Input 6 2 4 2 2" xfId="24089" xr:uid="{00000000-0005-0000-0000-0000072A0000}"/>
    <cellStyle name="Input 6 2 4 3" xfId="14721" xr:uid="{00000000-0005-0000-0000-0000082A0000}"/>
    <cellStyle name="Input 6 2 4 3 2" xfId="29553" xr:uid="{00000000-0005-0000-0000-0000092A0000}"/>
    <cellStyle name="Input 6 2 4 4" xfId="21657" xr:uid="{00000000-0005-0000-0000-00000A2A0000}"/>
    <cellStyle name="Input 6 2 5" xfId="2382" xr:uid="{00000000-0005-0000-0000-00000B2A0000}"/>
    <cellStyle name="Input 6 2 5 2" xfId="6494" xr:uid="{00000000-0005-0000-0000-00000C2A0000}"/>
    <cellStyle name="Input 6 2 5 2 2" xfId="22864" xr:uid="{00000000-0005-0000-0000-00000D2A0000}"/>
    <cellStyle name="Input 6 2 5 3" xfId="12721" xr:uid="{00000000-0005-0000-0000-00000E2A0000}"/>
    <cellStyle name="Input 6 2 5 3 2" xfId="27553" xr:uid="{00000000-0005-0000-0000-00000F2A0000}"/>
    <cellStyle name="Input 6 2 5 4" xfId="20506" xr:uid="{00000000-0005-0000-0000-0000102A0000}"/>
    <cellStyle name="Input 6 2 6" xfId="5507" xr:uid="{00000000-0005-0000-0000-0000112A0000}"/>
    <cellStyle name="Input 6 2 6 2" xfId="15742" xr:uid="{00000000-0005-0000-0000-0000122A0000}"/>
    <cellStyle name="Input 6 2 6 2 2" xfId="30574" xr:uid="{00000000-0005-0000-0000-0000132A0000}"/>
    <cellStyle name="Input 6 2 6 3" xfId="22235" xr:uid="{00000000-0005-0000-0000-0000142A0000}"/>
    <cellStyle name="Input 6 2 7" xfId="11757" xr:uid="{00000000-0005-0000-0000-0000152A0000}"/>
    <cellStyle name="Input 6 2 7 2" xfId="26589" xr:uid="{00000000-0005-0000-0000-0000162A0000}"/>
    <cellStyle name="Input 6 2 8" xfId="9428" xr:uid="{00000000-0005-0000-0000-0000172A0000}"/>
    <cellStyle name="Input 6 2 8 2" xfId="19732" xr:uid="{00000000-0005-0000-0000-0000182A0000}"/>
    <cellStyle name="Input 6 3" xfId="1488" xr:uid="{00000000-0005-0000-0000-0000192A0000}"/>
    <cellStyle name="Input 6 3 2" xfId="1989" xr:uid="{00000000-0005-0000-0000-00001A2A0000}"/>
    <cellStyle name="Input 6 3 2 2" xfId="3822" xr:uid="{00000000-0005-0000-0000-00001B2A0000}"/>
    <cellStyle name="Input 6 3 2 2 2" xfId="7875" xr:uid="{00000000-0005-0000-0000-00001C2A0000}"/>
    <cellStyle name="Input 6 3 2 2 2 2" xfId="23721" xr:uid="{00000000-0005-0000-0000-00001D2A0000}"/>
    <cellStyle name="Input 6 3 2 2 3" xfId="14157" xr:uid="{00000000-0005-0000-0000-00001E2A0000}"/>
    <cellStyle name="Input 6 3 2 2 3 2" xfId="28989" xr:uid="{00000000-0005-0000-0000-00001F2A0000}"/>
    <cellStyle name="Input 6 3 2 2 4" xfId="21369" xr:uid="{00000000-0005-0000-0000-0000202A0000}"/>
    <cellStyle name="Input 6 3 2 3" xfId="4953" xr:uid="{00000000-0005-0000-0000-0000212A0000}"/>
    <cellStyle name="Input 6 3 2 3 2" xfId="8992" xr:uid="{00000000-0005-0000-0000-0000222A0000}"/>
    <cellStyle name="Input 6 3 2 3 2 2" xfId="24458" xr:uid="{00000000-0005-0000-0000-0000232A0000}"/>
    <cellStyle name="Input 6 3 2 3 3" xfId="15275" xr:uid="{00000000-0005-0000-0000-0000242A0000}"/>
    <cellStyle name="Input 6 3 2 3 3 2" xfId="30107" xr:uid="{00000000-0005-0000-0000-0000252A0000}"/>
    <cellStyle name="Input 6 3 2 3 4" xfId="21988" xr:uid="{00000000-0005-0000-0000-0000262A0000}"/>
    <cellStyle name="Input 6 3 2 4" xfId="2943" xr:uid="{00000000-0005-0000-0000-0000272A0000}"/>
    <cellStyle name="Input 6 3 2 4 2" xfId="7027" xr:uid="{00000000-0005-0000-0000-0000282A0000}"/>
    <cellStyle name="Input 6 3 2 4 2 2" xfId="23201" xr:uid="{00000000-0005-0000-0000-0000292A0000}"/>
    <cellStyle name="Input 6 3 2 4 3" xfId="13281" xr:uid="{00000000-0005-0000-0000-00002A2A0000}"/>
    <cellStyle name="Input 6 3 2 4 3 2" xfId="28113" xr:uid="{00000000-0005-0000-0000-00002B2A0000}"/>
    <cellStyle name="Input 6 3 2 4 4" xfId="20869" xr:uid="{00000000-0005-0000-0000-00002C2A0000}"/>
    <cellStyle name="Input 6 3 2 5" xfId="6119" xr:uid="{00000000-0005-0000-0000-00002D2A0000}"/>
    <cellStyle name="Input 6 3 2 5 2" xfId="16306" xr:uid="{00000000-0005-0000-0000-00002E2A0000}"/>
    <cellStyle name="Input 6 3 2 5 2 2" xfId="31138" xr:uid="{00000000-0005-0000-0000-00002F2A0000}"/>
    <cellStyle name="Input 6 3 2 5 3" xfId="22652" xr:uid="{00000000-0005-0000-0000-0000302A0000}"/>
    <cellStyle name="Input 6 3 2 6" xfId="12376" xr:uid="{00000000-0005-0000-0000-0000312A0000}"/>
    <cellStyle name="Input 6 3 2 6 2" xfId="27208" xr:uid="{00000000-0005-0000-0000-0000322A0000}"/>
    <cellStyle name="Input 6 3 2 7" xfId="9958" xr:uid="{00000000-0005-0000-0000-0000332A0000}"/>
    <cellStyle name="Input 6 3 2 7 2" xfId="20160" xr:uid="{00000000-0005-0000-0000-0000342A0000}"/>
    <cellStyle name="Input 6 3 3" xfId="3555" xr:uid="{00000000-0005-0000-0000-0000352A0000}"/>
    <cellStyle name="Input 6 3 3 2" xfId="7617" xr:uid="{00000000-0005-0000-0000-0000362A0000}"/>
    <cellStyle name="Input 6 3 3 2 2" xfId="23550" xr:uid="{00000000-0005-0000-0000-0000372A0000}"/>
    <cellStyle name="Input 6 3 3 3" xfId="13891" xr:uid="{00000000-0005-0000-0000-0000382A0000}"/>
    <cellStyle name="Input 6 3 3 3 2" xfId="28723" xr:uid="{00000000-0005-0000-0000-0000392A0000}"/>
    <cellStyle name="Input 6 3 3 4" xfId="21220" xr:uid="{00000000-0005-0000-0000-00003A2A0000}"/>
    <cellStyle name="Input 6 3 4" xfId="4533" xr:uid="{00000000-0005-0000-0000-00003B2A0000}"/>
    <cellStyle name="Input 6 3 4 2" xfId="8572" xr:uid="{00000000-0005-0000-0000-00003C2A0000}"/>
    <cellStyle name="Input 6 3 4 2 2" xfId="24198" xr:uid="{00000000-0005-0000-0000-00003D2A0000}"/>
    <cellStyle name="Input 6 3 4 3" xfId="14860" xr:uid="{00000000-0005-0000-0000-00003E2A0000}"/>
    <cellStyle name="Input 6 3 4 3 2" xfId="29692" xr:uid="{00000000-0005-0000-0000-00003F2A0000}"/>
    <cellStyle name="Input 6 3 4 4" xfId="21758" xr:uid="{00000000-0005-0000-0000-0000402A0000}"/>
    <cellStyle name="Input 6 3 5" xfId="2523" xr:uid="{00000000-0005-0000-0000-0000412A0000}"/>
    <cellStyle name="Input 6 3 5 2" xfId="6629" xr:uid="{00000000-0005-0000-0000-0000422A0000}"/>
    <cellStyle name="Input 6 3 5 2 2" xfId="22967" xr:uid="{00000000-0005-0000-0000-0000432A0000}"/>
    <cellStyle name="Input 6 3 5 3" xfId="12861" xr:uid="{00000000-0005-0000-0000-0000442A0000}"/>
    <cellStyle name="Input 6 3 5 3 2" xfId="27693" xr:uid="{00000000-0005-0000-0000-0000452A0000}"/>
    <cellStyle name="Input 6 3 5 4" xfId="20613" xr:uid="{00000000-0005-0000-0000-0000462A0000}"/>
    <cellStyle name="Input 6 3 6" xfId="5646" xr:uid="{00000000-0005-0000-0000-0000472A0000}"/>
    <cellStyle name="Input 6 3 6 2" xfId="15881" xr:uid="{00000000-0005-0000-0000-0000482A0000}"/>
    <cellStyle name="Input 6 3 6 2 2" xfId="30713" xr:uid="{00000000-0005-0000-0000-0000492A0000}"/>
    <cellStyle name="Input 6 3 6 3" xfId="22342" xr:uid="{00000000-0005-0000-0000-00004A2A0000}"/>
    <cellStyle name="Input 6 3 7" xfId="11905" xr:uid="{00000000-0005-0000-0000-00004B2A0000}"/>
    <cellStyle name="Input 6 3 7 2" xfId="26737" xr:uid="{00000000-0005-0000-0000-00004C2A0000}"/>
    <cellStyle name="Input 6 3 8" xfId="9563" xr:uid="{00000000-0005-0000-0000-00004D2A0000}"/>
    <cellStyle name="Input 6 3 8 2" xfId="19865" xr:uid="{00000000-0005-0000-0000-00004E2A0000}"/>
    <cellStyle name="Input 6 4" xfId="1394" xr:uid="{00000000-0005-0000-0000-00004F2A0000}"/>
    <cellStyle name="Input 6 4 2" xfId="1896" xr:uid="{00000000-0005-0000-0000-0000502A0000}"/>
    <cellStyle name="Input 6 4 2 2" xfId="3183" xr:uid="{00000000-0005-0000-0000-0000512A0000}"/>
    <cellStyle name="Input 6 4 2 2 2" xfId="7247" xr:uid="{00000000-0005-0000-0000-0000522A0000}"/>
    <cellStyle name="Input 6 4 2 2 2 2" xfId="23305" xr:uid="{00000000-0005-0000-0000-0000532A0000}"/>
    <cellStyle name="Input 6 4 2 2 3" xfId="13521" xr:uid="{00000000-0005-0000-0000-0000542A0000}"/>
    <cellStyle name="Input 6 4 2 2 3 2" xfId="28353" xr:uid="{00000000-0005-0000-0000-0000552A0000}"/>
    <cellStyle name="Input 6 4 2 2 4" xfId="20995" xr:uid="{00000000-0005-0000-0000-0000562A0000}"/>
    <cellStyle name="Input 6 4 2 3" xfId="4874" xr:uid="{00000000-0005-0000-0000-0000572A0000}"/>
    <cellStyle name="Input 6 4 2 3 2" xfId="8913" xr:uid="{00000000-0005-0000-0000-0000582A0000}"/>
    <cellStyle name="Input 6 4 2 3 2 2" xfId="24379" xr:uid="{00000000-0005-0000-0000-0000592A0000}"/>
    <cellStyle name="Input 6 4 2 3 3" xfId="15197" xr:uid="{00000000-0005-0000-0000-00005A2A0000}"/>
    <cellStyle name="Input 6 4 2 3 3 2" xfId="30029" xr:uid="{00000000-0005-0000-0000-00005B2A0000}"/>
    <cellStyle name="Input 6 4 2 3 4" xfId="21911" xr:uid="{00000000-0005-0000-0000-00005C2A0000}"/>
    <cellStyle name="Input 6 4 2 4" xfId="2864" xr:uid="{00000000-0005-0000-0000-00005D2A0000}"/>
    <cellStyle name="Input 6 4 2 4 2" xfId="6949" xr:uid="{00000000-0005-0000-0000-00005E2A0000}"/>
    <cellStyle name="Input 6 4 2 4 2 2" xfId="23124" xr:uid="{00000000-0005-0000-0000-00005F2A0000}"/>
    <cellStyle name="Input 6 4 2 4 3" xfId="13202" xr:uid="{00000000-0005-0000-0000-0000602A0000}"/>
    <cellStyle name="Input 6 4 2 4 3 2" xfId="28034" xr:uid="{00000000-0005-0000-0000-0000612A0000}"/>
    <cellStyle name="Input 6 4 2 4 4" xfId="20790" xr:uid="{00000000-0005-0000-0000-0000622A0000}"/>
    <cellStyle name="Input 6 4 2 5" xfId="6027" xr:uid="{00000000-0005-0000-0000-0000632A0000}"/>
    <cellStyle name="Input 6 4 2 5 2" xfId="16214" xr:uid="{00000000-0005-0000-0000-0000642A0000}"/>
    <cellStyle name="Input 6 4 2 5 2 2" xfId="31046" xr:uid="{00000000-0005-0000-0000-0000652A0000}"/>
    <cellStyle name="Input 6 4 2 5 3" xfId="22560" xr:uid="{00000000-0005-0000-0000-0000662A0000}"/>
    <cellStyle name="Input 6 4 2 6" xfId="12284" xr:uid="{00000000-0005-0000-0000-0000672A0000}"/>
    <cellStyle name="Input 6 4 2 6 2" xfId="27116" xr:uid="{00000000-0005-0000-0000-0000682A0000}"/>
    <cellStyle name="Input 6 4 2 7" xfId="9880" xr:uid="{00000000-0005-0000-0000-0000692A0000}"/>
    <cellStyle name="Input 6 4 2 7 2" xfId="20084" xr:uid="{00000000-0005-0000-0000-00006A2A0000}"/>
    <cellStyle name="Input 6 4 3" xfId="3943" xr:uid="{00000000-0005-0000-0000-00006B2A0000}"/>
    <cellStyle name="Input 6 4 3 2" xfId="7993" xr:uid="{00000000-0005-0000-0000-00006C2A0000}"/>
    <cellStyle name="Input 6 4 3 2 2" xfId="23794" xr:uid="{00000000-0005-0000-0000-00006D2A0000}"/>
    <cellStyle name="Input 6 4 3 3" xfId="14276" xr:uid="{00000000-0005-0000-0000-00006E2A0000}"/>
    <cellStyle name="Input 6 4 3 3 2" xfId="29108" xr:uid="{00000000-0005-0000-0000-00006F2A0000}"/>
    <cellStyle name="Input 6 4 3 4" xfId="21436" xr:uid="{00000000-0005-0000-0000-0000702A0000}"/>
    <cellStyle name="Input 6 4 4" xfId="4454" xr:uid="{00000000-0005-0000-0000-0000712A0000}"/>
    <cellStyle name="Input 6 4 4 2" xfId="8493" xr:uid="{00000000-0005-0000-0000-0000722A0000}"/>
    <cellStyle name="Input 6 4 4 2 2" xfId="24119" xr:uid="{00000000-0005-0000-0000-0000732A0000}"/>
    <cellStyle name="Input 6 4 4 3" xfId="14782" xr:uid="{00000000-0005-0000-0000-0000742A0000}"/>
    <cellStyle name="Input 6 4 4 3 2" xfId="29614" xr:uid="{00000000-0005-0000-0000-0000752A0000}"/>
    <cellStyle name="Input 6 4 4 4" xfId="21681" xr:uid="{00000000-0005-0000-0000-0000762A0000}"/>
    <cellStyle name="Input 6 4 5" xfId="2444" xr:uid="{00000000-0005-0000-0000-0000772A0000}"/>
    <cellStyle name="Input 6 4 5 2" xfId="6550" xr:uid="{00000000-0005-0000-0000-0000782A0000}"/>
    <cellStyle name="Input 6 4 5 2 2" xfId="22888" xr:uid="{00000000-0005-0000-0000-0000792A0000}"/>
    <cellStyle name="Input 6 4 5 3" xfId="12783" xr:uid="{00000000-0005-0000-0000-00007A2A0000}"/>
    <cellStyle name="Input 6 4 5 3 2" xfId="27615" xr:uid="{00000000-0005-0000-0000-00007B2A0000}"/>
    <cellStyle name="Input 6 4 5 4" xfId="20536" xr:uid="{00000000-0005-0000-0000-00007C2A0000}"/>
    <cellStyle name="Input 6 4 6" xfId="5568" xr:uid="{00000000-0005-0000-0000-00007D2A0000}"/>
    <cellStyle name="Input 6 4 6 2" xfId="15803" xr:uid="{00000000-0005-0000-0000-00007E2A0000}"/>
    <cellStyle name="Input 6 4 6 2 2" xfId="30635" xr:uid="{00000000-0005-0000-0000-00007F2A0000}"/>
    <cellStyle name="Input 6 4 6 3" xfId="22264" xr:uid="{00000000-0005-0000-0000-0000802A0000}"/>
    <cellStyle name="Input 6 4 7" xfId="11813" xr:uid="{00000000-0005-0000-0000-0000812A0000}"/>
    <cellStyle name="Input 6 4 7 2" xfId="26645" xr:uid="{00000000-0005-0000-0000-0000822A0000}"/>
    <cellStyle name="Input 6 4 8" xfId="9485" xr:uid="{00000000-0005-0000-0000-0000832A0000}"/>
    <cellStyle name="Input 6 4 8 2" xfId="19788" xr:uid="{00000000-0005-0000-0000-0000842A0000}"/>
    <cellStyle name="Input 6 5" xfId="1494" xr:uid="{00000000-0005-0000-0000-0000852A0000}"/>
    <cellStyle name="Input 6 5 2" xfId="1995" xr:uid="{00000000-0005-0000-0000-0000862A0000}"/>
    <cellStyle name="Input 6 5 2 2" xfId="4097" xr:uid="{00000000-0005-0000-0000-0000872A0000}"/>
    <cellStyle name="Input 6 5 2 2 2" xfId="8143" xr:uid="{00000000-0005-0000-0000-0000882A0000}"/>
    <cellStyle name="Input 6 5 2 2 2 2" xfId="23888" xr:uid="{00000000-0005-0000-0000-0000892A0000}"/>
    <cellStyle name="Input 6 5 2 2 3" xfId="14429" xr:uid="{00000000-0005-0000-0000-00008A2A0000}"/>
    <cellStyle name="Input 6 5 2 2 3 2" xfId="29261" xr:uid="{00000000-0005-0000-0000-00008B2A0000}"/>
    <cellStyle name="Input 6 5 2 2 4" xfId="21518" xr:uid="{00000000-0005-0000-0000-00008C2A0000}"/>
    <cellStyle name="Input 6 5 2 3" xfId="4959" xr:uid="{00000000-0005-0000-0000-00008D2A0000}"/>
    <cellStyle name="Input 6 5 2 3 2" xfId="8998" xr:uid="{00000000-0005-0000-0000-00008E2A0000}"/>
    <cellStyle name="Input 6 5 2 3 2 2" xfId="24464" xr:uid="{00000000-0005-0000-0000-00008F2A0000}"/>
    <cellStyle name="Input 6 5 2 3 3" xfId="15281" xr:uid="{00000000-0005-0000-0000-0000902A0000}"/>
    <cellStyle name="Input 6 5 2 3 3 2" xfId="30113" xr:uid="{00000000-0005-0000-0000-0000912A0000}"/>
    <cellStyle name="Input 6 5 2 3 4" xfId="21994" xr:uid="{00000000-0005-0000-0000-0000922A0000}"/>
    <cellStyle name="Input 6 5 2 4" xfId="2949" xr:uid="{00000000-0005-0000-0000-0000932A0000}"/>
    <cellStyle name="Input 6 5 2 4 2" xfId="7033" xr:uid="{00000000-0005-0000-0000-0000942A0000}"/>
    <cellStyle name="Input 6 5 2 4 2 2" xfId="23207" xr:uid="{00000000-0005-0000-0000-0000952A0000}"/>
    <cellStyle name="Input 6 5 2 4 3" xfId="13287" xr:uid="{00000000-0005-0000-0000-0000962A0000}"/>
    <cellStyle name="Input 6 5 2 4 3 2" xfId="28119" xr:uid="{00000000-0005-0000-0000-0000972A0000}"/>
    <cellStyle name="Input 6 5 2 4 4" xfId="20875" xr:uid="{00000000-0005-0000-0000-0000982A0000}"/>
    <cellStyle name="Input 6 5 2 5" xfId="6125" xr:uid="{00000000-0005-0000-0000-0000992A0000}"/>
    <cellStyle name="Input 6 5 2 5 2" xfId="16312" xr:uid="{00000000-0005-0000-0000-00009A2A0000}"/>
    <cellStyle name="Input 6 5 2 5 2 2" xfId="31144" xr:uid="{00000000-0005-0000-0000-00009B2A0000}"/>
    <cellStyle name="Input 6 5 2 5 3" xfId="22658" xr:uid="{00000000-0005-0000-0000-00009C2A0000}"/>
    <cellStyle name="Input 6 5 2 6" xfId="12382" xr:uid="{00000000-0005-0000-0000-00009D2A0000}"/>
    <cellStyle name="Input 6 5 2 6 2" xfId="27214" xr:uid="{00000000-0005-0000-0000-00009E2A0000}"/>
    <cellStyle name="Input 6 5 2 7" xfId="9964" xr:uid="{00000000-0005-0000-0000-00009F2A0000}"/>
    <cellStyle name="Input 6 5 2 7 2" xfId="20166" xr:uid="{00000000-0005-0000-0000-0000A02A0000}"/>
    <cellStyle name="Input 6 5 3" xfId="3224" xr:uid="{00000000-0005-0000-0000-0000A12A0000}"/>
    <cellStyle name="Input 6 5 3 2" xfId="7288" xr:uid="{00000000-0005-0000-0000-0000A22A0000}"/>
    <cellStyle name="Input 6 5 3 2 2" xfId="23331" xr:uid="{00000000-0005-0000-0000-0000A32A0000}"/>
    <cellStyle name="Input 6 5 3 3" xfId="13562" xr:uid="{00000000-0005-0000-0000-0000A42A0000}"/>
    <cellStyle name="Input 6 5 3 3 2" xfId="28394" xr:uid="{00000000-0005-0000-0000-0000A52A0000}"/>
    <cellStyle name="Input 6 5 3 4" xfId="21020" xr:uid="{00000000-0005-0000-0000-0000A62A0000}"/>
    <cellStyle name="Input 6 5 4" xfId="4539" xr:uid="{00000000-0005-0000-0000-0000A72A0000}"/>
    <cellStyle name="Input 6 5 4 2" xfId="8578" xr:uid="{00000000-0005-0000-0000-0000A82A0000}"/>
    <cellStyle name="Input 6 5 4 2 2" xfId="24204" xr:uid="{00000000-0005-0000-0000-0000A92A0000}"/>
    <cellStyle name="Input 6 5 4 3" xfId="14866" xr:uid="{00000000-0005-0000-0000-0000AA2A0000}"/>
    <cellStyle name="Input 6 5 4 3 2" xfId="29698" xr:uid="{00000000-0005-0000-0000-0000AB2A0000}"/>
    <cellStyle name="Input 6 5 4 4" xfId="21764" xr:uid="{00000000-0005-0000-0000-0000AC2A0000}"/>
    <cellStyle name="Input 6 5 5" xfId="2529" xr:uid="{00000000-0005-0000-0000-0000AD2A0000}"/>
    <cellStyle name="Input 6 5 5 2" xfId="6635" xr:uid="{00000000-0005-0000-0000-0000AE2A0000}"/>
    <cellStyle name="Input 6 5 5 2 2" xfId="22973" xr:uid="{00000000-0005-0000-0000-0000AF2A0000}"/>
    <cellStyle name="Input 6 5 5 3" xfId="12867" xr:uid="{00000000-0005-0000-0000-0000B02A0000}"/>
    <cellStyle name="Input 6 5 5 3 2" xfId="27699" xr:uid="{00000000-0005-0000-0000-0000B12A0000}"/>
    <cellStyle name="Input 6 5 5 4" xfId="20619" xr:uid="{00000000-0005-0000-0000-0000B22A0000}"/>
    <cellStyle name="Input 6 5 6" xfId="5652" xr:uid="{00000000-0005-0000-0000-0000B32A0000}"/>
    <cellStyle name="Input 6 5 6 2" xfId="15887" xr:uid="{00000000-0005-0000-0000-0000B42A0000}"/>
    <cellStyle name="Input 6 5 6 2 2" xfId="30719" xr:uid="{00000000-0005-0000-0000-0000B52A0000}"/>
    <cellStyle name="Input 6 5 6 3" xfId="22348" xr:uid="{00000000-0005-0000-0000-0000B62A0000}"/>
    <cellStyle name="Input 6 5 7" xfId="11911" xr:uid="{00000000-0005-0000-0000-0000B72A0000}"/>
    <cellStyle name="Input 6 5 7 2" xfId="26743" xr:uid="{00000000-0005-0000-0000-0000B82A0000}"/>
    <cellStyle name="Input 6 5 8" xfId="9569" xr:uid="{00000000-0005-0000-0000-0000B92A0000}"/>
    <cellStyle name="Input 6 5 8 2" xfId="19871" xr:uid="{00000000-0005-0000-0000-0000BA2A0000}"/>
    <cellStyle name="Input 6 6" xfId="1756" xr:uid="{00000000-0005-0000-0000-0000BB2A0000}"/>
    <cellStyle name="Input 6 6 2" xfId="3788" xr:uid="{00000000-0005-0000-0000-0000BC2A0000}"/>
    <cellStyle name="Input 6 6 2 2" xfId="7843" xr:uid="{00000000-0005-0000-0000-0000BD2A0000}"/>
    <cellStyle name="Input 6 6 2 2 2" xfId="23699" xr:uid="{00000000-0005-0000-0000-0000BE2A0000}"/>
    <cellStyle name="Input 6 6 2 3" xfId="14123" xr:uid="{00000000-0005-0000-0000-0000BF2A0000}"/>
    <cellStyle name="Input 6 6 2 3 2" xfId="28955" xr:uid="{00000000-0005-0000-0000-0000C02A0000}"/>
    <cellStyle name="Input 6 6 2 4" xfId="21351" xr:uid="{00000000-0005-0000-0000-0000C12A0000}"/>
    <cellStyle name="Input 6 6 3" xfId="4734" xr:uid="{00000000-0005-0000-0000-0000C22A0000}"/>
    <cellStyle name="Input 6 6 3 2" xfId="8773" xr:uid="{00000000-0005-0000-0000-0000C32A0000}"/>
    <cellStyle name="Input 6 6 3 2 2" xfId="24303" xr:uid="{00000000-0005-0000-0000-0000C42A0000}"/>
    <cellStyle name="Input 6 6 3 3" xfId="15058" xr:uid="{00000000-0005-0000-0000-0000C52A0000}"/>
    <cellStyle name="Input 6 6 3 3 2" xfId="29890" xr:uid="{00000000-0005-0000-0000-0000C62A0000}"/>
    <cellStyle name="Input 6 6 3 4" xfId="21841" xr:uid="{00000000-0005-0000-0000-0000C72A0000}"/>
    <cellStyle name="Input 6 6 4" xfId="2724" xr:uid="{00000000-0005-0000-0000-0000C82A0000}"/>
    <cellStyle name="Input 6 6 4 2" xfId="6815" xr:uid="{00000000-0005-0000-0000-0000C92A0000}"/>
    <cellStyle name="Input 6 6 4 2 2" xfId="23054" xr:uid="{00000000-0005-0000-0000-0000CA2A0000}"/>
    <cellStyle name="Input 6 6 4 3" xfId="13062" xr:uid="{00000000-0005-0000-0000-0000CB2A0000}"/>
    <cellStyle name="Input 6 6 4 3 2" xfId="27894" xr:uid="{00000000-0005-0000-0000-0000CC2A0000}"/>
    <cellStyle name="Input 6 6 4 4" xfId="20714" xr:uid="{00000000-0005-0000-0000-0000CD2A0000}"/>
    <cellStyle name="Input 6 6 5" xfId="5888" xr:uid="{00000000-0005-0000-0000-0000CE2A0000}"/>
    <cellStyle name="Input 6 6 5 2" xfId="16080" xr:uid="{00000000-0005-0000-0000-0000CF2A0000}"/>
    <cellStyle name="Input 6 6 5 2 2" xfId="30912" xr:uid="{00000000-0005-0000-0000-0000D02A0000}"/>
    <cellStyle name="Input 6 6 5 3" xfId="22485" xr:uid="{00000000-0005-0000-0000-0000D12A0000}"/>
    <cellStyle name="Input 6 6 6" xfId="12150" xr:uid="{00000000-0005-0000-0000-0000D22A0000}"/>
    <cellStyle name="Input 6 6 6 2" xfId="26982" xr:uid="{00000000-0005-0000-0000-0000D32A0000}"/>
    <cellStyle name="Input 6 6 7" xfId="9746" xr:uid="{00000000-0005-0000-0000-0000D42A0000}"/>
    <cellStyle name="Input 6 6 7 2" xfId="20044" xr:uid="{00000000-0005-0000-0000-0000D52A0000}"/>
    <cellStyle name="Input 6 7" xfId="2210" xr:uid="{00000000-0005-0000-0000-0000D62A0000}"/>
    <cellStyle name="Input 6 7 2" xfId="3443" xr:uid="{00000000-0005-0000-0000-0000D72A0000}"/>
    <cellStyle name="Input 6 7 2 2" xfId="7506" xr:uid="{00000000-0005-0000-0000-0000D82A0000}"/>
    <cellStyle name="Input 6 7 2 2 2" xfId="23479" xr:uid="{00000000-0005-0000-0000-0000D92A0000}"/>
    <cellStyle name="Input 6 7 2 3" xfId="13780" xr:uid="{00000000-0005-0000-0000-0000DA2A0000}"/>
    <cellStyle name="Input 6 7 2 3 2" xfId="28612" xr:uid="{00000000-0005-0000-0000-0000DB2A0000}"/>
    <cellStyle name="Input 6 7 2 4" xfId="21155" xr:uid="{00000000-0005-0000-0000-0000DC2A0000}"/>
    <cellStyle name="Input 6 7 3" xfId="5178" xr:uid="{00000000-0005-0000-0000-0000DD2A0000}"/>
    <cellStyle name="Input 6 7 3 2" xfId="9217" xr:uid="{00000000-0005-0000-0000-0000DE2A0000}"/>
    <cellStyle name="Input 6 7 3 2 2" xfId="24555" xr:uid="{00000000-0005-0000-0000-0000DF2A0000}"/>
    <cellStyle name="Input 6 7 3 3" xfId="15496" xr:uid="{00000000-0005-0000-0000-0000E02A0000}"/>
    <cellStyle name="Input 6 7 3 3 2" xfId="30328" xr:uid="{00000000-0005-0000-0000-0000E12A0000}"/>
    <cellStyle name="Input 6 7 3 4" xfId="22062" xr:uid="{00000000-0005-0000-0000-0000E22A0000}"/>
    <cellStyle name="Input 6 7 4" xfId="4208" xr:uid="{00000000-0005-0000-0000-0000E32A0000}"/>
    <cellStyle name="Input 6 7 4 2" xfId="8249" xr:uid="{00000000-0005-0000-0000-0000E42A0000}"/>
    <cellStyle name="Input 6 7 4 2 2" xfId="23944" xr:uid="{00000000-0005-0000-0000-0000E52A0000}"/>
    <cellStyle name="Input 6 7 4 3" xfId="14540" xr:uid="{00000000-0005-0000-0000-0000E62A0000}"/>
    <cellStyle name="Input 6 7 4 3 2" xfId="29372" xr:uid="{00000000-0005-0000-0000-0000E72A0000}"/>
    <cellStyle name="Input 6 7 4 4" xfId="21569" xr:uid="{00000000-0005-0000-0000-0000E82A0000}"/>
    <cellStyle name="Input 6 7 5" xfId="6324" xr:uid="{00000000-0005-0000-0000-0000E92A0000}"/>
    <cellStyle name="Input 6 7 5 2" xfId="22726" xr:uid="{00000000-0005-0000-0000-0000EA2A0000}"/>
    <cellStyle name="Input 6 7 6" xfId="12578" xr:uid="{00000000-0005-0000-0000-0000EB2A0000}"/>
    <cellStyle name="Input 6 7 6 2" xfId="27410" xr:uid="{00000000-0005-0000-0000-0000EC2A0000}"/>
    <cellStyle name="Input 6 7 7" xfId="20405" xr:uid="{00000000-0005-0000-0000-0000ED2A0000}"/>
    <cellStyle name="Input 6 8" xfId="3259" xr:uid="{00000000-0005-0000-0000-0000EE2A0000}"/>
    <cellStyle name="Input 6 8 2" xfId="7323" xr:uid="{00000000-0005-0000-0000-0000EF2A0000}"/>
    <cellStyle name="Input 6 8 2 2" xfId="23358" xr:uid="{00000000-0005-0000-0000-0000F02A0000}"/>
    <cellStyle name="Input 6 8 3" xfId="13596" xr:uid="{00000000-0005-0000-0000-0000F12A0000}"/>
    <cellStyle name="Input 6 8 3 2" xfId="28428" xr:uid="{00000000-0005-0000-0000-0000F22A0000}"/>
    <cellStyle name="Input 6 8 4" xfId="21045" xr:uid="{00000000-0005-0000-0000-0000F32A0000}"/>
    <cellStyle name="Input 6 9" xfId="3316" xr:uid="{00000000-0005-0000-0000-0000F42A0000}"/>
    <cellStyle name="Input 6 9 2" xfId="7379" xr:uid="{00000000-0005-0000-0000-0000F52A0000}"/>
    <cellStyle name="Input 6 9 2 2" xfId="23395" xr:uid="{00000000-0005-0000-0000-0000F62A0000}"/>
    <cellStyle name="Input 6 9 3" xfId="13653" xr:uid="{00000000-0005-0000-0000-0000F72A0000}"/>
    <cellStyle name="Input 6 9 3 2" xfId="28485" xr:uid="{00000000-0005-0000-0000-0000F82A0000}"/>
    <cellStyle name="Input 6 9 4" xfId="21083" xr:uid="{00000000-0005-0000-0000-0000F92A0000}"/>
    <cellStyle name="Input 7" xfId="1124" xr:uid="{00000000-0005-0000-0000-0000FA2A0000}"/>
    <cellStyle name="Input 7 10" xfId="2295" xr:uid="{00000000-0005-0000-0000-0000FB2A0000}"/>
    <cellStyle name="Input 7 10 2" xfId="6407" xr:uid="{00000000-0005-0000-0000-0000FC2A0000}"/>
    <cellStyle name="Input 7 10 2 2" xfId="22809" xr:uid="{00000000-0005-0000-0000-0000FD2A0000}"/>
    <cellStyle name="Input 7 10 3" xfId="12635" xr:uid="{00000000-0005-0000-0000-0000FE2A0000}"/>
    <cellStyle name="Input 7 10 3 2" xfId="27467" xr:uid="{00000000-0005-0000-0000-0000FF2A0000}"/>
    <cellStyle name="Input 7 10 4" xfId="20461" xr:uid="{00000000-0005-0000-0000-0000002B0000}"/>
    <cellStyle name="Input 7 11" xfId="5261" xr:uid="{00000000-0005-0000-0000-0000012B0000}"/>
    <cellStyle name="Input 7 11 2" xfId="15577" xr:uid="{00000000-0005-0000-0000-0000022B0000}"/>
    <cellStyle name="Input 7 11 2 2" xfId="30409" xr:uid="{00000000-0005-0000-0000-0000032B0000}"/>
    <cellStyle name="Input 7 11 3" xfId="22118" xr:uid="{00000000-0005-0000-0000-0000042B0000}"/>
    <cellStyle name="Input 7 12" xfId="5419" xr:uid="{00000000-0005-0000-0000-0000052B0000}"/>
    <cellStyle name="Input 7 12 2" xfId="15655" xr:uid="{00000000-0005-0000-0000-0000062B0000}"/>
    <cellStyle name="Input 7 12 2 2" xfId="30487" xr:uid="{00000000-0005-0000-0000-0000072B0000}"/>
    <cellStyle name="Input 7 12 3" xfId="22180" xr:uid="{00000000-0005-0000-0000-0000082B0000}"/>
    <cellStyle name="Input 7 13" xfId="9372" xr:uid="{00000000-0005-0000-0000-0000092B0000}"/>
    <cellStyle name="Input 7 13 2" xfId="24678" xr:uid="{00000000-0005-0000-0000-00000A2B0000}"/>
    <cellStyle name="Input 7 14" xfId="5361" xr:uid="{00000000-0005-0000-0000-00000B2B0000}"/>
    <cellStyle name="Input 7 14 2" xfId="18235" xr:uid="{00000000-0005-0000-0000-00000C2B0000}"/>
    <cellStyle name="Input 7 2" xfId="1331" xr:uid="{00000000-0005-0000-0000-00000D2B0000}"/>
    <cellStyle name="Input 7 2 2" xfId="1835" xr:uid="{00000000-0005-0000-0000-00000E2B0000}"/>
    <cellStyle name="Input 7 2 2 2" xfId="3825" xr:uid="{00000000-0005-0000-0000-00000F2B0000}"/>
    <cellStyle name="Input 7 2 2 2 2" xfId="7878" xr:uid="{00000000-0005-0000-0000-0000102B0000}"/>
    <cellStyle name="Input 7 2 2 2 2 2" xfId="23722" xr:uid="{00000000-0005-0000-0000-0000112B0000}"/>
    <cellStyle name="Input 7 2 2 2 3" xfId="14160" xr:uid="{00000000-0005-0000-0000-0000122B0000}"/>
    <cellStyle name="Input 7 2 2 2 3 2" xfId="28992" xr:uid="{00000000-0005-0000-0000-0000132B0000}"/>
    <cellStyle name="Input 7 2 2 2 4" xfId="21370" xr:uid="{00000000-0005-0000-0000-0000142B0000}"/>
    <cellStyle name="Input 7 2 2 3" xfId="4813" xr:uid="{00000000-0005-0000-0000-0000152B0000}"/>
    <cellStyle name="Input 7 2 2 3 2" xfId="8852" xr:uid="{00000000-0005-0000-0000-0000162B0000}"/>
    <cellStyle name="Input 7 2 2 3 2 2" xfId="24350" xr:uid="{00000000-0005-0000-0000-0000172B0000}"/>
    <cellStyle name="Input 7 2 2 3 3" xfId="15137" xr:uid="{00000000-0005-0000-0000-0000182B0000}"/>
    <cellStyle name="Input 7 2 2 3 3 2" xfId="29969" xr:uid="{00000000-0005-0000-0000-0000192B0000}"/>
    <cellStyle name="Input 7 2 2 3 4" xfId="21888" xr:uid="{00000000-0005-0000-0000-00001A2B0000}"/>
    <cellStyle name="Input 7 2 2 4" xfId="2803" xr:uid="{00000000-0005-0000-0000-00001B2B0000}"/>
    <cellStyle name="Input 7 2 2 4 2" xfId="6894" xr:uid="{00000000-0005-0000-0000-00001C2B0000}"/>
    <cellStyle name="Input 7 2 2 4 2 2" xfId="23101" xr:uid="{00000000-0005-0000-0000-00001D2B0000}"/>
    <cellStyle name="Input 7 2 2 4 3" xfId="13141" xr:uid="{00000000-0005-0000-0000-00001E2B0000}"/>
    <cellStyle name="Input 7 2 2 4 3 2" xfId="27973" xr:uid="{00000000-0005-0000-0000-00001F2B0000}"/>
    <cellStyle name="Input 7 2 2 4 4" xfId="20761" xr:uid="{00000000-0005-0000-0000-0000202B0000}"/>
    <cellStyle name="Input 7 2 2 5" xfId="5967" xr:uid="{00000000-0005-0000-0000-0000212B0000}"/>
    <cellStyle name="Input 7 2 2 5 2" xfId="16159" xr:uid="{00000000-0005-0000-0000-0000222B0000}"/>
    <cellStyle name="Input 7 2 2 5 2 2" xfId="30991" xr:uid="{00000000-0005-0000-0000-0000232B0000}"/>
    <cellStyle name="Input 7 2 2 5 3" xfId="22532" xr:uid="{00000000-0005-0000-0000-0000242B0000}"/>
    <cellStyle name="Input 7 2 2 6" xfId="12229" xr:uid="{00000000-0005-0000-0000-0000252B0000}"/>
    <cellStyle name="Input 7 2 2 6 2" xfId="27061" xr:uid="{00000000-0005-0000-0000-0000262B0000}"/>
    <cellStyle name="Input 7 2 2 7" xfId="9825" xr:uid="{00000000-0005-0000-0000-0000272B0000}"/>
    <cellStyle name="Input 7 2 2 7 2" xfId="20076" xr:uid="{00000000-0005-0000-0000-0000282B0000}"/>
    <cellStyle name="Input 7 2 3" xfId="3198" xr:uid="{00000000-0005-0000-0000-0000292B0000}"/>
    <cellStyle name="Input 7 2 3 2" xfId="7262" xr:uid="{00000000-0005-0000-0000-00002A2B0000}"/>
    <cellStyle name="Input 7 2 3 2 2" xfId="23313" xr:uid="{00000000-0005-0000-0000-00002B2B0000}"/>
    <cellStyle name="Input 7 2 3 3" xfId="13536" xr:uid="{00000000-0005-0000-0000-00002C2B0000}"/>
    <cellStyle name="Input 7 2 3 3 2" xfId="28368" xr:uid="{00000000-0005-0000-0000-00002D2B0000}"/>
    <cellStyle name="Input 7 2 3 4" xfId="21003" xr:uid="{00000000-0005-0000-0000-00002E2B0000}"/>
    <cellStyle name="Input 7 2 4" xfId="4393" xr:uid="{00000000-0005-0000-0000-00002F2B0000}"/>
    <cellStyle name="Input 7 2 4 2" xfId="8432" xr:uid="{00000000-0005-0000-0000-0000302B0000}"/>
    <cellStyle name="Input 7 2 4 2 2" xfId="24090" xr:uid="{00000000-0005-0000-0000-0000312B0000}"/>
    <cellStyle name="Input 7 2 4 3" xfId="14722" xr:uid="{00000000-0005-0000-0000-0000322B0000}"/>
    <cellStyle name="Input 7 2 4 3 2" xfId="29554" xr:uid="{00000000-0005-0000-0000-0000332B0000}"/>
    <cellStyle name="Input 7 2 4 4" xfId="21658" xr:uid="{00000000-0005-0000-0000-0000342B0000}"/>
    <cellStyle name="Input 7 2 5" xfId="2383" xr:uid="{00000000-0005-0000-0000-0000352B0000}"/>
    <cellStyle name="Input 7 2 5 2" xfId="6495" xr:uid="{00000000-0005-0000-0000-0000362B0000}"/>
    <cellStyle name="Input 7 2 5 2 2" xfId="22865" xr:uid="{00000000-0005-0000-0000-0000372B0000}"/>
    <cellStyle name="Input 7 2 5 3" xfId="12722" xr:uid="{00000000-0005-0000-0000-0000382B0000}"/>
    <cellStyle name="Input 7 2 5 3 2" xfId="27554" xr:uid="{00000000-0005-0000-0000-0000392B0000}"/>
    <cellStyle name="Input 7 2 5 4" xfId="20507" xr:uid="{00000000-0005-0000-0000-00003A2B0000}"/>
    <cellStyle name="Input 7 2 6" xfId="5508" xr:uid="{00000000-0005-0000-0000-00003B2B0000}"/>
    <cellStyle name="Input 7 2 6 2" xfId="15743" xr:uid="{00000000-0005-0000-0000-00003C2B0000}"/>
    <cellStyle name="Input 7 2 6 2 2" xfId="30575" xr:uid="{00000000-0005-0000-0000-00003D2B0000}"/>
    <cellStyle name="Input 7 2 6 3" xfId="22236" xr:uid="{00000000-0005-0000-0000-00003E2B0000}"/>
    <cellStyle name="Input 7 2 7" xfId="11758" xr:uid="{00000000-0005-0000-0000-00003F2B0000}"/>
    <cellStyle name="Input 7 2 7 2" xfId="26590" xr:uid="{00000000-0005-0000-0000-0000402B0000}"/>
    <cellStyle name="Input 7 2 8" xfId="9429" xr:uid="{00000000-0005-0000-0000-0000412B0000}"/>
    <cellStyle name="Input 7 2 8 2" xfId="19733" xr:uid="{00000000-0005-0000-0000-0000422B0000}"/>
    <cellStyle name="Input 7 3" xfId="1489" xr:uid="{00000000-0005-0000-0000-0000432B0000}"/>
    <cellStyle name="Input 7 3 2" xfId="1990" xr:uid="{00000000-0005-0000-0000-0000442B0000}"/>
    <cellStyle name="Input 7 3 2 2" xfId="3913" xr:uid="{00000000-0005-0000-0000-0000452B0000}"/>
    <cellStyle name="Input 7 3 2 2 2" xfId="7964" xr:uid="{00000000-0005-0000-0000-0000462B0000}"/>
    <cellStyle name="Input 7 3 2 2 2 2" xfId="23774" xr:uid="{00000000-0005-0000-0000-0000472B0000}"/>
    <cellStyle name="Input 7 3 2 2 3" xfId="14246" xr:uid="{00000000-0005-0000-0000-0000482B0000}"/>
    <cellStyle name="Input 7 3 2 2 3 2" xfId="29078" xr:uid="{00000000-0005-0000-0000-0000492B0000}"/>
    <cellStyle name="Input 7 3 2 2 4" xfId="21415" xr:uid="{00000000-0005-0000-0000-00004A2B0000}"/>
    <cellStyle name="Input 7 3 2 3" xfId="4954" xr:uid="{00000000-0005-0000-0000-00004B2B0000}"/>
    <cellStyle name="Input 7 3 2 3 2" xfId="8993" xr:uid="{00000000-0005-0000-0000-00004C2B0000}"/>
    <cellStyle name="Input 7 3 2 3 2 2" xfId="24459" xr:uid="{00000000-0005-0000-0000-00004D2B0000}"/>
    <cellStyle name="Input 7 3 2 3 3" xfId="15276" xr:uid="{00000000-0005-0000-0000-00004E2B0000}"/>
    <cellStyle name="Input 7 3 2 3 3 2" xfId="30108" xr:uid="{00000000-0005-0000-0000-00004F2B0000}"/>
    <cellStyle name="Input 7 3 2 3 4" xfId="21989" xr:uid="{00000000-0005-0000-0000-0000502B0000}"/>
    <cellStyle name="Input 7 3 2 4" xfId="2944" xr:uid="{00000000-0005-0000-0000-0000512B0000}"/>
    <cellStyle name="Input 7 3 2 4 2" xfId="7028" xr:uid="{00000000-0005-0000-0000-0000522B0000}"/>
    <cellStyle name="Input 7 3 2 4 2 2" xfId="23202" xr:uid="{00000000-0005-0000-0000-0000532B0000}"/>
    <cellStyle name="Input 7 3 2 4 3" xfId="13282" xr:uid="{00000000-0005-0000-0000-0000542B0000}"/>
    <cellStyle name="Input 7 3 2 4 3 2" xfId="28114" xr:uid="{00000000-0005-0000-0000-0000552B0000}"/>
    <cellStyle name="Input 7 3 2 4 4" xfId="20870" xr:uid="{00000000-0005-0000-0000-0000562B0000}"/>
    <cellStyle name="Input 7 3 2 5" xfId="6120" xr:uid="{00000000-0005-0000-0000-0000572B0000}"/>
    <cellStyle name="Input 7 3 2 5 2" xfId="16307" xr:uid="{00000000-0005-0000-0000-0000582B0000}"/>
    <cellStyle name="Input 7 3 2 5 2 2" xfId="31139" xr:uid="{00000000-0005-0000-0000-0000592B0000}"/>
    <cellStyle name="Input 7 3 2 5 3" xfId="22653" xr:uid="{00000000-0005-0000-0000-00005A2B0000}"/>
    <cellStyle name="Input 7 3 2 6" xfId="12377" xr:uid="{00000000-0005-0000-0000-00005B2B0000}"/>
    <cellStyle name="Input 7 3 2 6 2" xfId="27209" xr:uid="{00000000-0005-0000-0000-00005C2B0000}"/>
    <cellStyle name="Input 7 3 2 7" xfId="9959" xr:uid="{00000000-0005-0000-0000-00005D2B0000}"/>
    <cellStyle name="Input 7 3 2 7 2" xfId="20161" xr:uid="{00000000-0005-0000-0000-00005E2B0000}"/>
    <cellStyle name="Input 7 3 3" xfId="4111" xr:uid="{00000000-0005-0000-0000-00005F2B0000}"/>
    <cellStyle name="Input 7 3 3 2" xfId="8157" xr:uid="{00000000-0005-0000-0000-0000602B0000}"/>
    <cellStyle name="Input 7 3 3 2 2" xfId="23896" xr:uid="{00000000-0005-0000-0000-0000612B0000}"/>
    <cellStyle name="Input 7 3 3 3" xfId="14443" xr:uid="{00000000-0005-0000-0000-0000622B0000}"/>
    <cellStyle name="Input 7 3 3 3 2" xfId="29275" xr:uid="{00000000-0005-0000-0000-0000632B0000}"/>
    <cellStyle name="Input 7 3 3 4" xfId="21526" xr:uid="{00000000-0005-0000-0000-0000642B0000}"/>
    <cellStyle name="Input 7 3 4" xfId="4534" xr:uid="{00000000-0005-0000-0000-0000652B0000}"/>
    <cellStyle name="Input 7 3 4 2" xfId="8573" xr:uid="{00000000-0005-0000-0000-0000662B0000}"/>
    <cellStyle name="Input 7 3 4 2 2" xfId="24199" xr:uid="{00000000-0005-0000-0000-0000672B0000}"/>
    <cellStyle name="Input 7 3 4 3" xfId="14861" xr:uid="{00000000-0005-0000-0000-0000682B0000}"/>
    <cellStyle name="Input 7 3 4 3 2" xfId="29693" xr:uid="{00000000-0005-0000-0000-0000692B0000}"/>
    <cellStyle name="Input 7 3 4 4" xfId="21759" xr:uid="{00000000-0005-0000-0000-00006A2B0000}"/>
    <cellStyle name="Input 7 3 5" xfId="2524" xr:uid="{00000000-0005-0000-0000-00006B2B0000}"/>
    <cellStyle name="Input 7 3 5 2" xfId="6630" xr:uid="{00000000-0005-0000-0000-00006C2B0000}"/>
    <cellStyle name="Input 7 3 5 2 2" xfId="22968" xr:uid="{00000000-0005-0000-0000-00006D2B0000}"/>
    <cellStyle name="Input 7 3 5 3" xfId="12862" xr:uid="{00000000-0005-0000-0000-00006E2B0000}"/>
    <cellStyle name="Input 7 3 5 3 2" xfId="27694" xr:uid="{00000000-0005-0000-0000-00006F2B0000}"/>
    <cellStyle name="Input 7 3 5 4" xfId="20614" xr:uid="{00000000-0005-0000-0000-0000702B0000}"/>
    <cellStyle name="Input 7 3 6" xfId="5647" xr:uid="{00000000-0005-0000-0000-0000712B0000}"/>
    <cellStyle name="Input 7 3 6 2" xfId="15882" xr:uid="{00000000-0005-0000-0000-0000722B0000}"/>
    <cellStyle name="Input 7 3 6 2 2" xfId="30714" xr:uid="{00000000-0005-0000-0000-0000732B0000}"/>
    <cellStyle name="Input 7 3 6 3" xfId="22343" xr:uid="{00000000-0005-0000-0000-0000742B0000}"/>
    <cellStyle name="Input 7 3 7" xfId="11906" xr:uid="{00000000-0005-0000-0000-0000752B0000}"/>
    <cellStyle name="Input 7 3 7 2" xfId="26738" xr:uid="{00000000-0005-0000-0000-0000762B0000}"/>
    <cellStyle name="Input 7 3 8" xfId="9564" xr:uid="{00000000-0005-0000-0000-0000772B0000}"/>
    <cellStyle name="Input 7 3 8 2" xfId="19866" xr:uid="{00000000-0005-0000-0000-0000782B0000}"/>
    <cellStyle name="Input 7 4" xfId="1391" xr:uid="{00000000-0005-0000-0000-0000792B0000}"/>
    <cellStyle name="Input 7 4 2" xfId="1893" xr:uid="{00000000-0005-0000-0000-00007A2B0000}"/>
    <cellStyle name="Input 7 4 2 2" xfId="3347" xr:uid="{00000000-0005-0000-0000-00007B2B0000}"/>
    <cellStyle name="Input 7 4 2 2 2" xfId="7410" xr:uid="{00000000-0005-0000-0000-00007C2B0000}"/>
    <cellStyle name="Input 7 4 2 2 2 2" xfId="23415" xr:uid="{00000000-0005-0000-0000-00007D2B0000}"/>
    <cellStyle name="Input 7 4 2 2 3" xfId="13684" xr:uid="{00000000-0005-0000-0000-00007E2B0000}"/>
    <cellStyle name="Input 7 4 2 2 3 2" xfId="28516" xr:uid="{00000000-0005-0000-0000-00007F2B0000}"/>
    <cellStyle name="Input 7 4 2 2 4" xfId="21102" xr:uid="{00000000-0005-0000-0000-0000802B0000}"/>
    <cellStyle name="Input 7 4 2 3" xfId="4871" xr:uid="{00000000-0005-0000-0000-0000812B0000}"/>
    <cellStyle name="Input 7 4 2 3 2" xfId="8910" xr:uid="{00000000-0005-0000-0000-0000822B0000}"/>
    <cellStyle name="Input 7 4 2 3 2 2" xfId="24376" xr:uid="{00000000-0005-0000-0000-0000832B0000}"/>
    <cellStyle name="Input 7 4 2 3 3" xfId="15194" xr:uid="{00000000-0005-0000-0000-0000842B0000}"/>
    <cellStyle name="Input 7 4 2 3 3 2" xfId="30026" xr:uid="{00000000-0005-0000-0000-0000852B0000}"/>
    <cellStyle name="Input 7 4 2 3 4" xfId="21908" xr:uid="{00000000-0005-0000-0000-0000862B0000}"/>
    <cellStyle name="Input 7 4 2 4" xfId="2861" xr:uid="{00000000-0005-0000-0000-0000872B0000}"/>
    <cellStyle name="Input 7 4 2 4 2" xfId="6946" xr:uid="{00000000-0005-0000-0000-0000882B0000}"/>
    <cellStyle name="Input 7 4 2 4 2 2" xfId="23121" xr:uid="{00000000-0005-0000-0000-0000892B0000}"/>
    <cellStyle name="Input 7 4 2 4 3" xfId="13199" xr:uid="{00000000-0005-0000-0000-00008A2B0000}"/>
    <cellStyle name="Input 7 4 2 4 3 2" xfId="28031" xr:uid="{00000000-0005-0000-0000-00008B2B0000}"/>
    <cellStyle name="Input 7 4 2 4 4" xfId="20787" xr:uid="{00000000-0005-0000-0000-00008C2B0000}"/>
    <cellStyle name="Input 7 4 2 5" xfId="6024" xr:uid="{00000000-0005-0000-0000-00008D2B0000}"/>
    <cellStyle name="Input 7 4 2 5 2" xfId="16211" xr:uid="{00000000-0005-0000-0000-00008E2B0000}"/>
    <cellStyle name="Input 7 4 2 5 2 2" xfId="31043" xr:uid="{00000000-0005-0000-0000-00008F2B0000}"/>
    <cellStyle name="Input 7 4 2 5 3" xfId="22557" xr:uid="{00000000-0005-0000-0000-0000902B0000}"/>
    <cellStyle name="Input 7 4 2 6" xfId="12281" xr:uid="{00000000-0005-0000-0000-0000912B0000}"/>
    <cellStyle name="Input 7 4 2 6 2" xfId="27113" xr:uid="{00000000-0005-0000-0000-0000922B0000}"/>
    <cellStyle name="Input 7 4 2 7" xfId="9877" xr:uid="{00000000-0005-0000-0000-0000932B0000}"/>
    <cellStyle name="Input 7 4 2 7 2" xfId="20081" xr:uid="{00000000-0005-0000-0000-0000942B0000}"/>
    <cellStyle name="Input 7 4 3" xfId="3456" xr:uid="{00000000-0005-0000-0000-0000952B0000}"/>
    <cellStyle name="Input 7 4 3 2" xfId="7519" xr:uid="{00000000-0005-0000-0000-0000962B0000}"/>
    <cellStyle name="Input 7 4 3 2 2" xfId="23489" xr:uid="{00000000-0005-0000-0000-0000972B0000}"/>
    <cellStyle name="Input 7 4 3 3" xfId="13793" xr:uid="{00000000-0005-0000-0000-0000982B0000}"/>
    <cellStyle name="Input 7 4 3 3 2" xfId="28625" xr:uid="{00000000-0005-0000-0000-0000992B0000}"/>
    <cellStyle name="Input 7 4 3 4" xfId="21164" xr:uid="{00000000-0005-0000-0000-00009A2B0000}"/>
    <cellStyle name="Input 7 4 4" xfId="4451" xr:uid="{00000000-0005-0000-0000-00009B2B0000}"/>
    <cellStyle name="Input 7 4 4 2" xfId="8490" xr:uid="{00000000-0005-0000-0000-00009C2B0000}"/>
    <cellStyle name="Input 7 4 4 2 2" xfId="24116" xr:uid="{00000000-0005-0000-0000-00009D2B0000}"/>
    <cellStyle name="Input 7 4 4 3" xfId="14779" xr:uid="{00000000-0005-0000-0000-00009E2B0000}"/>
    <cellStyle name="Input 7 4 4 3 2" xfId="29611" xr:uid="{00000000-0005-0000-0000-00009F2B0000}"/>
    <cellStyle name="Input 7 4 4 4" xfId="21678" xr:uid="{00000000-0005-0000-0000-0000A02B0000}"/>
    <cellStyle name="Input 7 4 5" xfId="2441" xr:uid="{00000000-0005-0000-0000-0000A12B0000}"/>
    <cellStyle name="Input 7 4 5 2" xfId="6547" xr:uid="{00000000-0005-0000-0000-0000A22B0000}"/>
    <cellStyle name="Input 7 4 5 2 2" xfId="22885" xr:uid="{00000000-0005-0000-0000-0000A32B0000}"/>
    <cellStyle name="Input 7 4 5 3" xfId="12780" xr:uid="{00000000-0005-0000-0000-0000A42B0000}"/>
    <cellStyle name="Input 7 4 5 3 2" xfId="27612" xr:uid="{00000000-0005-0000-0000-0000A52B0000}"/>
    <cellStyle name="Input 7 4 5 4" xfId="20533" xr:uid="{00000000-0005-0000-0000-0000A62B0000}"/>
    <cellStyle name="Input 7 4 6" xfId="5565" xr:uid="{00000000-0005-0000-0000-0000A72B0000}"/>
    <cellStyle name="Input 7 4 6 2" xfId="15800" xr:uid="{00000000-0005-0000-0000-0000A82B0000}"/>
    <cellStyle name="Input 7 4 6 2 2" xfId="30632" xr:uid="{00000000-0005-0000-0000-0000A92B0000}"/>
    <cellStyle name="Input 7 4 6 3" xfId="22261" xr:uid="{00000000-0005-0000-0000-0000AA2B0000}"/>
    <cellStyle name="Input 7 4 7" xfId="11810" xr:uid="{00000000-0005-0000-0000-0000AB2B0000}"/>
    <cellStyle name="Input 7 4 7 2" xfId="26642" xr:uid="{00000000-0005-0000-0000-0000AC2B0000}"/>
    <cellStyle name="Input 7 4 8" xfId="9482" xr:uid="{00000000-0005-0000-0000-0000AD2B0000}"/>
    <cellStyle name="Input 7 4 8 2" xfId="19785" xr:uid="{00000000-0005-0000-0000-0000AE2B0000}"/>
    <cellStyle name="Input 7 5" xfId="1495" xr:uid="{00000000-0005-0000-0000-0000AF2B0000}"/>
    <cellStyle name="Input 7 5 2" xfId="1996" xr:uid="{00000000-0005-0000-0000-0000B02B0000}"/>
    <cellStyle name="Input 7 5 2 2" xfId="3483" xr:uid="{00000000-0005-0000-0000-0000B12B0000}"/>
    <cellStyle name="Input 7 5 2 2 2" xfId="7545" xr:uid="{00000000-0005-0000-0000-0000B22B0000}"/>
    <cellStyle name="Input 7 5 2 2 2 2" xfId="23509" xr:uid="{00000000-0005-0000-0000-0000B32B0000}"/>
    <cellStyle name="Input 7 5 2 2 3" xfId="13820" xr:uid="{00000000-0005-0000-0000-0000B42B0000}"/>
    <cellStyle name="Input 7 5 2 2 3 2" xfId="28652" xr:uid="{00000000-0005-0000-0000-0000B52B0000}"/>
    <cellStyle name="Input 7 5 2 2 4" xfId="21185" xr:uid="{00000000-0005-0000-0000-0000B62B0000}"/>
    <cellStyle name="Input 7 5 2 3" xfId="4960" xr:uid="{00000000-0005-0000-0000-0000B72B0000}"/>
    <cellStyle name="Input 7 5 2 3 2" xfId="8999" xr:uid="{00000000-0005-0000-0000-0000B82B0000}"/>
    <cellStyle name="Input 7 5 2 3 2 2" xfId="24465" xr:uid="{00000000-0005-0000-0000-0000B92B0000}"/>
    <cellStyle name="Input 7 5 2 3 3" xfId="15282" xr:uid="{00000000-0005-0000-0000-0000BA2B0000}"/>
    <cellStyle name="Input 7 5 2 3 3 2" xfId="30114" xr:uid="{00000000-0005-0000-0000-0000BB2B0000}"/>
    <cellStyle name="Input 7 5 2 3 4" xfId="21995" xr:uid="{00000000-0005-0000-0000-0000BC2B0000}"/>
    <cellStyle name="Input 7 5 2 4" xfId="2950" xr:uid="{00000000-0005-0000-0000-0000BD2B0000}"/>
    <cellStyle name="Input 7 5 2 4 2" xfId="7034" xr:uid="{00000000-0005-0000-0000-0000BE2B0000}"/>
    <cellStyle name="Input 7 5 2 4 2 2" xfId="23208" xr:uid="{00000000-0005-0000-0000-0000BF2B0000}"/>
    <cellStyle name="Input 7 5 2 4 3" xfId="13288" xr:uid="{00000000-0005-0000-0000-0000C02B0000}"/>
    <cellStyle name="Input 7 5 2 4 3 2" xfId="28120" xr:uid="{00000000-0005-0000-0000-0000C12B0000}"/>
    <cellStyle name="Input 7 5 2 4 4" xfId="20876" xr:uid="{00000000-0005-0000-0000-0000C22B0000}"/>
    <cellStyle name="Input 7 5 2 5" xfId="6126" xr:uid="{00000000-0005-0000-0000-0000C32B0000}"/>
    <cellStyle name="Input 7 5 2 5 2" xfId="16313" xr:uid="{00000000-0005-0000-0000-0000C42B0000}"/>
    <cellStyle name="Input 7 5 2 5 2 2" xfId="31145" xr:uid="{00000000-0005-0000-0000-0000C52B0000}"/>
    <cellStyle name="Input 7 5 2 5 3" xfId="22659" xr:uid="{00000000-0005-0000-0000-0000C62B0000}"/>
    <cellStyle name="Input 7 5 2 6" xfId="12383" xr:uid="{00000000-0005-0000-0000-0000C72B0000}"/>
    <cellStyle name="Input 7 5 2 6 2" xfId="27215" xr:uid="{00000000-0005-0000-0000-0000C82B0000}"/>
    <cellStyle name="Input 7 5 2 7" xfId="9965" xr:uid="{00000000-0005-0000-0000-0000C92B0000}"/>
    <cellStyle name="Input 7 5 2 7 2" xfId="20167" xr:uid="{00000000-0005-0000-0000-0000CA2B0000}"/>
    <cellStyle name="Input 7 5 3" xfId="3164" xr:uid="{00000000-0005-0000-0000-0000CB2B0000}"/>
    <cellStyle name="Input 7 5 3 2" xfId="7228" xr:uid="{00000000-0005-0000-0000-0000CC2B0000}"/>
    <cellStyle name="Input 7 5 3 2 2" xfId="23291" xr:uid="{00000000-0005-0000-0000-0000CD2B0000}"/>
    <cellStyle name="Input 7 5 3 3" xfId="13502" xr:uid="{00000000-0005-0000-0000-0000CE2B0000}"/>
    <cellStyle name="Input 7 5 3 3 2" xfId="28334" xr:uid="{00000000-0005-0000-0000-0000CF2B0000}"/>
    <cellStyle name="Input 7 5 3 4" xfId="20982" xr:uid="{00000000-0005-0000-0000-0000D02B0000}"/>
    <cellStyle name="Input 7 5 4" xfId="4540" xr:uid="{00000000-0005-0000-0000-0000D12B0000}"/>
    <cellStyle name="Input 7 5 4 2" xfId="8579" xr:uid="{00000000-0005-0000-0000-0000D22B0000}"/>
    <cellStyle name="Input 7 5 4 2 2" xfId="24205" xr:uid="{00000000-0005-0000-0000-0000D32B0000}"/>
    <cellStyle name="Input 7 5 4 3" xfId="14867" xr:uid="{00000000-0005-0000-0000-0000D42B0000}"/>
    <cellStyle name="Input 7 5 4 3 2" xfId="29699" xr:uid="{00000000-0005-0000-0000-0000D52B0000}"/>
    <cellStyle name="Input 7 5 4 4" xfId="21765" xr:uid="{00000000-0005-0000-0000-0000D62B0000}"/>
    <cellStyle name="Input 7 5 5" xfId="2530" xr:uid="{00000000-0005-0000-0000-0000D72B0000}"/>
    <cellStyle name="Input 7 5 5 2" xfId="6636" xr:uid="{00000000-0005-0000-0000-0000D82B0000}"/>
    <cellStyle name="Input 7 5 5 2 2" xfId="22974" xr:uid="{00000000-0005-0000-0000-0000D92B0000}"/>
    <cellStyle name="Input 7 5 5 3" xfId="12868" xr:uid="{00000000-0005-0000-0000-0000DA2B0000}"/>
    <cellStyle name="Input 7 5 5 3 2" xfId="27700" xr:uid="{00000000-0005-0000-0000-0000DB2B0000}"/>
    <cellStyle name="Input 7 5 5 4" xfId="20620" xr:uid="{00000000-0005-0000-0000-0000DC2B0000}"/>
    <cellStyle name="Input 7 5 6" xfId="5653" xr:uid="{00000000-0005-0000-0000-0000DD2B0000}"/>
    <cellStyle name="Input 7 5 6 2" xfId="15888" xr:uid="{00000000-0005-0000-0000-0000DE2B0000}"/>
    <cellStyle name="Input 7 5 6 2 2" xfId="30720" xr:uid="{00000000-0005-0000-0000-0000DF2B0000}"/>
    <cellStyle name="Input 7 5 6 3" xfId="22349" xr:uid="{00000000-0005-0000-0000-0000E02B0000}"/>
    <cellStyle name="Input 7 5 7" xfId="11912" xr:uid="{00000000-0005-0000-0000-0000E12B0000}"/>
    <cellStyle name="Input 7 5 7 2" xfId="26744" xr:uid="{00000000-0005-0000-0000-0000E22B0000}"/>
    <cellStyle name="Input 7 5 8" xfId="9570" xr:uid="{00000000-0005-0000-0000-0000E32B0000}"/>
    <cellStyle name="Input 7 5 8 2" xfId="19872" xr:uid="{00000000-0005-0000-0000-0000E42B0000}"/>
    <cellStyle name="Input 7 6" xfId="1757" xr:uid="{00000000-0005-0000-0000-0000E52B0000}"/>
    <cellStyle name="Input 7 6 2" xfId="3626" xr:uid="{00000000-0005-0000-0000-0000E62B0000}"/>
    <cellStyle name="Input 7 6 2 2" xfId="7685" xr:uid="{00000000-0005-0000-0000-0000E72B0000}"/>
    <cellStyle name="Input 7 6 2 2 2" xfId="23594" xr:uid="{00000000-0005-0000-0000-0000E82B0000}"/>
    <cellStyle name="Input 7 6 2 3" xfId="13961" xr:uid="{00000000-0005-0000-0000-0000E92B0000}"/>
    <cellStyle name="Input 7 6 2 3 2" xfId="28793" xr:uid="{00000000-0005-0000-0000-0000EA2B0000}"/>
    <cellStyle name="Input 7 6 2 4" xfId="21259" xr:uid="{00000000-0005-0000-0000-0000EB2B0000}"/>
    <cellStyle name="Input 7 6 3" xfId="4735" xr:uid="{00000000-0005-0000-0000-0000EC2B0000}"/>
    <cellStyle name="Input 7 6 3 2" xfId="8774" xr:uid="{00000000-0005-0000-0000-0000ED2B0000}"/>
    <cellStyle name="Input 7 6 3 2 2" xfId="24304" xr:uid="{00000000-0005-0000-0000-0000EE2B0000}"/>
    <cellStyle name="Input 7 6 3 3" xfId="15059" xr:uid="{00000000-0005-0000-0000-0000EF2B0000}"/>
    <cellStyle name="Input 7 6 3 3 2" xfId="29891" xr:uid="{00000000-0005-0000-0000-0000F02B0000}"/>
    <cellStyle name="Input 7 6 3 4" xfId="21842" xr:uid="{00000000-0005-0000-0000-0000F12B0000}"/>
    <cellStyle name="Input 7 6 4" xfId="2725" xr:uid="{00000000-0005-0000-0000-0000F22B0000}"/>
    <cellStyle name="Input 7 6 4 2" xfId="6816" xr:uid="{00000000-0005-0000-0000-0000F32B0000}"/>
    <cellStyle name="Input 7 6 4 2 2" xfId="23055" xr:uid="{00000000-0005-0000-0000-0000F42B0000}"/>
    <cellStyle name="Input 7 6 4 3" xfId="13063" xr:uid="{00000000-0005-0000-0000-0000F52B0000}"/>
    <cellStyle name="Input 7 6 4 3 2" xfId="27895" xr:uid="{00000000-0005-0000-0000-0000F62B0000}"/>
    <cellStyle name="Input 7 6 4 4" xfId="20715" xr:uid="{00000000-0005-0000-0000-0000F72B0000}"/>
    <cellStyle name="Input 7 6 5" xfId="5889" xr:uid="{00000000-0005-0000-0000-0000F82B0000}"/>
    <cellStyle name="Input 7 6 5 2" xfId="16081" xr:uid="{00000000-0005-0000-0000-0000F92B0000}"/>
    <cellStyle name="Input 7 6 5 2 2" xfId="30913" xr:uid="{00000000-0005-0000-0000-0000FA2B0000}"/>
    <cellStyle name="Input 7 6 5 3" xfId="22486" xr:uid="{00000000-0005-0000-0000-0000FB2B0000}"/>
    <cellStyle name="Input 7 6 6" xfId="12151" xr:uid="{00000000-0005-0000-0000-0000FC2B0000}"/>
    <cellStyle name="Input 7 6 6 2" xfId="26983" xr:uid="{00000000-0005-0000-0000-0000FD2B0000}"/>
    <cellStyle name="Input 7 6 7" xfId="9747" xr:uid="{00000000-0005-0000-0000-0000FE2B0000}"/>
    <cellStyle name="Input 7 6 7 2" xfId="20045" xr:uid="{00000000-0005-0000-0000-0000FF2B0000}"/>
    <cellStyle name="Input 7 7" xfId="2209" xr:uid="{00000000-0005-0000-0000-0000002C0000}"/>
    <cellStyle name="Input 7 7 2" xfId="3422" xr:uid="{00000000-0005-0000-0000-0000012C0000}"/>
    <cellStyle name="Input 7 7 2 2" xfId="7485" xr:uid="{00000000-0005-0000-0000-0000022C0000}"/>
    <cellStyle name="Input 7 7 2 2 2" xfId="23465" xr:uid="{00000000-0005-0000-0000-0000032C0000}"/>
    <cellStyle name="Input 7 7 2 3" xfId="13759" xr:uid="{00000000-0005-0000-0000-0000042C0000}"/>
    <cellStyle name="Input 7 7 2 3 2" xfId="28591" xr:uid="{00000000-0005-0000-0000-0000052C0000}"/>
    <cellStyle name="Input 7 7 2 4" xfId="21142" xr:uid="{00000000-0005-0000-0000-0000062C0000}"/>
    <cellStyle name="Input 7 7 3" xfId="5177" xr:uid="{00000000-0005-0000-0000-0000072C0000}"/>
    <cellStyle name="Input 7 7 3 2" xfId="9216" xr:uid="{00000000-0005-0000-0000-0000082C0000}"/>
    <cellStyle name="Input 7 7 3 2 2" xfId="24554" xr:uid="{00000000-0005-0000-0000-0000092C0000}"/>
    <cellStyle name="Input 7 7 3 3" xfId="15495" xr:uid="{00000000-0005-0000-0000-00000A2C0000}"/>
    <cellStyle name="Input 7 7 3 3 2" xfId="30327" xr:uid="{00000000-0005-0000-0000-00000B2C0000}"/>
    <cellStyle name="Input 7 7 3 4" xfId="22061" xr:uid="{00000000-0005-0000-0000-00000C2C0000}"/>
    <cellStyle name="Input 7 7 4" xfId="4207" xr:uid="{00000000-0005-0000-0000-00000D2C0000}"/>
    <cellStyle name="Input 7 7 4 2" xfId="8248" xr:uid="{00000000-0005-0000-0000-00000E2C0000}"/>
    <cellStyle name="Input 7 7 4 2 2" xfId="23943" xr:uid="{00000000-0005-0000-0000-00000F2C0000}"/>
    <cellStyle name="Input 7 7 4 3" xfId="14539" xr:uid="{00000000-0005-0000-0000-0000102C0000}"/>
    <cellStyle name="Input 7 7 4 3 2" xfId="29371" xr:uid="{00000000-0005-0000-0000-0000112C0000}"/>
    <cellStyle name="Input 7 7 4 4" xfId="21568" xr:uid="{00000000-0005-0000-0000-0000122C0000}"/>
    <cellStyle name="Input 7 7 5" xfId="6323" xr:uid="{00000000-0005-0000-0000-0000132C0000}"/>
    <cellStyle name="Input 7 7 5 2" xfId="22725" xr:uid="{00000000-0005-0000-0000-0000142C0000}"/>
    <cellStyle name="Input 7 7 6" xfId="12577" xr:uid="{00000000-0005-0000-0000-0000152C0000}"/>
    <cellStyle name="Input 7 7 6 2" xfId="27409" xr:uid="{00000000-0005-0000-0000-0000162C0000}"/>
    <cellStyle name="Input 7 7 7" xfId="20404" xr:uid="{00000000-0005-0000-0000-0000172C0000}"/>
    <cellStyle name="Input 7 8" xfId="3692" xr:uid="{00000000-0005-0000-0000-0000182C0000}"/>
    <cellStyle name="Input 7 8 2" xfId="7748" xr:uid="{00000000-0005-0000-0000-0000192C0000}"/>
    <cellStyle name="Input 7 8 2 2" xfId="23635" xr:uid="{00000000-0005-0000-0000-00001A2C0000}"/>
    <cellStyle name="Input 7 8 3" xfId="14027" xr:uid="{00000000-0005-0000-0000-00001B2C0000}"/>
    <cellStyle name="Input 7 8 3 2" xfId="28859" xr:uid="{00000000-0005-0000-0000-00001C2C0000}"/>
    <cellStyle name="Input 7 8 4" xfId="21296" xr:uid="{00000000-0005-0000-0000-00001D2C0000}"/>
    <cellStyle name="Input 7 9" xfId="3596" xr:uid="{00000000-0005-0000-0000-00001E2C0000}"/>
    <cellStyle name="Input 7 9 2" xfId="7658" xr:uid="{00000000-0005-0000-0000-00001F2C0000}"/>
    <cellStyle name="Input 7 9 2 2" xfId="23573" xr:uid="{00000000-0005-0000-0000-0000202C0000}"/>
    <cellStyle name="Input 7 9 3" xfId="13932" xr:uid="{00000000-0005-0000-0000-0000212C0000}"/>
    <cellStyle name="Input 7 9 3 2" xfId="28764" xr:uid="{00000000-0005-0000-0000-0000222C0000}"/>
    <cellStyle name="Input 7 9 4" xfId="21242" xr:uid="{00000000-0005-0000-0000-0000232C0000}"/>
    <cellStyle name="Input 8" xfId="1125" xr:uid="{00000000-0005-0000-0000-0000242C0000}"/>
    <cellStyle name="Input 8 10" xfId="2296" xr:uid="{00000000-0005-0000-0000-0000252C0000}"/>
    <cellStyle name="Input 8 10 2" xfId="6408" xr:uid="{00000000-0005-0000-0000-0000262C0000}"/>
    <cellStyle name="Input 8 10 2 2" xfId="22810" xr:uid="{00000000-0005-0000-0000-0000272C0000}"/>
    <cellStyle name="Input 8 10 3" xfId="12636" xr:uid="{00000000-0005-0000-0000-0000282C0000}"/>
    <cellStyle name="Input 8 10 3 2" xfId="27468" xr:uid="{00000000-0005-0000-0000-0000292C0000}"/>
    <cellStyle name="Input 8 10 4" xfId="20462" xr:uid="{00000000-0005-0000-0000-00002A2C0000}"/>
    <cellStyle name="Input 8 11" xfId="5262" xr:uid="{00000000-0005-0000-0000-00002B2C0000}"/>
    <cellStyle name="Input 8 11 2" xfId="15578" xr:uid="{00000000-0005-0000-0000-00002C2C0000}"/>
    <cellStyle name="Input 8 11 2 2" xfId="30410" xr:uid="{00000000-0005-0000-0000-00002D2C0000}"/>
    <cellStyle name="Input 8 11 3" xfId="22119" xr:uid="{00000000-0005-0000-0000-00002E2C0000}"/>
    <cellStyle name="Input 8 12" xfId="5420" xr:uid="{00000000-0005-0000-0000-00002F2C0000}"/>
    <cellStyle name="Input 8 12 2" xfId="15656" xr:uid="{00000000-0005-0000-0000-0000302C0000}"/>
    <cellStyle name="Input 8 12 2 2" xfId="30488" xr:uid="{00000000-0005-0000-0000-0000312C0000}"/>
    <cellStyle name="Input 8 12 3" xfId="22181" xr:uid="{00000000-0005-0000-0000-0000322C0000}"/>
    <cellStyle name="Input 8 13" xfId="9371" xr:uid="{00000000-0005-0000-0000-0000332C0000}"/>
    <cellStyle name="Input 8 13 2" xfId="24677" xr:uid="{00000000-0005-0000-0000-0000342C0000}"/>
    <cellStyle name="Input 8 14" xfId="5360" xr:uid="{00000000-0005-0000-0000-0000352C0000}"/>
    <cellStyle name="Input 8 14 2" xfId="18234" xr:uid="{00000000-0005-0000-0000-0000362C0000}"/>
    <cellStyle name="Input 8 2" xfId="1332" xr:uid="{00000000-0005-0000-0000-0000372C0000}"/>
    <cellStyle name="Input 8 2 2" xfId="1836" xr:uid="{00000000-0005-0000-0000-0000382C0000}"/>
    <cellStyle name="Input 8 2 2 2" xfId="3722" xr:uid="{00000000-0005-0000-0000-0000392C0000}"/>
    <cellStyle name="Input 8 2 2 2 2" xfId="7778" xr:uid="{00000000-0005-0000-0000-00003A2C0000}"/>
    <cellStyle name="Input 8 2 2 2 2 2" xfId="23658" xr:uid="{00000000-0005-0000-0000-00003B2C0000}"/>
    <cellStyle name="Input 8 2 2 2 3" xfId="14057" xr:uid="{00000000-0005-0000-0000-00003C2C0000}"/>
    <cellStyle name="Input 8 2 2 2 3 2" xfId="28889" xr:uid="{00000000-0005-0000-0000-00003D2C0000}"/>
    <cellStyle name="Input 8 2 2 2 4" xfId="21318" xr:uid="{00000000-0005-0000-0000-00003E2C0000}"/>
    <cellStyle name="Input 8 2 2 3" xfId="4814" xr:uid="{00000000-0005-0000-0000-00003F2C0000}"/>
    <cellStyle name="Input 8 2 2 3 2" xfId="8853" xr:uid="{00000000-0005-0000-0000-0000402C0000}"/>
    <cellStyle name="Input 8 2 2 3 2 2" xfId="24351" xr:uid="{00000000-0005-0000-0000-0000412C0000}"/>
    <cellStyle name="Input 8 2 2 3 3" xfId="15138" xr:uid="{00000000-0005-0000-0000-0000422C0000}"/>
    <cellStyle name="Input 8 2 2 3 3 2" xfId="29970" xr:uid="{00000000-0005-0000-0000-0000432C0000}"/>
    <cellStyle name="Input 8 2 2 3 4" xfId="21889" xr:uid="{00000000-0005-0000-0000-0000442C0000}"/>
    <cellStyle name="Input 8 2 2 4" xfId="2804" xr:uid="{00000000-0005-0000-0000-0000452C0000}"/>
    <cellStyle name="Input 8 2 2 4 2" xfId="6895" xr:uid="{00000000-0005-0000-0000-0000462C0000}"/>
    <cellStyle name="Input 8 2 2 4 2 2" xfId="23102" xr:uid="{00000000-0005-0000-0000-0000472C0000}"/>
    <cellStyle name="Input 8 2 2 4 3" xfId="13142" xr:uid="{00000000-0005-0000-0000-0000482C0000}"/>
    <cellStyle name="Input 8 2 2 4 3 2" xfId="27974" xr:uid="{00000000-0005-0000-0000-0000492C0000}"/>
    <cellStyle name="Input 8 2 2 4 4" xfId="20762" xr:uid="{00000000-0005-0000-0000-00004A2C0000}"/>
    <cellStyle name="Input 8 2 2 5" xfId="5968" xr:uid="{00000000-0005-0000-0000-00004B2C0000}"/>
    <cellStyle name="Input 8 2 2 5 2" xfId="16160" xr:uid="{00000000-0005-0000-0000-00004C2C0000}"/>
    <cellStyle name="Input 8 2 2 5 2 2" xfId="30992" xr:uid="{00000000-0005-0000-0000-00004D2C0000}"/>
    <cellStyle name="Input 8 2 2 5 3" xfId="22533" xr:uid="{00000000-0005-0000-0000-00004E2C0000}"/>
    <cellStyle name="Input 8 2 2 6" xfId="12230" xr:uid="{00000000-0005-0000-0000-00004F2C0000}"/>
    <cellStyle name="Input 8 2 2 6 2" xfId="27062" xr:uid="{00000000-0005-0000-0000-0000502C0000}"/>
    <cellStyle name="Input 8 2 2 7" xfId="9826" xr:uid="{00000000-0005-0000-0000-0000512C0000}"/>
    <cellStyle name="Input 8 2 2 7 2" xfId="20077" xr:uid="{00000000-0005-0000-0000-0000522C0000}"/>
    <cellStyle name="Input 8 2 3" xfId="3863" xr:uid="{00000000-0005-0000-0000-0000532C0000}"/>
    <cellStyle name="Input 8 2 3 2" xfId="7915" xr:uid="{00000000-0005-0000-0000-0000542C0000}"/>
    <cellStyle name="Input 8 2 3 2 2" xfId="23748" xr:uid="{00000000-0005-0000-0000-0000552C0000}"/>
    <cellStyle name="Input 8 2 3 3" xfId="14198" xr:uid="{00000000-0005-0000-0000-0000562C0000}"/>
    <cellStyle name="Input 8 2 3 3 2" xfId="29030" xr:uid="{00000000-0005-0000-0000-0000572C0000}"/>
    <cellStyle name="Input 8 2 3 4" xfId="21390" xr:uid="{00000000-0005-0000-0000-0000582C0000}"/>
    <cellStyle name="Input 8 2 4" xfId="4394" xr:uid="{00000000-0005-0000-0000-0000592C0000}"/>
    <cellStyle name="Input 8 2 4 2" xfId="8433" xr:uid="{00000000-0005-0000-0000-00005A2C0000}"/>
    <cellStyle name="Input 8 2 4 2 2" xfId="24091" xr:uid="{00000000-0005-0000-0000-00005B2C0000}"/>
    <cellStyle name="Input 8 2 4 3" xfId="14723" xr:uid="{00000000-0005-0000-0000-00005C2C0000}"/>
    <cellStyle name="Input 8 2 4 3 2" xfId="29555" xr:uid="{00000000-0005-0000-0000-00005D2C0000}"/>
    <cellStyle name="Input 8 2 4 4" xfId="21659" xr:uid="{00000000-0005-0000-0000-00005E2C0000}"/>
    <cellStyle name="Input 8 2 5" xfId="2384" xr:uid="{00000000-0005-0000-0000-00005F2C0000}"/>
    <cellStyle name="Input 8 2 5 2" xfId="6496" xr:uid="{00000000-0005-0000-0000-0000602C0000}"/>
    <cellStyle name="Input 8 2 5 2 2" xfId="22866" xr:uid="{00000000-0005-0000-0000-0000612C0000}"/>
    <cellStyle name="Input 8 2 5 3" xfId="12723" xr:uid="{00000000-0005-0000-0000-0000622C0000}"/>
    <cellStyle name="Input 8 2 5 3 2" xfId="27555" xr:uid="{00000000-0005-0000-0000-0000632C0000}"/>
    <cellStyle name="Input 8 2 5 4" xfId="20508" xr:uid="{00000000-0005-0000-0000-0000642C0000}"/>
    <cellStyle name="Input 8 2 6" xfId="5509" xr:uid="{00000000-0005-0000-0000-0000652C0000}"/>
    <cellStyle name="Input 8 2 6 2" xfId="15744" xr:uid="{00000000-0005-0000-0000-0000662C0000}"/>
    <cellStyle name="Input 8 2 6 2 2" xfId="30576" xr:uid="{00000000-0005-0000-0000-0000672C0000}"/>
    <cellStyle name="Input 8 2 6 3" xfId="22237" xr:uid="{00000000-0005-0000-0000-0000682C0000}"/>
    <cellStyle name="Input 8 2 7" xfId="11759" xr:uid="{00000000-0005-0000-0000-0000692C0000}"/>
    <cellStyle name="Input 8 2 7 2" xfId="26591" xr:uid="{00000000-0005-0000-0000-00006A2C0000}"/>
    <cellStyle name="Input 8 2 8" xfId="9430" xr:uid="{00000000-0005-0000-0000-00006B2C0000}"/>
    <cellStyle name="Input 8 2 8 2" xfId="19734" xr:uid="{00000000-0005-0000-0000-00006C2C0000}"/>
    <cellStyle name="Input 8 3" xfId="1490" xr:uid="{00000000-0005-0000-0000-00006D2C0000}"/>
    <cellStyle name="Input 8 3 2" xfId="1991" xr:uid="{00000000-0005-0000-0000-00006E2C0000}"/>
    <cellStyle name="Input 8 3 2 2" xfId="3670" xr:uid="{00000000-0005-0000-0000-00006F2C0000}"/>
    <cellStyle name="Input 8 3 2 2 2" xfId="7728" xr:uid="{00000000-0005-0000-0000-0000702C0000}"/>
    <cellStyle name="Input 8 3 2 2 2 2" xfId="23624" xr:uid="{00000000-0005-0000-0000-0000712C0000}"/>
    <cellStyle name="Input 8 3 2 2 3" xfId="14005" xr:uid="{00000000-0005-0000-0000-0000722C0000}"/>
    <cellStyle name="Input 8 3 2 2 3 2" xfId="28837" xr:uid="{00000000-0005-0000-0000-0000732C0000}"/>
    <cellStyle name="Input 8 3 2 2 4" xfId="21284" xr:uid="{00000000-0005-0000-0000-0000742C0000}"/>
    <cellStyle name="Input 8 3 2 3" xfId="4955" xr:uid="{00000000-0005-0000-0000-0000752C0000}"/>
    <cellStyle name="Input 8 3 2 3 2" xfId="8994" xr:uid="{00000000-0005-0000-0000-0000762C0000}"/>
    <cellStyle name="Input 8 3 2 3 2 2" xfId="24460" xr:uid="{00000000-0005-0000-0000-0000772C0000}"/>
    <cellStyle name="Input 8 3 2 3 3" xfId="15277" xr:uid="{00000000-0005-0000-0000-0000782C0000}"/>
    <cellStyle name="Input 8 3 2 3 3 2" xfId="30109" xr:uid="{00000000-0005-0000-0000-0000792C0000}"/>
    <cellStyle name="Input 8 3 2 3 4" xfId="21990" xr:uid="{00000000-0005-0000-0000-00007A2C0000}"/>
    <cellStyle name="Input 8 3 2 4" xfId="2945" xr:uid="{00000000-0005-0000-0000-00007B2C0000}"/>
    <cellStyle name="Input 8 3 2 4 2" xfId="7029" xr:uid="{00000000-0005-0000-0000-00007C2C0000}"/>
    <cellStyle name="Input 8 3 2 4 2 2" xfId="23203" xr:uid="{00000000-0005-0000-0000-00007D2C0000}"/>
    <cellStyle name="Input 8 3 2 4 3" xfId="13283" xr:uid="{00000000-0005-0000-0000-00007E2C0000}"/>
    <cellStyle name="Input 8 3 2 4 3 2" xfId="28115" xr:uid="{00000000-0005-0000-0000-00007F2C0000}"/>
    <cellStyle name="Input 8 3 2 4 4" xfId="20871" xr:uid="{00000000-0005-0000-0000-0000802C0000}"/>
    <cellStyle name="Input 8 3 2 5" xfId="6121" xr:uid="{00000000-0005-0000-0000-0000812C0000}"/>
    <cellStyle name="Input 8 3 2 5 2" xfId="16308" xr:uid="{00000000-0005-0000-0000-0000822C0000}"/>
    <cellStyle name="Input 8 3 2 5 2 2" xfId="31140" xr:uid="{00000000-0005-0000-0000-0000832C0000}"/>
    <cellStyle name="Input 8 3 2 5 3" xfId="22654" xr:uid="{00000000-0005-0000-0000-0000842C0000}"/>
    <cellStyle name="Input 8 3 2 6" xfId="12378" xr:uid="{00000000-0005-0000-0000-0000852C0000}"/>
    <cellStyle name="Input 8 3 2 6 2" xfId="27210" xr:uid="{00000000-0005-0000-0000-0000862C0000}"/>
    <cellStyle name="Input 8 3 2 7" xfId="9960" xr:uid="{00000000-0005-0000-0000-0000872C0000}"/>
    <cellStyle name="Input 8 3 2 7 2" xfId="20162" xr:uid="{00000000-0005-0000-0000-0000882C0000}"/>
    <cellStyle name="Input 8 3 3" xfId="3199" xr:uid="{00000000-0005-0000-0000-0000892C0000}"/>
    <cellStyle name="Input 8 3 3 2" xfId="7263" xr:uid="{00000000-0005-0000-0000-00008A2C0000}"/>
    <cellStyle name="Input 8 3 3 2 2" xfId="23314" xr:uid="{00000000-0005-0000-0000-00008B2C0000}"/>
    <cellStyle name="Input 8 3 3 3" xfId="13537" xr:uid="{00000000-0005-0000-0000-00008C2C0000}"/>
    <cellStyle name="Input 8 3 3 3 2" xfId="28369" xr:uid="{00000000-0005-0000-0000-00008D2C0000}"/>
    <cellStyle name="Input 8 3 3 4" xfId="21004" xr:uid="{00000000-0005-0000-0000-00008E2C0000}"/>
    <cellStyle name="Input 8 3 4" xfId="4535" xr:uid="{00000000-0005-0000-0000-00008F2C0000}"/>
    <cellStyle name="Input 8 3 4 2" xfId="8574" xr:uid="{00000000-0005-0000-0000-0000902C0000}"/>
    <cellStyle name="Input 8 3 4 2 2" xfId="24200" xr:uid="{00000000-0005-0000-0000-0000912C0000}"/>
    <cellStyle name="Input 8 3 4 3" xfId="14862" xr:uid="{00000000-0005-0000-0000-0000922C0000}"/>
    <cellStyle name="Input 8 3 4 3 2" xfId="29694" xr:uid="{00000000-0005-0000-0000-0000932C0000}"/>
    <cellStyle name="Input 8 3 4 4" xfId="21760" xr:uid="{00000000-0005-0000-0000-0000942C0000}"/>
    <cellStyle name="Input 8 3 5" xfId="2525" xr:uid="{00000000-0005-0000-0000-0000952C0000}"/>
    <cellStyle name="Input 8 3 5 2" xfId="6631" xr:uid="{00000000-0005-0000-0000-0000962C0000}"/>
    <cellStyle name="Input 8 3 5 2 2" xfId="22969" xr:uid="{00000000-0005-0000-0000-0000972C0000}"/>
    <cellStyle name="Input 8 3 5 3" xfId="12863" xr:uid="{00000000-0005-0000-0000-0000982C0000}"/>
    <cellStyle name="Input 8 3 5 3 2" xfId="27695" xr:uid="{00000000-0005-0000-0000-0000992C0000}"/>
    <cellStyle name="Input 8 3 5 4" xfId="20615" xr:uid="{00000000-0005-0000-0000-00009A2C0000}"/>
    <cellStyle name="Input 8 3 6" xfId="5648" xr:uid="{00000000-0005-0000-0000-00009B2C0000}"/>
    <cellStyle name="Input 8 3 6 2" xfId="15883" xr:uid="{00000000-0005-0000-0000-00009C2C0000}"/>
    <cellStyle name="Input 8 3 6 2 2" xfId="30715" xr:uid="{00000000-0005-0000-0000-00009D2C0000}"/>
    <cellStyle name="Input 8 3 6 3" xfId="22344" xr:uid="{00000000-0005-0000-0000-00009E2C0000}"/>
    <cellStyle name="Input 8 3 7" xfId="11907" xr:uid="{00000000-0005-0000-0000-00009F2C0000}"/>
    <cellStyle name="Input 8 3 7 2" xfId="26739" xr:uid="{00000000-0005-0000-0000-0000A02C0000}"/>
    <cellStyle name="Input 8 3 8" xfId="9565" xr:uid="{00000000-0005-0000-0000-0000A12C0000}"/>
    <cellStyle name="Input 8 3 8 2" xfId="19867" xr:uid="{00000000-0005-0000-0000-0000A22C0000}"/>
    <cellStyle name="Input 8 4" xfId="1393" xr:uid="{00000000-0005-0000-0000-0000A32C0000}"/>
    <cellStyle name="Input 8 4 2" xfId="1895" xr:uid="{00000000-0005-0000-0000-0000A42C0000}"/>
    <cellStyle name="Input 8 4 2 2" xfId="3135" xr:uid="{00000000-0005-0000-0000-0000A52C0000}"/>
    <cellStyle name="Input 8 4 2 2 2" xfId="7199" xr:uid="{00000000-0005-0000-0000-0000A62C0000}"/>
    <cellStyle name="Input 8 4 2 2 2 2" xfId="23271" xr:uid="{00000000-0005-0000-0000-0000A72C0000}"/>
    <cellStyle name="Input 8 4 2 2 3" xfId="13473" xr:uid="{00000000-0005-0000-0000-0000A82C0000}"/>
    <cellStyle name="Input 8 4 2 2 3 2" xfId="28305" xr:uid="{00000000-0005-0000-0000-0000A92C0000}"/>
    <cellStyle name="Input 8 4 2 2 4" xfId="20962" xr:uid="{00000000-0005-0000-0000-0000AA2C0000}"/>
    <cellStyle name="Input 8 4 2 3" xfId="4873" xr:uid="{00000000-0005-0000-0000-0000AB2C0000}"/>
    <cellStyle name="Input 8 4 2 3 2" xfId="8912" xr:uid="{00000000-0005-0000-0000-0000AC2C0000}"/>
    <cellStyle name="Input 8 4 2 3 2 2" xfId="24378" xr:uid="{00000000-0005-0000-0000-0000AD2C0000}"/>
    <cellStyle name="Input 8 4 2 3 3" xfId="15196" xr:uid="{00000000-0005-0000-0000-0000AE2C0000}"/>
    <cellStyle name="Input 8 4 2 3 3 2" xfId="30028" xr:uid="{00000000-0005-0000-0000-0000AF2C0000}"/>
    <cellStyle name="Input 8 4 2 3 4" xfId="21910" xr:uid="{00000000-0005-0000-0000-0000B02C0000}"/>
    <cellStyle name="Input 8 4 2 4" xfId="2863" xr:uid="{00000000-0005-0000-0000-0000B12C0000}"/>
    <cellStyle name="Input 8 4 2 4 2" xfId="6948" xr:uid="{00000000-0005-0000-0000-0000B22C0000}"/>
    <cellStyle name="Input 8 4 2 4 2 2" xfId="23123" xr:uid="{00000000-0005-0000-0000-0000B32C0000}"/>
    <cellStyle name="Input 8 4 2 4 3" xfId="13201" xr:uid="{00000000-0005-0000-0000-0000B42C0000}"/>
    <cellStyle name="Input 8 4 2 4 3 2" xfId="28033" xr:uid="{00000000-0005-0000-0000-0000B52C0000}"/>
    <cellStyle name="Input 8 4 2 4 4" xfId="20789" xr:uid="{00000000-0005-0000-0000-0000B62C0000}"/>
    <cellStyle name="Input 8 4 2 5" xfId="6026" xr:uid="{00000000-0005-0000-0000-0000B72C0000}"/>
    <cellStyle name="Input 8 4 2 5 2" xfId="16213" xr:uid="{00000000-0005-0000-0000-0000B82C0000}"/>
    <cellStyle name="Input 8 4 2 5 2 2" xfId="31045" xr:uid="{00000000-0005-0000-0000-0000B92C0000}"/>
    <cellStyle name="Input 8 4 2 5 3" xfId="22559" xr:uid="{00000000-0005-0000-0000-0000BA2C0000}"/>
    <cellStyle name="Input 8 4 2 6" xfId="12283" xr:uid="{00000000-0005-0000-0000-0000BB2C0000}"/>
    <cellStyle name="Input 8 4 2 6 2" xfId="27115" xr:uid="{00000000-0005-0000-0000-0000BC2C0000}"/>
    <cellStyle name="Input 8 4 2 7" xfId="9879" xr:uid="{00000000-0005-0000-0000-0000BD2C0000}"/>
    <cellStyle name="Input 8 4 2 7 2" xfId="20083" xr:uid="{00000000-0005-0000-0000-0000BE2C0000}"/>
    <cellStyle name="Input 8 4 3" xfId="3682" xr:uid="{00000000-0005-0000-0000-0000BF2C0000}"/>
    <cellStyle name="Input 8 4 3 2" xfId="7740" xr:uid="{00000000-0005-0000-0000-0000C02C0000}"/>
    <cellStyle name="Input 8 4 3 2 2" xfId="23630" xr:uid="{00000000-0005-0000-0000-0000C12C0000}"/>
    <cellStyle name="Input 8 4 3 3" xfId="14017" xr:uid="{00000000-0005-0000-0000-0000C22C0000}"/>
    <cellStyle name="Input 8 4 3 3 2" xfId="28849" xr:uid="{00000000-0005-0000-0000-0000C32C0000}"/>
    <cellStyle name="Input 8 4 3 4" xfId="21290" xr:uid="{00000000-0005-0000-0000-0000C42C0000}"/>
    <cellStyle name="Input 8 4 4" xfId="4453" xr:uid="{00000000-0005-0000-0000-0000C52C0000}"/>
    <cellStyle name="Input 8 4 4 2" xfId="8492" xr:uid="{00000000-0005-0000-0000-0000C62C0000}"/>
    <cellStyle name="Input 8 4 4 2 2" xfId="24118" xr:uid="{00000000-0005-0000-0000-0000C72C0000}"/>
    <cellStyle name="Input 8 4 4 3" xfId="14781" xr:uid="{00000000-0005-0000-0000-0000C82C0000}"/>
    <cellStyle name="Input 8 4 4 3 2" xfId="29613" xr:uid="{00000000-0005-0000-0000-0000C92C0000}"/>
    <cellStyle name="Input 8 4 4 4" xfId="21680" xr:uid="{00000000-0005-0000-0000-0000CA2C0000}"/>
    <cellStyle name="Input 8 4 5" xfId="2443" xr:uid="{00000000-0005-0000-0000-0000CB2C0000}"/>
    <cellStyle name="Input 8 4 5 2" xfId="6549" xr:uid="{00000000-0005-0000-0000-0000CC2C0000}"/>
    <cellStyle name="Input 8 4 5 2 2" xfId="22887" xr:uid="{00000000-0005-0000-0000-0000CD2C0000}"/>
    <cellStyle name="Input 8 4 5 3" xfId="12782" xr:uid="{00000000-0005-0000-0000-0000CE2C0000}"/>
    <cellStyle name="Input 8 4 5 3 2" xfId="27614" xr:uid="{00000000-0005-0000-0000-0000CF2C0000}"/>
    <cellStyle name="Input 8 4 5 4" xfId="20535" xr:uid="{00000000-0005-0000-0000-0000D02C0000}"/>
    <cellStyle name="Input 8 4 6" xfId="5567" xr:uid="{00000000-0005-0000-0000-0000D12C0000}"/>
    <cellStyle name="Input 8 4 6 2" xfId="15802" xr:uid="{00000000-0005-0000-0000-0000D22C0000}"/>
    <cellStyle name="Input 8 4 6 2 2" xfId="30634" xr:uid="{00000000-0005-0000-0000-0000D32C0000}"/>
    <cellStyle name="Input 8 4 6 3" xfId="22263" xr:uid="{00000000-0005-0000-0000-0000D42C0000}"/>
    <cellStyle name="Input 8 4 7" xfId="11812" xr:uid="{00000000-0005-0000-0000-0000D52C0000}"/>
    <cellStyle name="Input 8 4 7 2" xfId="26644" xr:uid="{00000000-0005-0000-0000-0000D62C0000}"/>
    <cellStyle name="Input 8 4 8" xfId="9484" xr:uid="{00000000-0005-0000-0000-0000D72C0000}"/>
    <cellStyle name="Input 8 4 8 2" xfId="19787" xr:uid="{00000000-0005-0000-0000-0000D82C0000}"/>
    <cellStyle name="Input 8 5" xfId="1496" xr:uid="{00000000-0005-0000-0000-0000D92C0000}"/>
    <cellStyle name="Input 8 5 2" xfId="1997" xr:uid="{00000000-0005-0000-0000-0000DA2C0000}"/>
    <cellStyle name="Input 8 5 2 2" xfId="3594" xr:uid="{00000000-0005-0000-0000-0000DB2C0000}"/>
    <cellStyle name="Input 8 5 2 2 2" xfId="7656" xr:uid="{00000000-0005-0000-0000-0000DC2C0000}"/>
    <cellStyle name="Input 8 5 2 2 2 2" xfId="23572" xr:uid="{00000000-0005-0000-0000-0000DD2C0000}"/>
    <cellStyle name="Input 8 5 2 2 3" xfId="13930" xr:uid="{00000000-0005-0000-0000-0000DE2C0000}"/>
    <cellStyle name="Input 8 5 2 2 3 2" xfId="28762" xr:uid="{00000000-0005-0000-0000-0000DF2C0000}"/>
    <cellStyle name="Input 8 5 2 2 4" xfId="21241" xr:uid="{00000000-0005-0000-0000-0000E02C0000}"/>
    <cellStyle name="Input 8 5 2 3" xfId="4961" xr:uid="{00000000-0005-0000-0000-0000E12C0000}"/>
    <cellStyle name="Input 8 5 2 3 2" xfId="9000" xr:uid="{00000000-0005-0000-0000-0000E22C0000}"/>
    <cellStyle name="Input 8 5 2 3 2 2" xfId="24466" xr:uid="{00000000-0005-0000-0000-0000E32C0000}"/>
    <cellStyle name="Input 8 5 2 3 3" xfId="15283" xr:uid="{00000000-0005-0000-0000-0000E42C0000}"/>
    <cellStyle name="Input 8 5 2 3 3 2" xfId="30115" xr:uid="{00000000-0005-0000-0000-0000E52C0000}"/>
    <cellStyle name="Input 8 5 2 3 4" xfId="21996" xr:uid="{00000000-0005-0000-0000-0000E62C0000}"/>
    <cellStyle name="Input 8 5 2 4" xfId="2951" xr:uid="{00000000-0005-0000-0000-0000E72C0000}"/>
    <cellStyle name="Input 8 5 2 4 2" xfId="7035" xr:uid="{00000000-0005-0000-0000-0000E82C0000}"/>
    <cellStyle name="Input 8 5 2 4 2 2" xfId="23209" xr:uid="{00000000-0005-0000-0000-0000E92C0000}"/>
    <cellStyle name="Input 8 5 2 4 3" xfId="13289" xr:uid="{00000000-0005-0000-0000-0000EA2C0000}"/>
    <cellStyle name="Input 8 5 2 4 3 2" xfId="28121" xr:uid="{00000000-0005-0000-0000-0000EB2C0000}"/>
    <cellStyle name="Input 8 5 2 4 4" xfId="20877" xr:uid="{00000000-0005-0000-0000-0000EC2C0000}"/>
    <cellStyle name="Input 8 5 2 5" xfId="6127" xr:uid="{00000000-0005-0000-0000-0000ED2C0000}"/>
    <cellStyle name="Input 8 5 2 5 2" xfId="16314" xr:uid="{00000000-0005-0000-0000-0000EE2C0000}"/>
    <cellStyle name="Input 8 5 2 5 2 2" xfId="31146" xr:uid="{00000000-0005-0000-0000-0000EF2C0000}"/>
    <cellStyle name="Input 8 5 2 5 3" xfId="22660" xr:uid="{00000000-0005-0000-0000-0000F02C0000}"/>
    <cellStyle name="Input 8 5 2 6" xfId="12384" xr:uid="{00000000-0005-0000-0000-0000F12C0000}"/>
    <cellStyle name="Input 8 5 2 6 2" xfId="27216" xr:uid="{00000000-0005-0000-0000-0000F22C0000}"/>
    <cellStyle name="Input 8 5 2 7" xfId="9966" xr:uid="{00000000-0005-0000-0000-0000F32C0000}"/>
    <cellStyle name="Input 8 5 2 7 2" xfId="20168" xr:uid="{00000000-0005-0000-0000-0000F42C0000}"/>
    <cellStyle name="Input 8 5 3" xfId="3280" xr:uid="{00000000-0005-0000-0000-0000F52C0000}"/>
    <cellStyle name="Input 8 5 3 2" xfId="7344" xr:uid="{00000000-0005-0000-0000-0000F62C0000}"/>
    <cellStyle name="Input 8 5 3 2 2" xfId="23373" xr:uid="{00000000-0005-0000-0000-0000F72C0000}"/>
    <cellStyle name="Input 8 5 3 3" xfId="13617" xr:uid="{00000000-0005-0000-0000-0000F82C0000}"/>
    <cellStyle name="Input 8 5 3 3 2" xfId="28449" xr:uid="{00000000-0005-0000-0000-0000F92C0000}"/>
    <cellStyle name="Input 8 5 3 4" xfId="21060" xr:uid="{00000000-0005-0000-0000-0000FA2C0000}"/>
    <cellStyle name="Input 8 5 4" xfId="4541" xr:uid="{00000000-0005-0000-0000-0000FB2C0000}"/>
    <cellStyle name="Input 8 5 4 2" xfId="8580" xr:uid="{00000000-0005-0000-0000-0000FC2C0000}"/>
    <cellStyle name="Input 8 5 4 2 2" xfId="24206" xr:uid="{00000000-0005-0000-0000-0000FD2C0000}"/>
    <cellStyle name="Input 8 5 4 3" xfId="14868" xr:uid="{00000000-0005-0000-0000-0000FE2C0000}"/>
    <cellStyle name="Input 8 5 4 3 2" xfId="29700" xr:uid="{00000000-0005-0000-0000-0000FF2C0000}"/>
    <cellStyle name="Input 8 5 4 4" xfId="21766" xr:uid="{00000000-0005-0000-0000-0000002D0000}"/>
    <cellStyle name="Input 8 5 5" xfId="2531" xr:uid="{00000000-0005-0000-0000-0000012D0000}"/>
    <cellStyle name="Input 8 5 5 2" xfId="6637" xr:uid="{00000000-0005-0000-0000-0000022D0000}"/>
    <cellStyle name="Input 8 5 5 2 2" xfId="22975" xr:uid="{00000000-0005-0000-0000-0000032D0000}"/>
    <cellStyle name="Input 8 5 5 3" xfId="12869" xr:uid="{00000000-0005-0000-0000-0000042D0000}"/>
    <cellStyle name="Input 8 5 5 3 2" xfId="27701" xr:uid="{00000000-0005-0000-0000-0000052D0000}"/>
    <cellStyle name="Input 8 5 5 4" xfId="20621" xr:uid="{00000000-0005-0000-0000-0000062D0000}"/>
    <cellStyle name="Input 8 5 6" xfId="5654" xr:uid="{00000000-0005-0000-0000-0000072D0000}"/>
    <cellStyle name="Input 8 5 6 2" xfId="15889" xr:uid="{00000000-0005-0000-0000-0000082D0000}"/>
    <cellStyle name="Input 8 5 6 2 2" xfId="30721" xr:uid="{00000000-0005-0000-0000-0000092D0000}"/>
    <cellStyle name="Input 8 5 6 3" xfId="22350" xr:uid="{00000000-0005-0000-0000-00000A2D0000}"/>
    <cellStyle name="Input 8 5 7" xfId="11913" xr:uid="{00000000-0005-0000-0000-00000B2D0000}"/>
    <cellStyle name="Input 8 5 7 2" xfId="26745" xr:uid="{00000000-0005-0000-0000-00000C2D0000}"/>
    <cellStyle name="Input 8 5 8" xfId="9571" xr:uid="{00000000-0005-0000-0000-00000D2D0000}"/>
    <cellStyle name="Input 8 5 8 2" xfId="19873" xr:uid="{00000000-0005-0000-0000-00000E2D0000}"/>
    <cellStyle name="Input 8 6" xfId="1758" xr:uid="{00000000-0005-0000-0000-00000F2D0000}"/>
    <cellStyle name="Input 8 6 2" xfId="3835" xr:uid="{00000000-0005-0000-0000-0000102D0000}"/>
    <cellStyle name="Input 8 6 2 2" xfId="7888" xr:uid="{00000000-0005-0000-0000-0000112D0000}"/>
    <cellStyle name="Input 8 6 2 2 2" xfId="23728" xr:uid="{00000000-0005-0000-0000-0000122D0000}"/>
    <cellStyle name="Input 8 6 2 3" xfId="14170" xr:uid="{00000000-0005-0000-0000-0000132D0000}"/>
    <cellStyle name="Input 8 6 2 3 2" xfId="29002" xr:uid="{00000000-0005-0000-0000-0000142D0000}"/>
    <cellStyle name="Input 8 6 2 4" xfId="21376" xr:uid="{00000000-0005-0000-0000-0000152D0000}"/>
    <cellStyle name="Input 8 6 3" xfId="4736" xr:uid="{00000000-0005-0000-0000-0000162D0000}"/>
    <cellStyle name="Input 8 6 3 2" xfId="8775" xr:uid="{00000000-0005-0000-0000-0000172D0000}"/>
    <cellStyle name="Input 8 6 3 2 2" xfId="24305" xr:uid="{00000000-0005-0000-0000-0000182D0000}"/>
    <cellStyle name="Input 8 6 3 3" xfId="15060" xr:uid="{00000000-0005-0000-0000-0000192D0000}"/>
    <cellStyle name="Input 8 6 3 3 2" xfId="29892" xr:uid="{00000000-0005-0000-0000-00001A2D0000}"/>
    <cellStyle name="Input 8 6 3 4" xfId="21843" xr:uid="{00000000-0005-0000-0000-00001B2D0000}"/>
    <cellStyle name="Input 8 6 4" xfId="2726" xr:uid="{00000000-0005-0000-0000-00001C2D0000}"/>
    <cellStyle name="Input 8 6 4 2" xfId="6817" xr:uid="{00000000-0005-0000-0000-00001D2D0000}"/>
    <cellStyle name="Input 8 6 4 2 2" xfId="23056" xr:uid="{00000000-0005-0000-0000-00001E2D0000}"/>
    <cellStyle name="Input 8 6 4 3" xfId="13064" xr:uid="{00000000-0005-0000-0000-00001F2D0000}"/>
    <cellStyle name="Input 8 6 4 3 2" xfId="27896" xr:uid="{00000000-0005-0000-0000-0000202D0000}"/>
    <cellStyle name="Input 8 6 4 4" xfId="20716" xr:uid="{00000000-0005-0000-0000-0000212D0000}"/>
    <cellStyle name="Input 8 6 5" xfId="5890" xr:uid="{00000000-0005-0000-0000-0000222D0000}"/>
    <cellStyle name="Input 8 6 5 2" xfId="16082" xr:uid="{00000000-0005-0000-0000-0000232D0000}"/>
    <cellStyle name="Input 8 6 5 2 2" xfId="30914" xr:uid="{00000000-0005-0000-0000-0000242D0000}"/>
    <cellStyle name="Input 8 6 5 3" xfId="22487" xr:uid="{00000000-0005-0000-0000-0000252D0000}"/>
    <cellStyle name="Input 8 6 6" xfId="12152" xr:uid="{00000000-0005-0000-0000-0000262D0000}"/>
    <cellStyle name="Input 8 6 6 2" xfId="26984" xr:uid="{00000000-0005-0000-0000-0000272D0000}"/>
    <cellStyle name="Input 8 6 7" xfId="9748" xr:uid="{00000000-0005-0000-0000-0000282D0000}"/>
    <cellStyle name="Input 8 6 7 2" xfId="20046" xr:uid="{00000000-0005-0000-0000-0000292D0000}"/>
    <cellStyle name="Input 8 7" xfId="2208" xr:uid="{00000000-0005-0000-0000-00002A2D0000}"/>
    <cellStyle name="Input 8 7 2" xfId="3961" xr:uid="{00000000-0005-0000-0000-00002B2D0000}"/>
    <cellStyle name="Input 8 7 2 2" xfId="8011" xr:uid="{00000000-0005-0000-0000-00002C2D0000}"/>
    <cellStyle name="Input 8 7 2 2 2" xfId="23805" xr:uid="{00000000-0005-0000-0000-00002D2D0000}"/>
    <cellStyle name="Input 8 7 2 3" xfId="14294" xr:uid="{00000000-0005-0000-0000-00002E2D0000}"/>
    <cellStyle name="Input 8 7 2 3 2" xfId="29126" xr:uid="{00000000-0005-0000-0000-00002F2D0000}"/>
    <cellStyle name="Input 8 7 2 4" xfId="21447" xr:uid="{00000000-0005-0000-0000-0000302D0000}"/>
    <cellStyle name="Input 8 7 3" xfId="5176" xr:uid="{00000000-0005-0000-0000-0000312D0000}"/>
    <cellStyle name="Input 8 7 3 2" xfId="9215" xr:uid="{00000000-0005-0000-0000-0000322D0000}"/>
    <cellStyle name="Input 8 7 3 2 2" xfId="24553" xr:uid="{00000000-0005-0000-0000-0000332D0000}"/>
    <cellStyle name="Input 8 7 3 3" xfId="15494" xr:uid="{00000000-0005-0000-0000-0000342D0000}"/>
    <cellStyle name="Input 8 7 3 3 2" xfId="30326" xr:uid="{00000000-0005-0000-0000-0000352D0000}"/>
    <cellStyle name="Input 8 7 3 4" xfId="22060" xr:uid="{00000000-0005-0000-0000-0000362D0000}"/>
    <cellStyle name="Input 8 7 4" xfId="4206" xr:uid="{00000000-0005-0000-0000-0000372D0000}"/>
    <cellStyle name="Input 8 7 4 2" xfId="8247" xr:uid="{00000000-0005-0000-0000-0000382D0000}"/>
    <cellStyle name="Input 8 7 4 2 2" xfId="23942" xr:uid="{00000000-0005-0000-0000-0000392D0000}"/>
    <cellStyle name="Input 8 7 4 3" xfId="14538" xr:uid="{00000000-0005-0000-0000-00003A2D0000}"/>
    <cellStyle name="Input 8 7 4 3 2" xfId="29370" xr:uid="{00000000-0005-0000-0000-00003B2D0000}"/>
    <cellStyle name="Input 8 7 4 4" xfId="21567" xr:uid="{00000000-0005-0000-0000-00003C2D0000}"/>
    <cellStyle name="Input 8 7 5" xfId="6322" xr:uid="{00000000-0005-0000-0000-00003D2D0000}"/>
    <cellStyle name="Input 8 7 5 2" xfId="22724" xr:uid="{00000000-0005-0000-0000-00003E2D0000}"/>
    <cellStyle name="Input 8 7 6" xfId="12576" xr:uid="{00000000-0005-0000-0000-00003F2D0000}"/>
    <cellStyle name="Input 8 7 6 2" xfId="27408" xr:uid="{00000000-0005-0000-0000-0000402D0000}"/>
    <cellStyle name="Input 8 7 7" xfId="20403" xr:uid="{00000000-0005-0000-0000-0000412D0000}"/>
    <cellStyle name="Input 8 8" xfId="3127" xr:uid="{00000000-0005-0000-0000-0000422D0000}"/>
    <cellStyle name="Input 8 8 2" xfId="7191" xr:uid="{00000000-0005-0000-0000-0000432D0000}"/>
    <cellStyle name="Input 8 8 2 2" xfId="23264" xr:uid="{00000000-0005-0000-0000-0000442D0000}"/>
    <cellStyle name="Input 8 8 3" xfId="13465" xr:uid="{00000000-0005-0000-0000-0000452D0000}"/>
    <cellStyle name="Input 8 8 3 2" xfId="28297" xr:uid="{00000000-0005-0000-0000-0000462D0000}"/>
    <cellStyle name="Input 8 8 4" xfId="20955" xr:uid="{00000000-0005-0000-0000-0000472D0000}"/>
    <cellStyle name="Input 8 9" xfId="3610" xr:uid="{00000000-0005-0000-0000-0000482D0000}"/>
    <cellStyle name="Input 8 9 2" xfId="7671" xr:uid="{00000000-0005-0000-0000-0000492D0000}"/>
    <cellStyle name="Input 8 9 2 2" xfId="23581" xr:uid="{00000000-0005-0000-0000-00004A2D0000}"/>
    <cellStyle name="Input 8 9 3" xfId="13946" xr:uid="{00000000-0005-0000-0000-00004B2D0000}"/>
    <cellStyle name="Input 8 9 3 2" xfId="28778" xr:uid="{00000000-0005-0000-0000-00004C2D0000}"/>
    <cellStyle name="Input 8 9 4" xfId="21250" xr:uid="{00000000-0005-0000-0000-00004D2D0000}"/>
    <cellStyle name="Input 9" xfId="1126" xr:uid="{00000000-0005-0000-0000-00004E2D0000}"/>
    <cellStyle name="Input 9 10" xfId="2297" xr:uid="{00000000-0005-0000-0000-00004F2D0000}"/>
    <cellStyle name="Input 9 10 2" xfId="6409" xr:uid="{00000000-0005-0000-0000-0000502D0000}"/>
    <cellStyle name="Input 9 10 2 2" xfId="22811" xr:uid="{00000000-0005-0000-0000-0000512D0000}"/>
    <cellStyle name="Input 9 10 3" xfId="12637" xr:uid="{00000000-0005-0000-0000-0000522D0000}"/>
    <cellStyle name="Input 9 10 3 2" xfId="27469" xr:uid="{00000000-0005-0000-0000-0000532D0000}"/>
    <cellStyle name="Input 9 10 4" xfId="20463" xr:uid="{00000000-0005-0000-0000-0000542D0000}"/>
    <cellStyle name="Input 9 11" xfId="5263" xr:uid="{00000000-0005-0000-0000-0000552D0000}"/>
    <cellStyle name="Input 9 11 2" xfId="15579" xr:uid="{00000000-0005-0000-0000-0000562D0000}"/>
    <cellStyle name="Input 9 11 2 2" xfId="30411" xr:uid="{00000000-0005-0000-0000-0000572D0000}"/>
    <cellStyle name="Input 9 11 3" xfId="22120" xr:uid="{00000000-0005-0000-0000-0000582D0000}"/>
    <cellStyle name="Input 9 12" xfId="5421" xr:uid="{00000000-0005-0000-0000-0000592D0000}"/>
    <cellStyle name="Input 9 12 2" xfId="15657" xr:uid="{00000000-0005-0000-0000-00005A2D0000}"/>
    <cellStyle name="Input 9 12 2 2" xfId="30489" xr:uid="{00000000-0005-0000-0000-00005B2D0000}"/>
    <cellStyle name="Input 9 12 3" xfId="22182" xr:uid="{00000000-0005-0000-0000-00005C2D0000}"/>
    <cellStyle name="Input 9 13" xfId="9370" xr:uid="{00000000-0005-0000-0000-00005D2D0000}"/>
    <cellStyle name="Input 9 13 2" xfId="24676" xr:uid="{00000000-0005-0000-0000-00005E2D0000}"/>
    <cellStyle name="Input 9 14" xfId="5359" xr:uid="{00000000-0005-0000-0000-00005F2D0000}"/>
    <cellStyle name="Input 9 14 2" xfId="18233" xr:uid="{00000000-0005-0000-0000-0000602D0000}"/>
    <cellStyle name="Input 9 2" xfId="1333" xr:uid="{00000000-0005-0000-0000-0000612D0000}"/>
    <cellStyle name="Input 9 2 2" xfId="1837" xr:uid="{00000000-0005-0000-0000-0000622D0000}"/>
    <cellStyle name="Input 9 2 2 2" xfId="3834" xr:uid="{00000000-0005-0000-0000-0000632D0000}"/>
    <cellStyle name="Input 9 2 2 2 2" xfId="7887" xr:uid="{00000000-0005-0000-0000-0000642D0000}"/>
    <cellStyle name="Input 9 2 2 2 2 2" xfId="23727" xr:uid="{00000000-0005-0000-0000-0000652D0000}"/>
    <cellStyle name="Input 9 2 2 2 3" xfId="14169" xr:uid="{00000000-0005-0000-0000-0000662D0000}"/>
    <cellStyle name="Input 9 2 2 2 3 2" xfId="29001" xr:uid="{00000000-0005-0000-0000-0000672D0000}"/>
    <cellStyle name="Input 9 2 2 2 4" xfId="21375" xr:uid="{00000000-0005-0000-0000-0000682D0000}"/>
    <cellStyle name="Input 9 2 2 3" xfId="4815" xr:uid="{00000000-0005-0000-0000-0000692D0000}"/>
    <cellStyle name="Input 9 2 2 3 2" xfId="8854" xr:uid="{00000000-0005-0000-0000-00006A2D0000}"/>
    <cellStyle name="Input 9 2 2 3 2 2" xfId="24352" xr:uid="{00000000-0005-0000-0000-00006B2D0000}"/>
    <cellStyle name="Input 9 2 2 3 3" xfId="15139" xr:uid="{00000000-0005-0000-0000-00006C2D0000}"/>
    <cellStyle name="Input 9 2 2 3 3 2" xfId="29971" xr:uid="{00000000-0005-0000-0000-00006D2D0000}"/>
    <cellStyle name="Input 9 2 2 3 4" xfId="21890" xr:uid="{00000000-0005-0000-0000-00006E2D0000}"/>
    <cellStyle name="Input 9 2 2 4" xfId="2805" xr:uid="{00000000-0005-0000-0000-00006F2D0000}"/>
    <cellStyle name="Input 9 2 2 4 2" xfId="6896" xr:uid="{00000000-0005-0000-0000-0000702D0000}"/>
    <cellStyle name="Input 9 2 2 4 2 2" xfId="23103" xr:uid="{00000000-0005-0000-0000-0000712D0000}"/>
    <cellStyle name="Input 9 2 2 4 3" xfId="13143" xr:uid="{00000000-0005-0000-0000-0000722D0000}"/>
    <cellStyle name="Input 9 2 2 4 3 2" xfId="27975" xr:uid="{00000000-0005-0000-0000-0000732D0000}"/>
    <cellStyle name="Input 9 2 2 4 4" xfId="20763" xr:uid="{00000000-0005-0000-0000-0000742D0000}"/>
    <cellStyle name="Input 9 2 2 5" xfId="5969" xr:uid="{00000000-0005-0000-0000-0000752D0000}"/>
    <cellStyle name="Input 9 2 2 5 2" xfId="16161" xr:uid="{00000000-0005-0000-0000-0000762D0000}"/>
    <cellStyle name="Input 9 2 2 5 2 2" xfId="30993" xr:uid="{00000000-0005-0000-0000-0000772D0000}"/>
    <cellStyle name="Input 9 2 2 5 3" xfId="22534" xr:uid="{00000000-0005-0000-0000-0000782D0000}"/>
    <cellStyle name="Input 9 2 2 6" xfId="12231" xr:uid="{00000000-0005-0000-0000-0000792D0000}"/>
    <cellStyle name="Input 9 2 2 6 2" xfId="27063" xr:uid="{00000000-0005-0000-0000-00007A2D0000}"/>
    <cellStyle name="Input 9 2 2 7" xfId="9827" xr:uid="{00000000-0005-0000-0000-00007B2D0000}"/>
    <cellStyle name="Input 9 2 2 7 2" xfId="20078" xr:uid="{00000000-0005-0000-0000-00007C2D0000}"/>
    <cellStyle name="Input 9 2 3" xfId="4043" xr:uid="{00000000-0005-0000-0000-00007D2D0000}"/>
    <cellStyle name="Input 9 2 3 2" xfId="8090" xr:uid="{00000000-0005-0000-0000-00007E2D0000}"/>
    <cellStyle name="Input 9 2 3 2 2" xfId="23855" xr:uid="{00000000-0005-0000-0000-00007F2D0000}"/>
    <cellStyle name="Input 9 2 3 3" xfId="14375" xr:uid="{00000000-0005-0000-0000-0000802D0000}"/>
    <cellStyle name="Input 9 2 3 3 2" xfId="29207" xr:uid="{00000000-0005-0000-0000-0000812D0000}"/>
    <cellStyle name="Input 9 2 3 4" xfId="21489" xr:uid="{00000000-0005-0000-0000-0000822D0000}"/>
    <cellStyle name="Input 9 2 4" xfId="4395" xr:uid="{00000000-0005-0000-0000-0000832D0000}"/>
    <cellStyle name="Input 9 2 4 2" xfId="8434" xr:uid="{00000000-0005-0000-0000-0000842D0000}"/>
    <cellStyle name="Input 9 2 4 2 2" xfId="24092" xr:uid="{00000000-0005-0000-0000-0000852D0000}"/>
    <cellStyle name="Input 9 2 4 3" xfId="14724" xr:uid="{00000000-0005-0000-0000-0000862D0000}"/>
    <cellStyle name="Input 9 2 4 3 2" xfId="29556" xr:uid="{00000000-0005-0000-0000-0000872D0000}"/>
    <cellStyle name="Input 9 2 4 4" xfId="21660" xr:uid="{00000000-0005-0000-0000-0000882D0000}"/>
    <cellStyle name="Input 9 2 5" xfId="2385" xr:uid="{00000000-0005-0000-0000-0000892D0000}"/>
    <cellStyle name="Input 9 2 5 2" xfId="6497" xr:uid="{00000000-0005-0000-0000-00008A2D0000}"/>
    <cellStyle name="Input 9 2 5 2 2" xfId="22867" xr:uid="{00000000-0005-0000-0000-00008B2D0000}"/>
    <cellStyle name="Input 9 2 5 3" xfId="12724" xr:uid="{00000000-0005-0000-0000-00008C2D0000}"/>
    <cellStyle name="Input 9 2 5 3 2" xfId="27556" xr:uid="{00000000-0005-0000-0000-00008D2D0000}"/>
    <cellStyle name="Input 9 2 5 4" xfId="20509" xr:uid="{00000000-0005-0000-0000-00008E2D0000}"/>
    <cellStyle name="Input 9 2 6" xfId="5510" xr:uid="{00000000-0005-0000-0000-00008F2D0000}"/>
    <cellStyle name="Input 9 2 6 2" xfId="15745" xr:uid="{00000000-0005-0000-0000-0000902D0000}"/>
    <cellStyle name="Input 9 2 6 2 2" xfId="30577" xr:uid="{00000000-0005-0000-0000-0000912D0000}"/>
    <cellStyle name="Input 9 2 6 3" xfId="22238" xr:uid="{00000000-0005-0000-0000-0000922D0000}"/>
    <cellStyle name="Input 9 2 7" xfId="11760" xr:uid="{00000000-0005-0000-0000-0000932D0000}"/>
    <cellStyle name="Input 9 2 7 2" xfId="26592" xr:uid="{00000000-0005-0000-0000-0000942D0000}"/>
    <cellStyle name="Input 9 2 8" xfId="9431" xr:uid="{00000000-0005-0000-0000-0000952D0000}"/>
    <cellStyle name="Input 9 2 8 2" xfId="19735" xr:uid="{00000000-0005-0000-0000-0000962D0000}"/>
    <cellStyle name="Input 9 3" xfId="1491" xr:uid="{00000000-0005-0000-0000-0000972D0000}"/>
    <cellStyle name="Input 9 3 2" xfId="1992" xr:uid="{00000000-0005-0000-0000-0000982D0000}"/>
    <cellStyle name="Input 9 3 2 2" xfId="3711" xr:uid="{00000000-0005-0000-0000-0000992D0000}"/>
    <cellStyle name="Input 9 3 2 2 2" xfId="7767" xr:uid="{00000000-0005-0000-0000-00009A2D0000}"/>
    <cellStyle name="Input 9 3 2 2 2 2" xfId="23649" xr:uid="{00000000-0005-0000-0000-00009B2D0000}"/>
    <cellStyle name="Input 9 3 2 2 3" xfId="14046" xr:uid="{00000000-0005-0000-0000-00009C2D0000}"/>
    <cellStyle name="Input 9 3 2 2 3 2" xfId="28878" xr:uid="{00000000-0005-0000-0000-00009D2D0000}"/>
    <cellStyle name="Input 9 3 2 2 4" xfId="21309" xr:uid="{00000000-0005-0000-0000-00009E2D0000}"/>
    <cellStyle name="Input 9 3 2 3" xfId="4956" xr:uid="{00000000-0005-0000-0000-00009F2D0000}"/>
    <cellStyle name="Input 9 3 2 3 2" xfId="8995" xr:uid="{00000000-0005-0000-0000-0000A02D0000}"/>
    <cellStyle name="Input 9 3 2 3 2 2" xfId="24461" xr:uid="{00000000-0005-0000-0000-0000A12D0000}"/>
    <cellStyle name="Input 9 3 2 3 3" xfId="15278" xr:uid="{00000000-0005-0000-0000-0000A22D0000}"/>
    <cellStyle name="Input 9 3 2 3 3 2" xfId="30110" xr:uid="{00000000-0005-0000-0000-0000A32D0000}"/>
    <cellStyle name="Input 9 3 2 3 4" xfId="21991" xr:uid="{00000000-0005-0000-0000-0000A42D0000}"/>
    <cellStyle name="Input 9 3 2 4" xfId="2946" xr:uid="{00000000-0005-0000-0000-0000A52D0000}"/>
    <cellStyle name="Input 9 3 2 4 2" xfId="7030" xr:uid="{00000000-0005-0000-0000-0000A62D0000}"/>
    <cellStyle name="Input 9 3 2 4 2 2" xfId="23204" xr:uid="{00000000-0005-0000-0000-0000A72D0000}"/>
    <cellStyle name="Input 9 3 2 4 3" xfId="13284" xr:uid="{00000000-0005-0000-0000-0000A82D0000}"/>
    <cellStyle name="Input 9 3 2 4 3 2" xfId="28116" xr:uid="{00000000-0005-0000-0000-0000A92D0000}"/>
    <cellStyle name="Input 9 3 2 4 4" xfId="20872" xr:uid="{00000000-0005-0000-0000-0000AA2D0000}"/>
    <cellStyle name="Input 9 3 2 5" xfId="6122" xr:uid="{00000000-0005-0000-0000-0000AB2D0000}"/>
    <cellStyle name="Input 9 3 2 5 2" xfId="16309" xr:uid="{00000000-0005-0000-0000-0000AC2D0000}"/>
    <cellStyle name="Input 9 3 2 5 2 2" xfId="31141" xr:uid="{00000000-0005-0000-0000-0000AD2D0000}"/>
    <cellStyle name="Input 9 3 2 5 3" xfId="22655" xr:uid="{00000000-0005-0000-0000-0000AE2D0000}"/>
    <cellStyle name="Input 9 3 2 6" xfId="12379" xr:uid="{00000000-0005-0000-0000-0000AF2D0000}"/>
    <cellStyle name="Input 9 3 2 6 2" xfId="27211" xr:uid="{00000000-0005-0000-0000-0000B02D0000}"/>
    <cellStyle name="Input 9 3 2 7" xfId="9961" xr:uid="{00000000-0005-0000-0000-0000B12D0000}"/>
    <cellStyle name="Input 9 3 2 7 2" xfId="20163" xr:uid="{00000000-0005-0000-0000-0000B22D0000}"/>
    <cellStyle name="Input 9 3 3" xfId="3322" xr:uid="{00000000-0005-0000-0000-0000B32D0000}"/>
    <cellStyle name="Input 9 3 3 2" xfId="7385" xr:uid="{00000000-0005-0000-0000-0000B42D0000}"/>
    <cellStyle name="Input 9 3 3 2 2" xfId="23398" xr:uid="{00000000-0005-0000-0000-0000B52D0000}"/>
    <cellStyle name="Input 9 3 3 3" xfId="13659" xr:uid="{00000000-0005-0000-0000-0000B62D0000}"/>
    <cellStyle name="Input 9 3 3 3 2" xfId="28491" xr:uid="{00000000-0005-0000-0000-0000B72D0000}"/>
    <cellStyle name="Input 9 3 3 4" xfId="21086" xr:uid="{00000000-0005-0000-0000-0000B82D0000}"/>
    <cellStyle name="Input 9 3 4" xfId="4536" xr:uid="{00000000-0005-0000-0000-0000B92D0000}"/>
    <cellStyle name="Input 9 3 4 2" xfId="8575" xr:uid="{00000000-0005-0000-0000-0000BA2D0000}"/>
    <cellStyle name="Input 9 3 4 2 2" xfId="24201" xr:uid="{00000000-0005-0000-0000-0000BB2D0000}"/>
    <cellStyle name="Input 9 3 4 3" xfId="14863" xr:uid="{00000000-0005-0000-0000-0000BC2D0000}"/>
    <cellStyle name="Input 9 3 4 3 2" xfId="29695" xr:uid="{00000000-0005-0000-0000-0000BD2D0000}"/>
    <cellStyle name="Input 9 3 4 4" xfId="21761" xr:uid="{00000000-0005-0000-0000-0000BE2D0000}"/>
    <cellStyle name="Input 9 3 5" xfId="2526" xr:uid="{00000000-0005-0000-0000-0000BF2D0000}"/>
    <cellStyle name="Input 9 3 5 2" xfId="6632" xr:uid="{00000000-0005-0000-0000-0000C02D0000}"/>
    <cellStyle name="Input 9 3 5 2 2" xfId="22970" xr:uid="{00000000-0005-0000-0000-0000C12D0000}"/>
    <cellStyle name="Input 9 3 5 3" xfId="12864" xr:uid="{00000000-0005-0000-0000-0000C22D0000}"/>
    <cellStyle name="Input 9 3 5 3 2" xfId="27696" xr:uid="{00000000-0005-0000-0000-0000C32D0000}"/>
    <cellStyle name="Input 9 3 5 4" xfId="20616" xr:uid="{00000000-0005-0000-0000-0000C42D0000}"/>
    <cellStyle name="Input 9 3 6" xfId="5649" xr:uid="{00000000-0005-0000-0000-0000C52D0000}"/>
    <cellStyle name="Input 9 3 6 2" xfId="15884" xr:uid="{00000000-0005-0000-0000-0000C62D0000}"/>
    <cellStyle name="Input 9 3 6 2 2" xfId="30716" xr:uid="{00000000-0005-0000-0000-0000C72D0000}"/>
    <cellStyle name="Input 9 3 6 3" xfId="22345" xr:uid="{00000000-0005-0000-0000-0000C82D0000}"/>
    <cellStyle name="Input 9 3 7" xfId="11908" xr:uid="{00000000-0005-0000-0000-0000C92D0000}"/>
    <cellStyle name="Input 9 3 7 2" xfId="26740" xr:uid="{00000000-0005-0000-0000-0000CA2D0000}"/>
    <cellStyle name="Input 9 3 8" xfId="9566" xr:uid="{00000000-0005-0000-0000-0000CB2D0000}"/>
    <cellStyle name="Input 9 3 8 2" xfId="19868" xr:uid="{00000000-0005-0000-0000-0000CC2D0000}"/>
    <cellStyle name="Input 9 4" xfId="1392" xr:uid="{00000000-0005-0000-0000-0000CD2D0000}"/>
    <cellStyle name="Input 9 4 2" xfId="1894" xr:uid="{00000000-0005-0000-0000-0000CE2D0000}"/>
    <cellStyle name="Input 9 4 2 2" xfId="4341" xr:uid="{00000000-0005-0000-0000-0000CF2D0000}"/>
    <cellStyle name="Input 9 4 2 2 2" xfId="8380" xr:uid="{00000000-0005-0000-0000-0000D02D0000}"/>
    <cellStyle name="Input 9 4 2 2 2 2" xfId="24038" xr:uid="{00000000-0005-0000-0000-0000D12D0000}"/>
    <cellStyle name="Input 9 4 2 2 3" xfId="14672" xr:uid="{00000000-0005-0000-0000-0000D22D0000}"/>
    <cellStyle name="Input 9 4 2 2 3 2" xfId="29504" xr:uid="{00000000-0005-0000-0000-0000D32D0000}"/>
    <cellStyle name="Input 9 4 2 2 4" xfId="21633" xr:uid="{00000000-0005-0000-0000-0000D42D0000}"/>
    <cellStyle name="Input 9 4 2 3" xfId="4872" xr:uid="{00000000-0005-0000-0000-0000D52D0000}"/>
    <cellStyle name="Input 9 4 2 3 2" xfId="8911" xr:uid="{00000000-0005-0000-0000-0000D62D0000}"/>
    <cellStyle name="Input 9 4 2 3 2 2" xfId="24377" xr:uid="{00000000-0005-0000-0000-0000D72D0000}"/>
    <cellStyle name="Input 9 4 2 3 3" xfId="15195" xr:uid="{00000000-0005-0000-0000-0000D82D0000}"/>
    <cellStyle name="Input 9 4 2 3 3 2" xfId="30027" xr:uid="{00000000-0005-0000-0000-0000D92D0000}"/>
    <cellStyle name="Input 9 4 2 3 4" xfId="21909" xr:uid="{00000000-0005-0000-0000-0000DA2D0000}"/>
    <cellStyle name="Input 9 4 2 4" xfId="2862" xr:uid="{00000000-0005-0000-0000-0000DB2D0000}"/>
    <cellStyle name="Input 9 4 2 4 2" xfId="6947" xr:uid="{00000000-0005-0000-0000-0000DC2D0000}"/>
    <cellStyle name="Input 9 4 2 4 2 2" xfId="23122" xr:uid="{00000000-0005-0000-0000-0000DD2D0000}"/>
    <cellStyle name="Input 9 4 2 4 3" xfId="13200" xr:uid="{00000000-0005-0000-0000-0000DE2D0000}"/>
    <cellStyle name="Input 9 4 2 4 3 2" xfId="28032" xr:uid="{00000000-0005-0000-0000-0000DF2D0000}"/>
    <cellStyle name="Input 9 4 2 4 4" xfId="20788" xr:uid="{00000000-0005-0000-0000-0000E02D0000}"/>
    <cellStyle name="Input 9 4 2 5" xfId="6025" xr:uid="{00000000-0005-0000-0000-0000E12D0000}"/>
    <cellStyle name="Input 9 4 2 5 2" xfId="16212" xr:uid="{00000000-0005-0000-0000-0000E22D0000}"/>
    <cellStyle name="Input 9 4 2 5 2 2" xfId="31044" xr:uid="{00000000-0005-0000-0000-0000E32D0000}"/>
    <cellStyle name="Input 9 4 2 5 3" xfId="22558" xr:uid="{00000000-0005-0000-0000-0000E42D0000}"/>
    <cellStyle name="Input 9 4 2 6" xfId="12282" xr:uid="{00000000-0005-0000-0000-0000E52D0000}"/>
    <cellStyle name="Input 9 4 2 6 2" xfId="27114" xr:uid="{00000000-0005-0000-0000-0000E62D0000}"/>
    <cellStyle name="Input 9 4 2 7" xfId="9878" xr:uid="{00000000-0005-0000-0000-0000E72D0000}"/>
    <cellStyle name="Input 9 4 2 7 2" xfId="20082" xr:uid="{00000000-0005-0000-0000-0000E82D0000}"/>
    <cellStyle name="Input 9 4 3" xfId="3750" xr:uid="{00000000-0005-0000-0000-0000E92D0000}"/>
    <cellStyle name="Input 9 4 3 2" xfId="7806" xr:uid="{00000000-0005-0000-0000-0000EA2D0000}"/>
    <cellStyle name="Input 9 4 3 2 2" xfId="23676" xr:uid="{00000000-0005-0000-0000-0000EB2D0000}"/>
    <cellStyle name="Input 9 4 3 3" xfId="14085" xr:uid="{00000000-0005-0000-0000-0000EC2D0000}"/>
    <cellStyle name="Input 9 4 3 3 2" xfId="28917" xr:uid="{00000000-0005-0000-0000-0000ED2D0000}"/>
    <cellStyle name="Input 9 4 3 4" xfId="21332" xr:uid="{00000000-0005-0000-0000-0000EE2D0000}"/>
    <cellStyle name="Input 9 4 4" xfId="4452" xr:uid="{00000000-0005-0000-0000-0000EF2D0000}"/>
    <cellStyle name="Input 9 4 4 2" xfId="8491" xr:uid="{00000000-0005-0000-0000-0000F02D0000}"/>
    <cellStyle name="Input 9 4 4 2 2" xfId="24117" xr:uid="{00000000-0005-0000-0000-0000F12D0000}"/>
    <cellStyle name="Input 9 4 4 3" xfId="14780" xr:uid="{00000000-0005-0000-0000-0000F22D0000}"/>
    <cellStyle name="Input 9 4 4 3 2" xfId="29612" xr:uid="{00000000-0005-0000-0000-0000F32D0000}"/>
    <cellStyle name="Input 9 4 4 4" xfId="21679" xr:uid="{00000000-0005-0000-0000-0000F42D0000}"/>
    <cellStyle name="Input 9 4 5" xfId="2442" xr:uid="{00000000-0005-0000-0000-0000F52D0000}"/>
    <cellStyle name="Input 9 4 5 2" xfId="6548" xr:uid="{00000000-0005-0000-0000-0000F62D0000}"/>
    <cellStyle name="Input 9 4 5 2 2" xfId="22886" xr:uid="{00000000-0005-0000-0000-0000F72D0000}"/>
    <cellStyle name="Input 9 4 5 3" xfId="12781" xr:uid="{00000000-0005-0000-0000-0000F82D0000}"/>
    <cellStyle name="Input 9 4 5 3 2" xfId="27613" xr:uid="{00000000-0005-0000-0000-0000F92D0000}"/>
    <cellStyle name="Input 9 4 5 4" xfId="20534" xr:uid="{00000000-0005-0000-0000-0000FA2D0000}"/>
    <cellStyle name="Input 9 4 6" xfId="5566" xr:uid="{00000000-0005-0000-0000-0000FB2D0000}"/>
    <cellStyle name="Input 9 4 6 2" xfId="15801" xr:uid="{00000000-0005-0000-0000-0000FC2D0000}"/>
    <cellStyle name="Input 9 4 6 2 2" xfId="30633" xr:uid="{00000000-0005-0000-0000-0000FD2D0000}"/>
    <cellStyle name="Input 9 4 6 3" xfId="22262" xr:uid="{00000000-0005-0000-0000-0000FE2D0000}"/>
    <cellStyle name="Input 9 4 7" xfId="11811" xr:uid="{00000000-0005-0000-0000-0000FF2D0000}"/>
    <cellStyle name="Input 9 4 7 2" xfId="26643" xr:uid="{00000000-0005-0000-0000-0000002E0000}"/>
    <cellStyle name="Input 9 4 8" xfId="9483" xr:uid="{00000000-0005-0000-0000-0000012E0000}"/>
    <cellStyle name="Input 9 4 8 2" xfId="19786" xr:uid="{00000000-0005-0000-0000-0000022E0000}"/>
    <cellStyle name="Input 9 5" xfId="1497" xr:uid="{00000000-0005-0000-0000-0000032E0000}"/>
    <cellStyle name="Input 9 5 2" xfId="1998" xr:uid="{00000000-0005-0000-0000-0000042E0000}"/>
    <cellStyle name="Input 9 5 2 2" xfId="3526" xr:uid="{00000000-0005-0000-0000-0000052E0000}"/>
    <cellStyle name="Input 9 5 2 2 2" xfId="7588" xr:uid="{00000000-0005-0000-0000-0000062E0000}"/>
    <cellStyle name="Input 9 5 2 2 2 2" xfId="23536" xr:uid="{00000000-0005-0000-0000-0000072E0000}"/>
    <cellStyle name="Input 9 5 2 2 3" xfId="13863" xr:uid="{00000000-0005-0000-0000-0000082E0000}"/>
    <cellStyle name="Input 9 5 2 2 3 2" xfId="28695" xr:uid="{00000000-0005-0000-0000-0000092E0000}"/>
    <cellStyle name="Input 9 5 2 2 4" xfId="21211" xr:uid="{00000000-0005-0000-0000-00000A2E0000}"/>
    <cellStyle name="Input 9 5 2 3" xfId="4962" xr:uid="{00000000-0005-0000-0000-00000B2E0000}"/>
    <cellStyle name="Input 9 5 2 3 2" xfId="9001" xr:uid="{00000000-0005-0000-0000-00000C2E0000}"/>
    <cellStyle name="Input 9 5 2 3 2 2" xfId="24467" xr:uid="{00000000-0005-0000-0000-00000D2E0000}"/>
    <cellStyle name="Input 9 5 2 3 3" xfId="15284" xr:uid="{00000000-0005-0000-0000-00000E2E0000}"/>
    <cellStyle name="Input 9 5 2 3 3 2" xfId="30116" xr:uid="{00000000-0005-0000-0000-00000F2E0000}"/>
    <cellStyle name="Input 9 5 2 3 4" xfId="21997" xr:uid="{00000000-0005-0000-0000-0000102E0000}"/>
    <cellStyle name="Input 9 5 2 4" xfId="2952" xr:uid="{00000000-0005-0000-0000-0000112E0000}"/>
    <cellStyle name="Input 9 5 2 4 2" xfId="7036" xr:uid="{00000000-0005-0000-0000-0000122E0000}"/>
    <cellStyle name="Input 9 5 2 4 2 2" xfId="23210" xr:uid="{00000000-0005-0000-0000-0000132E0000}"/>
    <cellStyle name="Input 9 5 2 4 3" xfId="13290" xr:uid="{00000000-0005-0000-0000-0000142E0000}"/>
    <cellStyle name="Input 9 5 2 4 3 2" xfId="28122" xr:uid="{00000000-0005-0000-0000-0000152E0000}"/>
    <cellStyle name="Input 9 5 2 4 4" xfId="20878" xr:uid="{00000000-0005-0000-0000-0000162E0000}"/>
    <cellStyle name="Input 9 5 2 5" xfId="6128" xr:uid="{00000000-0005-0000-0000-0000172E0000}"/>
    <cellStyle name="Input 9 5 2 5 2" xfId="16315" xr:uid="{00000000-0005-0000-0000-0000182E0000}"/>
    <cellStyle name="Input 9 5 2 5 2 2" xfId="31147" xr:uid="{00000000-0005-0000-0000-0000192E0000}"/>
    <cellStyle name="Input 9 5 2 5 3" xfId="22661" xr:uid="{00000000-0005-0000-0000-00001A2E0000}"/>
    <cellStyle name="Input 9 5 2 6" xfId="12385" xr:uid="{00000000-0005-0000-0000-00001B2E0000}"/>
    <cellStyle name="Input 9 5 2 6 2" xfId="27217" xr:uid="{00000000-0005-0000-0000-00001C2E0000}"/>
    <cellStyle name="Input 9 5 2 7" xfId="9967" xr:uid="{00000000-0005-0000-0000-00001D2E0000}"/>
    <cellStyle name="Input 9 5 2 7 2" xfId="20169" xr:uid="{00000000-0005-0000-0000-00001E2E0000}"/>
    <cellStyle name="Input 9 5 3" xfId="3172" xr:uid="{00000000-0005-0000-0000-00001F2E0000}"/>
    <cellStyle name="Input 9 5 3 2" xfId="7236" xr:uid="{00000000-0005-0000-0000-0000202E0000}"/>
    <cellStyle name="Input 9 5 3 2 2" xfId="23296" xr:uid="{00000000-0005-0000-0000-0000212E0000}"/>
    <cellStyle name="Input 9 5 3 3" xfId="13510" xr:uid="{00000000-0005-0000-0000-0000222E0000}"/>
    <cellStyle name="Input 9 5 3 3 2" xfId="28342" xr:uid="{00000000-0005-0000-0000-0000232E0000}"/>
    <cellStyle name="Input 9 5 3 4" xfId="20986" xr:uid="{00000000-0005-0000-0000-0000242E0000}"/>
    <cellStyle name="Input 9 5 4" xfId="4542" xr:uid="{00000000-0005-0000-0000-0000252E0000}"/>
    <cellStyle name="Input 9 5 4 2" xfId="8581" xr:uid="{00000000-0005-0000-0000-0000262E0000}"/>
    <cellStyle name="Input 9 5 4 2 2" xfId="24207" xr:uid="{00000000-0005-0000-0000-0000272E0000}"/>
    <cellStyle name="Input 9 5 4 3" xfId="14869" xr:uid="{00000000-0005-0000-0000-0000282E0000}"/>
    <cellStyle name="Input 9 5 4 3 2" xfId="29701" xr:uid="{00000000-0005-0000-0000-0000292E0000}"/>
    <cellStyle name="Input 9 5 4 4" xfId="21767" xr:uid="{00000000-0005-0000-0000-00002A2E0000}"/>
    <cellStyle name="Input 9 5 5" xfId="2532" xr:uid="{00000000-0005-0000-0000-00002B2E0000}"/>
    <cellStyle name="Input 9 5 5 2" xfId="6638" xr:uid="{00000000-0005-0000-0000-00002C2E0000}"/>
    <cellStyle name="Input 9 5 5 2 2" xfId="22976" xr:uid="{00000000-0005-0000-0000-00002D2E0000}"/>
    <cellStyle name="Input 9 5 5 3" xfId="12870" xr:uid="{00000000-0005-0000-0000-00002E2E0000}"/>
    <cellStyle name="Input 9 5 5 3 2" xfId="27702" xr:uid="{00000000-0005-0000-0000-00002F2E0000}"/>
    <cellStyle name="Input 9 5 5 4" xfId="20622" xr:uid="{00000000-0005-0000-0000-0000302E0000}"/>
    <cellStyle name="Input 9 5 6" xfId="5655" xr:uid="{00000000-0005-0000-0000-0000312E0000}"/>
    <cellStyle name="Input 9 5 6 2" xfId="15890" xr:uid="{00000000-0005-0000-0000-0000322E0000}"/>
    <cellStyle name="Input 9 5 6 2 2" xfId="30722" xr:uid="{00000000-0005-0000-0000-0000332E0000}"/>
    <cellStyle name="Input 9 5 6 3" xfId="22351" xr:uid="{00000000-0005-0000-0000-0000342E0000}"/>
    <cellStyle name="Input 9 5 7" xfId="11914" xr:uid="{00000000-0005-0000-0000-0000352E0000}"/>
    <cellStyle name="Input 9 5 7 2" xfId="26746" xr:uid="{00000000-0005-0000-0000-0000362E0000}"/>
    <cellStyle name="Input 9 5 8" xfId="9572" xr:uid="{00000000-0005-0000-0000-0000372E0000}"/>
    <cellStyle name="Input 9 5 8 2" xfId="19874" xr:uid="{00000000-0005-0000-0000-0000382E0000}"/>
    <cellStyle name="Input 9 6" xfId="1759" xr:uid="{00000000-0005-0000-0000-0000392E0000}"/>
    <cellStyle name="Input 9 6 2" xfId="3973" xr:uid="{00000000-0005-0000-0000-00003A2E0000}"/>
    <cellStyle name="Input 9 6 2 2" xfId="8022" xr:uid="{00000000-0005-0000-0000-00003B2E0000}"/>
    <cellStyle name="Input 9 6 2 2 2" xfId="23814" xr:uid="{00000000-0005-0000-0000-00003C2E0000}"/>
    <cellStyle name="Input 9 6 2 3" xfId="14306" xr:uid="{00000000-0005-0000-0000-00003D2E0000}"/>
    <cellStyle name="Input 9 6 2 3 2" xfId="29138" xr:uid="{00000000-0005-0000-0000-00003E2E0000}"/>
    <cellStyle name="Input 9 6 2 4" xfId="21452" xr:uid="{00000000-0005-0000-0000-00003F2E0000}"/>
    <cellStyle name="Input 9 6 3" xfId="4737" xr:uid="{00000000-0005-0000-0000-0000402E0000}"/>
    <cellStyle name="Input 9 6 3 2" xfId="8776" xr:uid="{00000000-0005-0000-0000-0000412E0000}"/>
    <cellStyle name="Input 9 6 3 2 2" xfId="24306" xr:uid="{00000000-0005-0000-0000-0000422E0000}"/>
    <cellStyle name="Input 9 6 3 3" xfId="15061" xr:uid="{00000000-0005-0000-0000-0000432E0000}"/>
    <cellStyle name="Input 9 6 3 3 2" xfId="29893" xr:uid="{00000000-0005-0000-0000-0000442E0000}"/>
    <cellStyle name="Input 9 6 3 4" xfId="21844" xr:uid="{00000000-0005-0000-0000-0000452E0000}"/>
    <cellStyle name="Input 9 6 4" xfId="2727" xr:uid="{00000000-0005-0000-0000-0000462E0000}"/>
    <cellStyle name="Input 9 6 4 2" xfId="6818" xr:uid="{00000000-0005-0000-0000-0000472E0000}"/>
    <cellStyle name="Input 9 6 4 2 2" xfId="23057" xr:uid="{00000000-0005-0000-0000-0000482E0000}"/>
    <cellStyle name="Input 9 6 4 3" xfId="13065" xr:uid="{00000000-0005-0000-0000-0000492E0000}"/>
    <cellStyle name="Input 9 6 4 3 2" xfId="27897" xr:uid="{00000000-0005-0000-0000-00004A2E0000}"/>
    <cellStyle name="Input 9 6 4 4" xfId="20717" xr:uid="{00000000-0005-0000-0000-00004B2E0000}"/>
    <cellStyle name="Input 9 6 5" xfId="5891" xr:uid="{00000000-0005-0000-0000-00004C2E0000}"/>
    <cellStyle name="Input 9 6 5 2" xfId="16083" xr:uid="{00000000-0005-0000-0000-00004D2E0000}"/>
    <cellStyle name="Input 9 6 5 2 2" xfId="30915" xr:uid="{00000000-0005-0000-0000-00004E2E0000}"/>
    <cellStyle name="Input 9 6 5 3" xfId="22488" xr:uid="{00000000-0005-0000-0000-00004F2E0000}"/>
    <cellStyle name="Input 9 6 6" xfId="12153" xr:uid="{00000000-0005-0000-0000-0000502E0000}"/>
    <cellStyle name="Input 9 6 6 2" xfId="26985" xr:uid="{00000000-0005-0000-0000-0000512E0000}"/>
    <cellStyle name="Input 9 6 7" xfId="9749" xr:uid="{00000000-0005-0000-0000-0000522E0000}"/>
    <cellStyle name="Input 9 6 7 2" xfId="20047" xr:uid="{00000000-0005-0000-0000-0000532E0000}"/>
    <cellStyle name="Input 9 7" xfId="2207" xr:uid="{00000000-0005-0000-0000-0000542E0000}"/>
    <cellStyle name="Input 9 7 2" xfId="3937" xr:uid="{00000000-0005-0000-0000-0000552E0000}"/>
    <cellStyle name="Input 9 7 2 2" xfId="7987" xr:uid="{00000000-0005-0000-0000-0000562E0000}"/>
    <cellStyle name="Input 9 7 2 2 2" xfId="23788" xr:uid="{00000000-0005-0000-0000-0000572E0000}"/>
    <cellStyle name="Input 9 7 2 3" xfId="14270" xr:uid="{00000000-0005-0000-0000-0000582E0000}"/>
    <cellStyle name="Input 9 7 2 3 2" xfId="29102" xr:uid="{00000000-0005-0000-0000-0000592E0000}"/>
    <cellStyle name="Input 9 7 2 4" xfId="21430" xr:uid="{00000000-0005-0000-0000-00005A2E0000}"/>
    <cellStyle name="Input 9 7 3" xfId="5175" xr:uid="{00000000-0005-0000-0000-00005B2E0000}"/>
    <cellStyle name="Input 9 7 3 2" xfId="9214" xr:uid="{00000000-0005-0000-0000-00005C2E0000}"/>
    <cellStyle name="Input 9 7 3 2 2" xfId="24552" xr:uid="{00000000-0005-0000-0000-00005D2E0000}"/>
    <cellStyle name="Input 9 7 3 3" xfId="15493" xr:uid="{00000000-0005-0000-0000-00005E2E0000}"/>
    <cellStyle name="Input 9 7 3 3 2" xfId="30325" xr:uid="{00000000-0005-0000-0000-00005F2E0000}"/>
    <cellStyle name="Input 9 7 3 4" xfId="22059" xr:uid="{00000000-0005-0000-0000-0000602E0000}"/>
    <cellStyle name="Input 9 7 4" xfId="4205" xr:uid="{00000000-0005-0000-0000-0000612E0000}"/>
    <cellStyle name="Input 9 7 4 2" xfId="8246" xr:uid="{00000000-0005-0000-0000-0000622E0000}"/>
    <cellStyle name="Input 9 7 4 2 2" xfId="23941" xr:uid="{00000000-0005-0000-0000-0000632E0000}"/>
    <cellStyle name="Input 9 7 4 3" xfId="14537" xr:uid="{00000000-0005-0000-0000-0000642E0000}"/>
    <cellStyle name="Input 9 7 4 3 2" xfId="29369" xr:uid="{00000000-0005-0000-0000-0000652E0000}"/>
    <cellStyle name="Input 9 7 4 4" xfId="21566" xr:uid="{00000000-0005-0000-0000-0000662E0000}"/>
    <cellStyle name="Input 9 7 5" xfId="6321" xr:uid="{00000000-0005-0000-0000-0000672E0000}"/>
    <cellStyle name="Input 9 7 5 2" xfId="22723" xr:uid="{00000000-0005-0000-0000-0000682E0000}"/>
    <cellStyle name="Input 9 7 6" xfId="12575" xr:uid="{00000000-0005-0000-0000-0000692E0000}"/>
    <cellStyle name="Input 9 7 6 2" xfId="27407" xr:uid="{00000000-0005-0000-0000-00006A2E0000}"/>
    <cellStyle name="Input 9 7 7" xfId="20402" xr:uid="{00000000-0005-0000-0000-00006B2E0000}"/>
    <cellStyle name="Input 9 8" xfId="3144" xr:uid="{00000000-0005-0000-0000-00006C2E0000}"/>
    <cellStyle name="Input 9 8 2" xfId="7208" xr:uid="{00000000-0005-0000-0000-00006D2E0000}"/>
    <cellStyle name="Input 9 8 2 2" xfId="23277" xr:uid="{00000000-0005-0000-0000-00006E2E0000}"/>
    <cellStyle name="Input 9 8 3" xfId="13482" xr:uid="{00000000-0005-0000-0000-00006F2E0000}"/>
    <cellStyle name="Input 9 8 3 2" xfId="28314" xr:uid="{00000000-0005-0000-0000-0000702E0000}"/>
    <cellStyle name="Input 9 8 4" xfId="20968" xr:uid="{00000000-0005-0000-0000-0000712E0000}"/>
    <cellStyle name="Input 9 9" xfId="3299" xr:uid="{00000000-0005-0000-0000-0000722E0000}"/>
    <cellStyle name="Input 9 9 2" xfId="7363" xr:uid="{00000000-0005-0000-0000-0000732E0000}"/>
    <cellStyle name="Input 9 9 2 2" xfId="23386" xr:uid="{00000000-0005-0000-0000-0000742E0000}"/>
    <cellStyle name="Input 9 9 3" xfId="13636" xr:uid="{00000000-0005-0000-0000-0000752E0000}"/>
    <cellStyle name="Input 9 9 3 2" xfId="28468" xr:uid="{00000000-0005-0000-0000-0000762E0000}"/>
    <cellStyle name="Input 9 9 4" xfId="21073" xr:uid="{00000000-0005-0000-0000-0000772E0000}"/>
    <cellStyle name="Linked Cell 10" xfId="1127" xr:uid="{00000000-0005-0000-0000-0000782E0000}"/>
    <cellStyle name="Linked Cell 2" xfId="1128" xr:uid="{00000000-0005-0000-0000-0000792E0000}"/>
    <cellStyle name="Linked Cell 2 2" xfId="1129" xr:uid="{00000000-0005-0000-0000-00007A2E0000}"/>
    <cellStyle name="Linked Cell 2 3" xfId="1130" xr:uid="{00000000-0005-0000-0000-00007B2E0000}"/>
    <cellStyle name="Linked Cell 2 4" xfId="1131" xr:uid="{00000000-0005-0000-0000-00007C2E0000}"/>
    <cellStyle name="Linked Cell 2 5" xfId="1132" xr:uid="{00000000-0005-0000-0000-00007D2E0000}"/>
    <cellStyle name="Linked Cell 2 6" xfId="1133" xr:uid="{00000000-0005-0000-0000-00007E2E0000}"/>
    <cellStyle name="Linked Cell 2 7" xfId="1134" xr:uid="{00000000-0005-0000-0000-00007F2E0000}"/>
    <cellStyle name="Linked Cell 2 8" xfId="1135" xr:uid="{00000000-0005-0000-0000-0000802E0000}"/>
    <cellStyle name="Linked Cell 3" xfId="1136" xr:uid="{00000000-0005-0000-0000-0000812E0000}"/>
    <cellStyle name="Linked Cell 4" xfId="1137" xr:uid="{00000000-0005-0000-0000-0000822E0000}"/>
    <cellStyle name="Linked Cell 5" xfId="1138" xr:uid="{00000000-0005-0000-0000-0000832E0000}"/>
    <cellStyle name="Linked Cell 6" xfId="1139" xr:uid="{00000000-0005-0000-0000-0000842E0000}"/>
    <cellStyle name="Linked Cell 7" xfId="1140" xr:uid="{00000000-0005-0000-0000-0000852E0000}"/>
    <cellStyle name="Linked Cell 8" xfId="1141" xr:uid="{00000000-0005-0000-0000-0000862E0000}"/>
    <cellStyle name="Linked Cell 9" xfId="1142" xr:uid="{00000000-0005-0000-0000-0000872E0000}"/>
    <cellStyle name="Neutral 2" xfId="1144" xr:uid="{00000000-0005-0000-0000-0000882E0000}"/>
    <cellStyle name="Neutral 2 2" xfId="1145" xr:uid="{00000000-0005-0000-0000-0000892E0000}"/>
    <cellStyle name="Neutral 2 3" xfId="1146" xr:uid="{00000000-0005-0000-0000-00008A2E0000}"/>
    <cellStyle name="Neutral 2 4" xfId="1147" xr:uid="{00000000-0005-0000-0000-00008B2E0000}"/>
    <cellStyle name="Neutral 2 5" xfId="1148" xr:uid="{00000000-0005-0000-0000-00008C2E0000}"/>
    <cellStyle name="Neutral 2 6" xfId="1149" xr:uid="{00000000-0005-0000-0000-00008D2E0000}"/>
    <cellStyle name="Neutral 2 7" xfId="1150" xr:uid="{00000000-0005-0000-0000-00008E2E0000}"/>
    <cellStyle name="Neutral 2 8" xfId="1151" xr:uid="{00000000-0005-0000-0000-00008F2E0000}"/>
    <cellStyle name="Neutral 3" xfId="1152" xr:uid="{00000000-0005-0000-0000-0000902E0000}"/>
    <cellStyle name="Neutral 4" xfId="1153" xr:uid="{00000000-0005-0000-0000-0000912E0000}"/>
    <cellStyle name="Neutral 5" xfId="1154" xr:uid="{00000000-0005-0000-0000-0000922E0000}"/>
    <cellStyle name="Neutral 6" xfId="1155" xr:uid="{00000000-0005-0000-0000-0000932E0000}"/>
    <cellStyle name="Neutral 7" xfId="1156" xr:uid="{00000000-0005-0000-0000-0000942E0000}"/>
    <cellStyle name="Neutral 8" xfId="1157" xr:uid="{00000000-0005-0000-0000-0000952E0000}"/>
    <cellStyle name="Neutral 9" xfId="1143" xr:uid="{00000000-0005-0000-0000-0000962E0000}"/>
    <cellStyle name="Normal" xfId="0" builtinId="0"/>
    <cellStyle name="Normal 10" xfId="1158" xr:uid="{00000000-0005-0000-0000-0000982E0000}"/>
    <cellStyle name="Normal 11" xfId="1159" xr:uid="{00000000-0005-0000-0000-0000992E0000}"/>
    <cellStyle name="Normal 12" xfId="1160" xr:uid="{00000000-0005-0000-0000-00009A2E0000}"/>
    <cellStyle name="Normal 13" xfId="1161" xr:uid="{00000000-0005-0000-0000-00009B2E0000}"/>
    <cellStyle name="Normal 14" xfId="1162" xr:uid="{00000000-0005-0000-0000-00009C2E0000}"/>
    <cellStyle name="Normal 15" xfId="1163" xr:uid="{00000000-0005-0000-0000-00009D2E0000}"/>
    <cellStyle name="Normal 16" xfId="1164" xr:uid="{00000000-0005-0000-0000-00009E2E0000}"/>
    <cellStyle name="Normal 17" xfId="1165" xr:uid="{00000000-0005-0000-0000-00009F2E0000}"/>
    <cellStyle name="Normal 18" xfId="1166" xr:uid="{00000000-0005-0000-0000-0000A02E0000}"/>
    <cellStyle name="Normal 19" xfId="1167" xr:uid="{00000000-0005-0000-0000-0000A12E0000}"/>
    <cellStyle name="Normal 2" xfId="2" xr:uid="{00000000-0005-0000-0000-0000A22E0000}"/>
    <cellStyle name="Normal 2 2" xfId="1168" xr:uid="{00000000-0005-0000-0000-0000A32E0000}"/>
    <cellStyle name="Normal 20" xfId="1169" xr:uid="{00000000-0005-0000-0000-0000A42E0000}"/>
    <cellStyle name="Normal 21" xfId="1170" xr:uid="{00000000-0005-0000-0000-0000A52E0000}"/>
    <cellStyle name="Normal 22" xfId="1171" xr:uid="{00000000-0005-0000-0000-0000A62E0000}"/>
    <cellStyle name="Normal 23" xfId="1172" xr:uid="{00000000-0005-0000-0000-0000A72E0000}"/>
    <cellStyle name="Normal 24" xfId="8" xr:uid="{00000000-0005-0000-0000-0000A82E0000}"/>
    <cellStyle name="Normal 25" xfId="33018" xr:uid="{00000000-0005-0000-0000-0000A92E0000}"/>
    <cellStyle name="Normal 26" xfId="33020" xr:uid="{00000000-0005-0000-0000-0000AA2E0000}"/>
    <cellStyle name="Normal 26 2" xfId="33023" xr:uid="{00000000-0005-0000-0000-0000AB2E0000}"/>
    <cellStyle name="Normal 3" xfId="1173" xr:uid="{00000000-0005-0000-0000-0000AC2E0000}"/>
    <cellStyle name="Normal 3 2" xfId="1682" xr:uid="{00000000-0005-0000-0000-0000AD2E0000}"/>
    <cellStyle name="Normal 4" xfId="1174" xr:uid="{00000000-0005-0000-0000-0000AE2E0000}"/>
    <cellStyle name="Normal 4 2" xfId="1175" xr:uid="{00000000-0005-0000-0000-0000AF2E0000}"/>
    <cellStyle name="Normal 4 2 2" xfId="1176" xr:uid="{00000000-0005-0000-0000-0000B02E0000}"/>
    <cellStyle name="Normal 4 2 2 2" xfId="1177" xr:uid="{00000000-0005-0000-0000-0000B12E0000}"/>
    <cellStyle name="Normal 4 2 3" xfId="1178" xr:uid="{00000000-0005-0000-0000-0000B22E0000}"/>
    <cellStyle name="Normal 4 2 3 2" xfId="1179" xr:uid="{00000000-0005-0000-0000-0000B32E0000}"/>
    <cellStyle name="Normal 4 2 4" xfId="1180" xr:uid="{00000000-0005-0000-0000-0000B42E0000}"/>
    <cellStyle name="Normal 4 2 4 2" xfId="1181" xr:uid="{00000000-0005-0000-0000-0000B52E0000}"/>
    <cellStyle name="Normal 4 2 5" xfId="1182" xr:uid="{00000000-0005-0000-0000-0000B62E0000}"/>
    <cellStyle name="Normal 4 2 5 2" xfId="1183" xr:uid="{00000000-0005-0000-0000-0000B72E0000}"/>
    <cellStyle name="Normal 4 2 6" xfId="1184" xr:uid="{00000000-0005-0000-0000-0000B82E0000}"/>
    <cellStyle name="Normal 4 2 6 2" xfId="1185" xr:uid="{00000000-0005-0000-0000-0000B92E0000}"/>
    <cellStyle name="Normal 4 2 7" xfId="1186" xr:uid="{00000000-0005-0000-0000-0000BA2E0000}"/>
    <cellStyle name="Normal 4 2 7 2" xfId="1187" xr:uid="{00000000-0005-0000-0000-0000BB2E0000}"/>
    <cellStyle name="Normal 4 2 8" xfId="1188" xr:uid="{00000000-0005-0000-0000-0000BC2E0000}"/>
    <cellStyle name="Normal 4 2 8 2" xfId="1189" xr:uid="{00000000-0005-0000-0000-0000BD2E0000}"/>
    <cellStyle name="Normal 4 2_GREET1_Import" xfId="1190" xr:uid="{00000000-0005-0000-0000-0000BE2E0000}"/>
    <cellStyle name="Normal 4 3" xfId="1191" xr:uid="{00000000-0005-0000-0000-0000BF2E0000}"/>
    <cellStyle name="Normal 4 4" xfId="1192" xr:uid="{00000000-0005-0000-0000-0000C02E0000}"/>
    <cellStyle name="Normal 4 5" xfId="1193" xr:uid="{00000000-0005-0000-0000-0000C12E0000}"/>
    <cellStyle name="Normal 4 6" xfId="1194" xr:uid="{00000000-0005-0000-0000-0000C22E0000}"/>
    <cellStyle name="Normal 4 7" xfId="1195" xr:uid="{00000000-0005-0000-0000-0000C32E0000}"/>
    <cellStyle name="Normal 4 8" xfId="1196" xr:uid="{00000000-0005-0000-0000-0000C42E0000}"/>
    <cellStyle name="Normal 4 9" xfId="1197" xr:uid="{00000000-0005-0000-0000-0000C52E0000}"/>
    <cellStyle name="Normal 4_GREET2_8d_0" xfId="1198" xr:uid="{00000000-0005-0000-0000-0000C62E0000}"/>
    <cellStyle name="Normal 5" xfId="1199" xr:uid="{00000000-0005-0000-0000-0000C72E0000}"/>
    <cellStyle name="Normal 5 2" xfId="1200" xr:uid="{00000000-0005-0000-0000-0000C82E0000}"/>
    <cellStyle name="Normal 5 3" xfId="1201" xr:uid="{00000000-0005-0000-0000-0000C92E0000}"/>
    <cellStyle name="Normal 5 4" xfId="1202" xr:uid="{00000000-0005-0000-0000-0000CA2E0000}"/>
    <cellStyle name="Normal 5 5" xfId="1203" xr:uid="{00000000-0005-0000-0000-0000CB2E0000}"/>
    <cellStyle name="Normal 5 6" xfId="1204" xr:uid="{00000000-0005-0000-0000-0000CC2E0000}"/>
    <cellStyle name="Normal 5 7" xfId="1205" xr:uid="{00000000-0005-0000-0000-0000CD2E0000}"/>
    <cellStyle name="Normal 5 8" xfId="1206" xr:uid="{00000000-0005-0000-0000-0000CE2E0000}"/>
    <cellStyle name="Normal 6" xfId="1207" xr:uid="{00000000-0005-0000-0000-0000CF2E0000}"/>
    <cellStyle name="Normal 7" xfId="1208" xr:uid="{00000000-0005-0000-0000-0000D02E0000}"/>
    <cellStyle name="Normal 8" xfId="1209" xr:uid="{00000000-0005-0000-0000-0000D12E0000}"/>
    <cellStyle name="Normal 9" xfId="1210" xr:uid="{00000000-0005-0000-0000-0000D22E0000}"/>
    <cellStyle name="Normal GHG Numbers (0.00)" xfId="1211" xr:uid="{00000000-0005-0000-0000-0000D32E0000}"/>
    <cellStyle name="Normal GHG Numbers (0.00) 2" xfId="1299" xr:uid="{00000000-0005-0000-0000-0000D42E0000}"/>
    <cellStyle name="Normal GHG Numbers (0.00) 2 10" xfId="1689" xr:uid="{00000000-0005-0000-0000-0000D52E0000}"/>
    <cellStyle name="Normal GHG Numbers (0.00) 2 10 2" xfId="5821" xr:uid="{00000000-0005-0000-0000-0000D62E0000}"/>
    <cellStyle name="Normal GHG Numbers (0.00) 2 10 2 2" xfId="22418" xr:uid="{00000000-0005-0000-0000-0000D72E0000}"/>
    <cellStyle name="Normal GHG Numbers (0.00) 2 10 3" xfId="12083" xr:uid="{00000000-0005-0000-0000-0000D82E0000}"/>
    <cellStyle name="Normal GHG Numbers (0.00) 2 10 3 2" xfId="26915" xr:uid="{00000000-0005-0000-0000-0000D92E0000}"/>
    <cellStyle name="Normal GHG Numbers (0.00) 2 11" xfId="5476" xr:uid="{00000000-0005-0000-0000-0000DA2E0000}"/>
    <cellStyle name="Normal GHG Numbers (0.00) 2 11 2" xfId="15711" xr:uid="{00000000-0005-0000-0000-0000DB2E0000}"/>
    <cellStyle name="Normal GHG Numbers (0.00) 2 11 2 2" xfId="30543" xr:uid="{00000000-0005-0000-0000-0000DC2E0000}"/>
    <cellStyle name="Normal GHG Numbers (0.00) 2 11 3" xfId="22204" xr:uid="{00000000-0005-0000-0000-0000DD2E0000}"/>
    <cellStyle name="Normal GHG Numbers (0.00) 2 2" xfId="1383" xr:uid="{00000000-0005-0000-0000-0000DE2E0000}"/>
    <cellStyle name="Normal GHG Numbers (0.00) 2 2 2" xfId="1678" xr:uid="{00000000-0005-0000-0000-0000DF2E0000}"/>
    <cellStyle name="Normal GHG Numbers (0.00) 2 2 2 2" xfId="2261" xr:uid="{00000000-0005-0000-0000-0000E02E0000}"/>
    <cellStyle name="Normal GHG Numbers (0.00) 2 2 2 2 2" xfId="4365" xr:uid="{00000000-0005-0000-0000-0000E12E0000}"/>
    <cellStyle name="Normal GHG Numbers (0.00) 2 2 2 2 2 2" xfId="8404" xr:uid="{00000000-0005-0000-0000-0000E22E0000}"/>
    <cellStyle name="Normal GHG Numbers (0.00) 2 2 2 2 2 2 2" xfId="24062" xr:uid="{00000000-0005-0000-0000-0000E32E0000}"/>
    <cellStyle name="Normal GHG Numbers (0.00) 2 2 2 2 2 3" xfId="14694" xr:uid="{00000000-0005-0000-0000-0000E42E0000}"/>
    <cellStyle name="Normal GHG Numbers (0.00) 2 2 2 2 2 3 2" xfId="29526" xr:uid="{00000000-0005-0000-0000-0000E52E0000}"/>
    <cellStyle name="Normal GHG Numbers (0.00) 2 2 2 2 3" xfId="5229" xr:uid="{00000000-0005-0000-0000-0000E62E0000}"/>
    <cellStyle name="Normal GHG Numbers (0.00) 2 2 2 2 3 2" xfId="9268" xr:uid="{00000000-0005-0000-0000-0000E72E0000}"/>
    <cellStyle name="Normal GHG Numbers (0.00) 2 2 2 2 3 2 2" xfId="24606" xr:uid="{00000000-0005-0000-0000-0000E82E0000}"/>
    <cellStyle name="Normal GHG Numbers (0.00) 2 2 2 2 3 3" xfId="15545" xr:uid="{00000000-0005-0000-0000-0000E92E0000}"/>
    <cellStyle name="Normal GHG Numbers (0.00) 2 2 2 2 3 3 2" xfId="30377" xr:uid="{00000000-0005-0000-0000-0000EA2E0000}"/>
    <cellStyle name="Normal GHG Numbers (0.00) 2 2 2 2 4" xfId="4259" xr:uid="{00000000-0005-0000-0000-0000EB2E0000}"/>
    <cellStyle name="Normal GHG Numbers (0.00) 2 2 2 2 4 2" xfId="8298" xr:uid="{00000000-0005-0000-0000-0000EC2E0000}"/>
    <cellStyle name="Normal GHG Numbers (0.00) 2 2 2 2 4 2 2" xfId="23993" xr:uid="{00000000-0005-0000-0000-0000ED2E0000}"/>
    <cellStyle name="Normal GHG Numbers (0.00) 2 2 2 2 4 3" xfId="14591" xr:uid="{00000000-0005-0000-0000-0000EE2E0000}"/>
    <cellStyle name="Normal GHG Numbers (0.00) 2 2 2 2 4 3 2" xfId="29423" xr:uid="{00000000-0005-0000-0000-0000EF2E0000}"/>
    <cellStyle name="Normal GHG Numbers (0.00) 2 2 2 2 5" xfId="6373" xr:uid="{00000000-0005-0000-0000-0000F02E0000}"/>
    <cellStyle name="Normal GHG Numbers (0.00) 2 2 2 2 5 2" xfId="22775" xr:uid="{00000000-0005-0000-0000-0000F12E0000}"/>
    <cellStyle name="Normal GHG Numbers (0.00) 2 2 2 3" xfId="3967" xr:uid="{00000000-0005-0000-0000-0000F22E0000}"/>
    <cellStyle name="Normal GHG Numbers (0.00) 2 2 2 3 2" xfId="8016" xr:uid="{00000000-0005-0000-0000-0000F32E0000}"/>
    <cellStyle name="Normal GHG Numbers (0.00) 2 2 2 3 2 2" xfId="23809" xr:uid="{00000000-0005-0000-0000-0000F42E0000}"/>
    <cellStyle name="Normal GHG Numbers (0.00) 2 2 2 3 3" xfId="14300" xr:uid="{00000000-0005-0000-0000-0000F52E0000}"/>
    <cellStyle name="Normal GHG Numbers (0.00) 2 2 2 3 3 2" xfId="29132" xr:uid="{00000000-0005-0000-0000-0000F62E0000}"/>
    <cellStyle name="Normal GHG Numbers (0.00) 2 2 2 4" xfId="4339" xr:uid="{00000000-0005-0000-0000-0000F72E0000}"/>
    <cellStyle name="Normal GHG Numbers (0.00) 2 2 2 4 2" xfId="8378" xr:uid="{00000000-0005-0000-0000-0000F82E0000}"/>
    <cellStyle name="Normal GHG Numbers (0.00) 2 2 2 4 2 2" xfId="24037" xr:uid="{00000000-0005-0000-0000-0000F92E0000}"/>
    <cellStyle name="Normal GHG Numbers (0.00) 2 2 2 4 3" xfId="14670" xr:uid="{00000000-0005-0000-0000-0000FA2E0000}"/>
    <cellStyle name="Normal GHG Numbers (0.00) 2 2 2 4 3 2" xfId="29502" xr:uid="{00000000-0005-0000-0000-0000FB2E0000}"/>
    <cellStyle name="Normal GHG Numbers (0.00) 2 2 2 5" xfId="4865" xr:uid="{00000000-0005-0000-0000-0000FC2E0000}"/>
    <cellStyle name="Normal GHG Numbers (0.00) 2 2 2 5 2" xfId="8904" xr:uid="{00000000-0005-0000-0000-0000FD2E0000}"/>
    <cellStyle name="Normal GHG Numbers (0.00) 2 2 2 5 2 2" xfId="24370" xr:uid="{00000000-0005-0000-0000-0000FE2E0000}"/>
    <cellStyle name="Normal GHG Numbers (0.00) 2 2 2 5 3" xfId="15188" xr:uid="{00000000-0005-0000-0000-0000FF2E0000}"/>
    <cellStyle name="Normal GHG Numbers (0.00) 2 2 2 5 3 2" xfId="30020" xr:uid="{00000000-0005-0000-0000-0000002F0000}"/>
    <cellStyle name="Normal GHG Numbers (0.00) 2 2 2 6" xfId="2855" xr:uid="{00000000-0005-0000-0000-0000012F0000}"/>
    <cellStyle name="Normal GHG Numbers (0.00) 2 2 2 6 2" xfId="13193" xr:uid="{00000000-0005-0000-0000-0000022F0000}"/>
    <cellStyle name="Normal GHG Numbers (0.00) 2 2 2 6 2 2" xfId="28025" xr:uid="{00000000-0005-0000-0000-0000032F0000}"/>
    <cellStyle name="Normal GHG Numbers (0.00) 2 2 2 6 3" xfId="20781" xr:uid="{00000000-0005-0000-0000-0000042F0000}"/>
    <cellStyle name="Normal GHG Numbers (0.00) 2 2 2 7" xfId="1887" xr:uid="{00000000-0005-0000-0000-0000052F0000}"/>
    <cellStyle name="Normal GHG Numbers (0.00) 2 2 2 7 2" xfId="6018" xr:uid="{00000000-0005-0000-0000-0000062F0000}"/>
    <cellStyle name="Normal GHG Numbers (0.00) 2 2 2 7 2 2" xfId="22551" xr:uid="{00000000-0005-0000-0000-0000072F0000}"/>
    <cellStyle name="Normal GHG Numbers (0.00) 2 2 2 8" xfId="12073" xr:uid="{00000000-0005-0000-0000-0000082F0000}"/>
    <cellStyle name="Normal GHG Numbers (0.00) 2 2 2 8 2" xfId="26905" xr:uid="{00000000-0005-0000-0000-0000092F0000}"/>
    <cellStyle name="Normal GHG Numbers (0.00) 2 2 3" xfId="3666" xr:uid="{00000000-0005-0000-0000-00000A2F0000}"/>
    <cellStyle name="Normal GHG Numbers (0.00) 2 2 3 2" xfId="7724" xr:uid="{00000000-0005-0000-0000-00000B2F0000}"/>
    <cellStyle name="Normal GHG Numbers (0.00) 2 2 3 2 2" xfId="23620" xr:uid="{00000000-0005-0000-0000-00000C2F0000}"/>
    <cellStyle name="Normal GHG Numbers (0.00) 2 2 3 3" xfId="14001" xr:uid="{00000000-0005-0000-0000-00000D2F0000}"/>
    <cellStyle name="Normal GHG Numbers (0.00) 2 2 3 3 2" xfId="28833" xr:uid="{00000000-0005-0000-0000-00000E2F0000}"/>
    <cellStyle name="Normal GHG Numbers (0.00) 2 2 4" xfId="4445" xr:uid="{00000000-0005-0000-0000-00000F2F0000}"/>
    <cellStyle name="Normal GHG Numbers (0.00) 2 2 4 2" xfId="8484" xr:uid="{00000000-0005-0000-0000-0000102F0000}"/>
    <cellStyle name="Normal GHG Numbers (0.00) 2 2 4 2 2" xfId="24110" xr:uid="{00000000-0005-0000-0000-0000112F0000}"/>
    <cellStyle name="Normal GHG Numbers (0.00) 2 2 4 3" xfId="14773" xr:uid="{00000000-0005-0000-0000-0000122F0000}"/>
    <cellStyle name="Normal GHG Numbers (0.00) 2 2 4 3 2" xfId="29605" xr:uid="{00000000-0005-0000-0000-0000132F0000}"/>
    <cellStyle name="Normal GHG Numbers (0.00) 2 2 5" xfId="2435" xr:uid="{00000000-0005-0000-0000-0000142F0000}"/>
    <cellStyle name="Normal GHG Numbers (0.00) 2 2 5 2" xfId="12774" xr:uid="{00000000-0005-0000-0000-0000152F0000}"/>
    <cellStyle name="Normal GHG Numbers (0.00) 2 2 5 2 2" xfId="27606" xr:uid="{00000000-0005-0000-0000-0000162F0000}"/>
    <cellStyle name="Normal GHG Numbers (0.00) 2 2 5 3" xfId="20527" xr:uid="{00000000-0005-0000-0000-0000172F0000}"/>
    <cellStyle name="Normal GHG Numbers (0.00) 2 2 6" xfId="5559" xr:uid="{00000000-0005-0000-0000-0000182F0000}"/>
    <cellStyle name="Normal GHG Numbers (0.00) 2 2 6 2" xfId="15794" xr:uid="{00000000-0005-0000-0000-0000192F0000}"/>
    <cellStyle name="Normal GHG Numbers (0.00) 2 2 6 2 2" xfId="30626" xr:uid="{00000000-0005-0000-0000-00001A2F0000}"/>
    <cellStyle name="Normal GHG Numbers (0.00) 2 2 6 3" xfId="22255" xr:uid="{00000000-0005-0000-0000-00001B2F0000}"/>
    <cellStyle name="Normal GHG Numbers (0.00) 2 3" xfId="1555" xr:uid="{00000000-0005-0000-0000-00001C2F0000}"/>
    <cellStyle name="Normal GHG Numbers (0.00) 2 3 2" xfId="2052" xr:uid="{00000000-0005-0000-0000-00001D2F0000}"/>
    <cellStyle name="Normal GHG Numbers (0.00) 2 3 2 2" xfId="4075" xr:uid="{00000000-0005-0000-0000-00001E2F0000}"/>
    <cellStyle name="Normal GHG Numbers (0.00) 2 3 2 2 2" xfId="8121" xr:uid="{00000000-0005-0000-0000-00001F2F0000}"/>
    <cellStyle name="Normal GHG Numbers (0.00) 2 3 2 2 2 2" xfId="23872" xr:uid="{00000000-0005-0000-0000-0000202F0000}"/>
    <cellStyle name="Normal GHG Numbers (0.00) 2 3 2 2 3" xfId="14407" xr:uid="{00000000-0005-0000-0000-0000212F0000}"/>
    <cellStyle name="Normal GHG Numbers (0.00) 2 3 2 2 3 2" xfId="29239" xr:uid="{00000000-0005-0000-0000-0000222F0000}"/>
    <cellStyle name="Normal GHG Numbers (0.00) 2 3 2 3" xfId="3392" xr:uid="{00000000-0005-0000-0000-0000232F0000}"/>
    <cellStyle name="Normal GHG Numbers (0.00) 2 3 2 3 2" xfId="7455" xr:uid="{00000000-0005-0000-0000-0000242F0000}"/>
    <cellStyle name="Normal GHG Numbers (0.00) 2 3 2 3 2 2" xfId="23445" xr:uid="{00000000-0005-0000-0000-0000252F0000}"/>
    <cellStyle name="Normal GHG Numbers (0.00) 2 3 2 3 3" xfId="13729" xr:uid="{00000000-0005-0000-0000-0000262F0000}"/>
    <cellStyle name="Normal GHG Numbers (0.00) 2 3 2 3 3 2" xfId="28561" xr:uid="{00000000-0005-0000-0000-0000272F0000}"/>
    <cellStyle name="Normal GHG Numbers (0.00) 2 3 2 4" xfId="5020" xr:uid="{00000000-0005-0000-0000-0000282F0000}"/>
    <cellStyle name="Normal GHG Numbers (0.00) 2 3 2 4 2" xfId="9059" xr:uid="{00000000-0005-0000-0000-0000292F0000}"/>
    <cellStyle name="Normal GHG Numbers (0.00) 2 3 2 4 2 2" xfId="24493" xr:uid="{00000000-0005-0000-0000-00002A2F0000}"/>
    <cellStyle name="Normal GHG Numbers (0.00) 2 3 2 4 3" xfId="15341" xr:uid="{00000000-0005-0000-0000-00002B2F0000}"/>
    <cellStyle name="Normal GHG Numbers (0.00) 2 3 2 4 3 2" xfId="30173" xr:uid="{00000000-0005-0000-0000-00002C2F0000}"/>
    <cellStyle name="Normal GHG Numbers (0.00) 2 3 2 5" xfId="3010" xr:uid="{00000000-0005-0000-0000-00002D2F0000}"/>
    <cellStyle name="Normal GHG Numbers (0.00) 2 3 2 5 2" xfId="13348" xr:uid="{00000000-0005-0000-0000-00002E2F0000}"/>
    <cellStyle name="Normal GHG Numbers (0.00) 2 3 2 5 2 2" xfId="28180" xr:uid="{00000000-0005-0000-0000-00002F2F0000}"/>
    <cellStyle name="Normal GHG Numbers (0.00) 2 3 2 5 3" xfId="20904" xr:uid="{00000000-0005-0000-0000-0000302F0000}"/>
    <cellStyle name="Normal GHG Numbers (0.00) 2 3 3" xfId="3777" xr:uid="{00000000-0005-0000-0000-0000312F0000}"/>
    <cellStyle name="Normal GHG Numbers (0.00) 2 3 3 2" xfId="7832" xr:uid="{00000000-0005-0000-0000-0000322F0000}"/>
    <cellStyle name="Normal GHG Numbers (0.00) 2 3 3 2 2" xfId="23688" xr:uid="{00000000-0005-0000-0000-0000332F0000}"/>
    <cellStyle name="Normal GHG Numbers (0.00) 2 3 3 3" xfId="14112" xr:uid="{00000000-0005-0000-0000-0000342F0000}"/>
    <cellStyle name="Normal GHG Numbers (0.00) 2 3 3 3 2" xfId="28944" xr:uid="{00000000-0005-0000-0000-0000352F0000}"/>
    <cellStyle name="Normal GHG Numbers (0.00) 2 3 4" xfId="4600" xr:uid="{00000000-0005-0000-0000-0000362F0000}"/>
    <cellStyle name="Normal GHG Numbers (0.00) 2 3 4 2" xfId="8639" xr:uid="{00000000-0005-0000-0000-0000372F0000}"/>
    <cellStyle name="Normal GHG Numbers (0.00) 2 3 4 2 2" xfId="24233" xr:uid="{00000000-0005-0000-0000-0000382F0000}"/>
    <cellStyle name="Normal GHG Numbers (0.00) 2 3 4 3" xfId="14926" xr:uid="{00000000-0005-0000-0000-0000392F0000}"/>
    <cellStyle name="Normal GHG Numbers (0.00) 2 3 4 3 2" xfId="29758" xr:uid="{00000000-0005-0000-0000-00003A2F0000}"/>
    <cellStyle name="Normal GHG Numbers (0.00) 2 3 5" xfId="2590" xr:uid="{00000000-0005-0000-0000-00003B2F0000}"/>
    <cellStyle name="Normal GHG Numbers (0.00) 2 3 5 2" xfId="12928" xr:uid="{00000000-0005-0000-0000-00003C2F0000}"/>
    <cellStyle name="Normal GHG Numbers (0.00) 2 3 5 2 2" xfId="27760" xr:uid="{00000000-0005-0000-0000-00003D2F0000}"/>
    <cellStyle name="Normal GHG Numbers (0.00) 2 3 5 3" xfId="20644" xr:uid="{00000000-0005-0000-0000-00003E2F0000}"/>
    <cellStyle name="Normal GHG Numbers (0.00) 2 3 6" xfId="1700" xr:uid="{00000000-0005-0000-0000-00003F2F0000}"/>
    <cellStyle name="Normal GHG Numbers (0.00) 2 3 6 2" xfId="5832" xr:uid="{00000000-0005-0000-0000-0000402F0000}"/>
    <cellStyle name="Normal GHG Numbers (0.00) 2 3 6 2 2" xfId="22429" xr:uid="{00000000-0005-0000-0000-0000412F0000}"/>
    <cellStyle name="Normal GHG Numbers (0.00) 2 3 6 3" xfId="12094" xr:uid="{00000000-0005-0000-0000-0000422F0000}"/>
    <cellStyle name="Normal GHG Numbers (0.00) 2 3 6 3 2" xfId="26926" xr:uid="{00000000-0005-0000-0000-0000432F0000}"/>
    <cellStyle name="Normal GHG Numbers (0.00) 2 4" xfId="1608" xr:uid="{00000000-0005-0000-0000-0000442F0000}"/>
    <cellStyle name="Normal GHG Numbers (0.00) 2 4 2" xfId="2105" xr:uid="{00000000-0005-0000-0000-0000452F0000}"/>
    <cellStyle name="Normal GHG Numbers (0.00) 2 4 2 2" xfId="4115" xr:uid="{00000000-0005-0000-0000-0000462F0000}"/>
    <cellStyle name="Normal GHG Numbers (0.00) 2 4 2 2 2" xfId="8160" xr:uid="{00000000-0005-0000-0000-0000472F0000}"/>
    <cellStyle name="Normal GHG Numbers (0.00) 2 4 2 2 2 2" xfId="23898" xr:uid="{00000000-0005-0000-0000-0000482F0000}"/>
    <cellStyle name="Normal GHG Numbers (0.00) 2 4 2 2 3" xfId="14447" xr:uid="{00000000-0005-0000-0000-0000492F0000}"/>
    <cellStyle name="Normal GHG Numbers (0.00) 2 4 2 2 3 2" xfId="29279" xr:uid="{00000000-0005-0000-0000-00004A2F0000}"/>
    <cellStyle name="Normal GHG Numbers (0.00) 2 4 2 3" xfId="3797" xr:uid="{00000000-0005-0000-0000-00004B2F0000}"/>
    <cellStyle name="Normal GHG Numbers (0.00) 2 4 2 3 2" xfId="7852" xr:uid="{00000000-0005-0000-0000-00004C2F0000}"/>
    <cellStyle name="Normal GHG Numbers (0.00) 2 4 2 3 2 2" xfId="23706" xr:uid="{00000000-0005-0000-0000-00004D2F0000}"/>
    <cellStyle name="Normal GHG Numbers (0.00) 2 4 2 3 3" xfId="14132" xr:uid="{00000000-0005-0000-0000-00004E2F0000}"/>
    <cellStyle name="Normal GHG Numbers (0.00) 2 4 2 3 3 2" xfId="28964" xr:uid="{00000000-0005-0000-0000-00004F2F0000}"/>
    <cellStyle name="Normal GHG Numbers (0.00) 2 4 2 4" xfId="5073" xr:uid="{00000000-0005-0000-0000-0000502F0000}"/>
    <cellStyle name="Normal GHG Numbers (0.00) 2 4 2 4 2" xfId="9112" xr:uid="{00000000-0005-0000-0000-0000512F0000}"/>
    <cellStyle name="Normal GHG Numbers (0.00) 2 4 2 4 2 2" xfId="24514" xr:uid="{00000000-0005-0000-0000-0000522F0000}"/>
    <cellStyle name="Normal GHG Numbers (0.00) 2 4 2 4 3" xfId="15393" xr:uid="{00000000-0005-0000-0000-0000532F0000}"/>
    <cellStyle name="Normal GHG Numbers (0.00) 2 4 2 4 3 2" xfId="30225" xr:uid="{00000000-0005-0000-0000-0000542F0000}"/>
    <cellStyle name="Normal GHG Numbers (0.00) 2 4 2 5" xfId="3063" xr:uid="{00000000-0005-0000-0000-0000552F0000}"/>
    <cellStyle name="Normal GHG Numbers (0.00) 2 4 2 5 2" xfId="13401" xr:uid="{00000000-0005-0000-0000-0000562F0000}"/>
    <cellStyle name="Normal GHG Numbers (0.00) 2 4 2 5 2 2" xfId="28233" xr:uid="{00000000-0005-0000-0000-0000572F0000}"/>
    <cellStyle name="Normal GHG Numbers (0.00) 2 4 2 5 3" xfId="20925" xr:uid="{00000000-0005-0000-0000-0000582F0000}"/>
    <cellStyle name="Normal GHG Numbers (0.00) 2 4 3" xfId="3815" xr:uid="{00000000-0005-0000-0000-0000592F0000}"/>
    <cellStyle name="Normal GHG Numbers (0.00) 2 4 3 2" xfId="7868" xr:uid="{00000000-0005-0000-0000-00005A2F0000}"/>
    <cellStyle name="Normal GHG Numbers (0.00) 2 4 3 2 2" xfId="23715" xr:uid="{00000000-0005-0000-0000-00005B2F0000}"/>
    <cellStyle name="Normal GHG Numbers (0.00) 2 4 3 3" xfId="14150" xr:uid="{00000000-0005-0000-0000-00005C2F0000}"/>
    <cellStyle name="Normal GHG Numbers (0.00) 2 4 3 3 2" xfId="28982" xr:uid="{00000000-0005-0000-0000-00005D2F0000}"/>
    <cellStyle name="Normal GHG Numbers (0.00) 2 4 4" xfId="4653" xr:uid="{00000000-0005-0000-0000-00005E2F0000}"/>
    <cellStyle name="Normal GHG Numbers (0.00) 2 4 4 2" xfId="8692" xr:uid="{00000000-0005-0000-0000-00005F2F0000}"/>
    <cellStyle name="Normal GHG Numbers (0.00) 2 4 4 2 2" xfId="24254" xr:uid="{00000000-0005-0000-0000-0000602F0000}"/>
    <cellStyle name="Normal GHG Numbers (0.00) 2 4 4 3" xfId="14978" xr:uid="{00000000-0005-0000-0000-0000612F0000}"/>
    <cellStyle name="Normal GHG Numbers (0.00) 2 4 4 3 2" xfId="29810" xr:uid="{00000000-0005-0000-0000-0000622F0000}"/>
    <cellStyle name="Normal GHG Numbers (0.00) 2 4 5" xfId="2643" xr:uid="{00000000-0005-0000-0000-0000632F0000}"/>
    <cellStyle name="Normal GHG Numbers (0.00) 2 4 5 2" xfId="12981" xr:uid="{00000000-0005-0000-0000-0000642F0000}"/>
    <cellStyle name="Normal GHG Numbers (0.00) 2 4 5 2 2" xfId="27813" xr:uid="{00000000-0005-0000-0000-0000652F0000}"/>
    <cellStyle name="Normal GHG Numbers (0.00) 2 4 5 3" xfId="20665" xr:uid="{00000000-0005-0000-0000-0000662F0000}"/>
    <cellStyle name="Normal GHG Numbers (0.00) 2 4 6" xfId="1705" xr:uid="{00000000-0005-0000-0000-0000672F0000}"/>
    <cellStyle name="Normal GHG Numbers (0.00) 2 4 6 2" xfId="5837" xr:uid="{00000000-0005-0000-0000-0000682F0000}"/>
    <cellStyle name="Normal GHG Numbers (0.00) 2 4 6 2 2" xfId="22434" xr:uid="{00000000-0005-0000-0000-0000692F0000}"/>
    <cellStyle name="Normal GHG Numbers (0.00) 2 4 6 3" xfId="12099" xr:uid="{00000000-0005-0000-0000-00006A2F0000}"/>
    <cellStyle name="Normal GHG Numbers (0.00) 2 4 6 3 2" xfId="26931" xr:uid="{00000000-0005-0000-0000-00006B2F0000}"/>
    <cellStyle name="Normal GHG Numbers (0.00) 2 5" xfId="1658" xr:uid="{00000000-0005-0000-0000-00006C2F0000}"/>
    <cellStyle name="Normal GHG Numbers (0.00) 2 5 2" xfId="2155" xr:uid="{00000000-0005-0000-0000-00006D2F0000}"/>
    <cellStyle name="Normal GHG Numbers (0.00) 2 5 2 2" xfId="4153" xr:uid="{00000000-0005-0000-0000-00006E2F0000}"/>
    <cellStyle name="Normal GHG Numbers (0.00) 2 5 2 2 2" xfId="8195" xr:uid="{00000000-0005-0000-0000-00006F2F0000}"/>
    <cellStyle name="Normal GHG Numbers (0.00) 2 5 2 2 2 2" xfId="23922" xr:uid="{00000000-0005-0000-0000-0000702F0000}"/>
    <cellStyle name="Normal GHG Numbers (0.00) 2 5 2 2 3" xfId="14485" xr:uid="{00000000-0005-0000-0000-0000712F0000}"/>
    <cellStyle name="Normal GHG Numbers (0.00) 2 5 2 2 3 2" xfId="29317" xr:uid="{00000000-0005-0000-0000-0000722F0000}"/>
    <cellStyle name="Normal GHG Numbers (0.00) 2 5 2 3" xfId="3846" xr:uid="{00000000-0005-0000-0000-0000732F0000}"/>
    <cellStyle name="Normal GHG Numbers (0.00) 2 5 2 3 2" xfId="7899" xr:uid="{00000000-0005-0000-0000-0000742F0000}"/>
    <cellStyle name="Normal GHG Numbers (0.00) 2 5 2 3 2 2" xfId="23736" xr:uid="{00000000-0005-0000-0000-0000752F0000}"/>
    <cellStyle name="Normal GHG Numbers (0.00) 2 5 2 3 3" xfId="14181" xr:uid="{00000000-0005-0000-0000-0000762F0000}"/>
    <cellStyle name="Normal GHG Numbers (0.00) 2 5 2 3 3 2" xfId="29013" xr:uid="{00000000-0005-0000-0000-0000772F0000}"/>
    <cellStyle name="Normal GHG Numbers (0.00) 2 5 2 4" xfId="5123" xr:uid="{00000000-0005-0000-0000-0000782F0000}"/>
    <cellStyle name="Normal GHG Numbers (0.00) 2 5 2 4 2" xfId="9162" xr:uid="{00000000-0005-0000-0000-0000792F0000}"/>
    <cellStyle name="Normal GHG Numbers (0.00) 2 5 2 4 2 2" xfId="24532" xr:uid="{00000000-0005-0000-0000-00007A2F0000}"/>
    <cellStyle name="Normal GHG Numbers (0.00) 2 5 2 4 3" xfId="15442" xr:uid="{00000000-0005-0000-0000-00007B2F0000}"/>
    <cellStyle name="Normal GHG Numbers (0.00) 2 5 2 4 3 2" xfId="30274" xr:uid="{00000000-0005-0000-0000-00007C2F0000}"/>
    <cellStyle name="Normal GHG Numbers (0.00) 2 5 2 5" xfId="3113" xr:uid="{00000000-0005-0000-0000-00007D2F0000}"/>
    <cellStyle name="Normal GHG Numbers (0.00) 2 5 2 5 2" xfId="13451" xr:uid="{00000000-0005-0000-0000-00007E2F0000}"/>
    <cellStyle name="Normal GHG Numbers (0.00) 2 5 2 5 2 2" xfId="28283" xr:uid="{00000000-0005-0000-0000-00007F2F0000}"/>
    <cellStyle name="Normal GHG Numbers (0.00) 2 5 2 5 3" xfId="20943" xr:uid="{00000000-0005-0000-0000-0000802F0000}"/>
    <cellStyle name="Normal GHG Numbers (0.00) 2 5 3" xfId="3853" xr:uid="{00000000-0005-0000-0000-0000812F0000}"/>
    <cellStyle name="Normal GHG Numbers (0.00) 2 5 3 2" xfId="7905" xr:uid="{00000000-0005-0000-0000-0000822F0000}"/>
    <cellStyle name="Normal GHG Numbers (0.00) 2 5 3 2 2" xfId="23741" xr:uid="{00000000-0005-0000-0000-0000832F0000}"/>
    <cellStyle name="Normal GHG Numbers (0.00) 2 5 3 3" xfId="14188" xr:uid="{00000000-0005-0000-0000-0000842F0000}"/>
    <cellStyle name="Normal GHG Numbers (0.00) 2 5 3 3 2" xfId="29020" xr:uid="{00000000-0005-0000-0000-0000852F0000}"/>
    <cellStyle name="Normal GHG Numbers (0.00) 2 5 4" xfId="4703" xr:uid="{00000000-0005-0000-0000-0000862F0000}"/>
    <cellStyle name="Normal GHG Numbers (0.00) 2 5 4 2" xfId="8742" xr:uid="{00000000-0005-0000-0000-0000872F0000}"/>
    <cellStyle name="Normal GHG Numbers (0.00) 2 5 4 2 2" xfId="24272" xr:uid="{00000000-0005-0000-0000-0000882F0000}"/>
    <cellStyle name="Normal GHG Numbers (0.00) 2 5 4 3" xfId="15027" xr:uid="{00000000-0005-0000-0000-0000892F0000}"/>
    <cellStyle name="Normal GHG Numbers (0.00) 2 5 4 3 2" xfId="29859" xr:uid="{00000000-0005-0000-0000-00008A2F0000}"/>
    <cellStyle name="Normal GHG Numbers (0.00) 2 5 5" xfId="2693" xr:uid="{00000000-0005-0000-0000-00008B2F0000}"/>
    <cellStyle name="Normal GHG Numbers (0.00) 2 5 5 2" xfId="13031" xr:uid="{00000000-0005-0000-0000-00008C2F0000}"/>
    <cellStyle name="Normal GHG Numbers (0.00) 2 5 5 2 2" xfId="27863" xr:uid="{00000000-0005-0000-0000-00008D2F0000}"/>
    <cellStyle name="Normal GHG Numbers (0.00) 2 5 5 3" xfId="20683" xr:uid="{00000000-0005-0000-0000-00008E2F0000}"/>
    <cellStyle name="Normal GHG Numbers (0.00) 2 5 6" xfId="1710" xr:uid="{00000000-0005-0000-0000-00008F2F0000}"/>
    <cellStyle name="Normal GHG Numbers (0.00) 2 5 6 2" xfId="5842" xr:uid="{00000000-0005-0000-0000-0000902F0000}"/>
    <cellStyle name="Normal GHG Numbers (0.00) 2 5 6 2 2" xfId="22439" xr:uid="{00000000-0005-0000-0000-0000912F0000}"/>
    <cellStyle name="Normal GHG Numbers (0.00) 2 5 6 3" xfId="12104" xr:uid="{00000000-0005-0000-0000-0000922F0000}"/>
    <cellStyle name="Normal GHG Numbers (0.00) 2 5 6 3 2" xfId="26936" xr:uid="{00000000-0005-0000-0000-0000932F0000}"/>
    <cellStyle name="Normal GHG Numbers (0.00) 2 6" xfId="1668" xr:uid="{00000000-0005-0000-0000-0000942F0000}"/>
    <cellStyle name="Normal GHG Numbers (0.00) 2 6 2" xfId="4355" xr:uid="{00000000-0005-0000-0000-0000952F0000}"/>
    <cellStyle name="Normal GHG Numbers (0.00) 2 6 2 2" xfId="8394" xr:uid="{00000000-0005-0000-0000-0000962F0000}"/>
    <cellStyle name="Normal GHG Numbers (0.00) 2 6 2 2 2" xfId="24052" xr:uid="{00000000-0005-0000-0000-0000972F0000}"/>
    <cellStyle name="Normal GHG Numbers (0.00) 2 6 2 3" xfId="14684" xr:uid="{00000000-0005-0000-0000-0000982F0000}"/>
    <cellStyle name="Normal GHG Numbers (0.00) 2 6 2 3 2" xfId="29516" xr:uid="{00000000-0005-0000-0000-0000992F0000}"/>
    <cellStyle name="Normal GHG Numbers (0.00) 2 6 3" xfId="5219" xr:uid="{00000000-0005-0000-0000-00009A2F0000}"/>
    <cellStyle name="Normal GHG Numbers (0.00) 2 6 3 2" xfId="9258" xr:uid="{00000000-0005-0000-0000-00009B2F0000}"/>
    <cellStyle name="Normal GHG Numbers (0.00) 2 6 3 2 2" xfId="24596" xr:uid="{00000000-0005-0000-0000-00009C2F0000}"/>
    <cellStyle name="Normal GHG Numbers (0.00) 2 6 3 3" xfId="15535" xr:uid="{00000000-0005-0000-0000-00009D2F0000}"/>
    <cellStyle name="Normal GHG Numbers (0.00) 2 6 3 3 2" xfId="30367" xr:uid="{00000000-0005-0000-0000-00009E2F0000}"/>
    <cellStyle name="Normal GHG Numbers (0.00) 2 6 4" xfId="4249" xr:uid="{00000000-0005-0000-0000-00009F2F0000}"/>
    <cellStyle name="Normal GHG Numbers (0.00) 2 6 4 2" xfId="8288" xr:uid="{00000000-0005-0000-0000-0000A02F0000}"/>
    <cellStyle name="Normal GHG Numbers (0.00) 2 6 4 2 2" xfId="23983" xr:uid="{00000000-0005-0000-0000-0000A12F0000}"/>
    <cellStyle name="Normal GHG Numbers (0.00) 2 6 4 3" xfId="14581" xr:uid="{00000000-0005-0000-0000-0000A22F0000}"/>
    <cellStyle name="Normal GHG Numbers (0.00) 2 6 4 3 2" xfId="29413" xr:uid="{00000000-0005-0000-0000-0000A32F0000}"/>
    <cellStyle name="Normal GHG Numbers (0.00) 2 6 5" xfId="2251" xr:uid="{00000000-0005-0000-0000-0000A42F0000}"/>
    <cellStyle name="Normal GHG Numbers (0.00) 2 6 5 2" xfId="6363" xr:uid="{00000000-0005-0000-0000-0000A52F0000}"/>
    <cellStyle name="Normal GHG Numbers (0.00) 2 6 5 2 2" xfId="22765" xr:uid="{00000000-0005-0000-0000-0000A62F0000}"/>
    <cellStyle name="Normal GHG Numbers (0.00) 2 6 6" xfId="5810" xr:uid="{00000000-0005-0000-0000-0000A72F0000}"/>
    <cellStyle name="Normal GHG Numbers (0.00) 2 6 6 2" xfId="22408" xr:uid="{00000000-0005-0000-0000-0000A82F0000}"/>
    <cellStyle name="Normal GHG Numbers (0.00) 2 6 7" xfId="12063" xr:uid="{00000000-0005-0000-0000-0000A92F0000}"/>
    <cellStyle name="Normal GHG Numbers (0.00) 2 6 7 2" xfId="26895" xr:uid="{00000000-0005-0000-0000-0000AA2F0000}"/>
    <cellStyle name="Normal GHG Numbers (0.00) 2 7" xfId="3615" xr:uid="{00000000-0005-0000-0000-0000AB2F0000}"/>
    <cellStyle name="Normal GHG Numbers (0.00) 2 7 2" xfId="7675" xr:uid="{00000000-0005-0000-0000-0000AC2F0000}"/>
    <cellStyle name="Normal GHG Numbers (0.00) 2 7 2 2" xfId="23585" xr:uid="{00000000-0005-0000-0000-0000AD2F0000}"/>
    <cellStyle name="Normal GHG Numbers (0.00) 2 7 3" xfId="13950" xr:uid="{00000000-0005-0000-0000-0000AE2F0000}"/>
    <cellStyle name="Normal GHG Numbers (0.00) 2 7 3 2" xfId="28782" xr:uid="{00000000-0005-0000-0000-0000AF2F0000}"/>
    <cellStyle name="Normal GHG Numbers (0.00) 2 8" xfId="3366" xr:uid="{00000000-0005-0000-0000-0000B02F0000}"/>
    <cellStyle name="Normal GHG Numbers (0.00) 2 8 2" xfId="7429" xr:uid="{00000000-0005-0000-0000-0000B12F0000}"/>
    <cellStyle name="Normal GHG Numbers (0.00) 2 8 2 2" xfId="23430" xr:uid="{00000000-0005-0000-0000-0000B22F0000}"/>
    <cellStyle name="Normal GHG Numbers (0.00) 2 8 3" xfId="13703" xr:uid="{00000000-0005-0000-0000-0000B32F0000}"/>
    <cellStyle name="Normal GHG Numbers (0.00) 2 8 3 2" xfId="28535" xr:uid="{00000000-0005-0000-0000-0000B42F0000}"/>
    <cellStyle name="Normal GHG Numbers (0.00) 2 9" xfId="2351" xr:uid="{00000000-0005-0000-0000-0000B52F0000}"/>
    <cellStyle name="Normal GHG Numbers (0.00) 2 9 2" xfId="6463" xr:uid="{00000000-0005-0000-0000-0000B62F0000}"/>
    <cellStyle name="Normal GHG Numbers (0.00) 2 9 2 2" xfId="22833" xr:uid="{00000000-0005-0000-0000-0000B72F0000}"/>
    <cellStyle name="Normal GHG Numbers (0.00) 2 9 3" xfId="12690" xr:uid="{00000000-0005-0000-0000-0000B82F0000}"/>
    <cellStyle name="Normal GHG Numbers (0.00) 2 9 3 2" xfId="27522" xr:uid="{00000000-0005-0000-0000-0000B92F0000}"/>
    <cellStyle name="Normal GHG Numbers (0.00) 3" xfId="1498" xr:uid="{00000000-0005-0000-0000-0000BA2F0000}"/>
    <cellStyle name="Normal GHG Numbers (0.00) 3 2" xfId="1673" xr:uid="{00000000-0005-0000-0000-0000BB2F0000}"/>
    <cellStyle name="Normal GHG Numbers (0.00) 3 2 2" xfId="2256" xr:uid="{00000000-0005-0000-0000-0000BC2F0000}"/>
    <cellStyle name="Normal GHG Numbers (0.00) 3 2 2 2" xfId="4360" xr:uid="{00000000-0005-0000-0000-0000BD2F0000}"/>
    <cellStyle name="Normal GHG Numbers (0.00) 3 2 2 2 2" xfId="8399" xr:uid="{00000000-0005-0000-0000-0000BE2F0000}"/>
    <cellStyle name="Normal GHG Numbers (0.00) 3 2 2 2 2 2" xfId="24057" xr:uid="{00000000-0005-0000-0000-0000BF2F0000}"/>
    <cellStyle name="Normal GHG Numbers (0.00) 3 2 2 2 3" xfId="14689" xr:uid="{00000000-0005-0000-0000-0000C02F0000}"/>
    <cellStyle name="Normal GHG Numbers (0.00) 3 2 2 2 3 2" xfId="29521" xr:uid="{00000000-0005-0000-0000-0000C12F0000}"/>
    <cellStyle name="Normal GHG Numbers (0.00) 3 2 2 3" xfId="5224" xr:uid="{00000000-0005-0000-0000-0000C22F0000}"/>
    <cellStyle name="Normal GHG Numbers (0.00) 3 2 2 3 2" xfId="9263" xr:uid="{00000000-0005-0000-0000-0000C32F0000}"/>
    <cellStyle name="Normal GHG Numbers (0.00) 3 2 2 3 2 2" xfId="24601" xr:uid="{00000000-0005-0000-0000-0000C42F0000}"/>
    <cellStyle name="Normal GHG Numbers (0.00) 3 2 2 3 3" xfId="15540" xr:uid="{00000000-0005-0000-0000-0000C52F0000}"/>
    <cellStyle name="Normal GHG Numbers (0.00) 3 2 2 3 3 2" xfId="30372" xr:uid="{00000000-0005-0000-0000-0000C62F0000}"/>
    <cellStyle name="Normal GHG Numbers (0.00) 3 2 2 4" xfId="4254" xr:uid="{00000000-0005-0000-0000-0000C72F0000}"/>
    <cellStyle name="Normal GHG Numbers (0.00) 3 2 2 4 2" xfId="8293" xr:uid="{00000000-0005-0000-0000-0000C82F0000}"/>
    <cellStyle name="Normal GHG Numbers (0.00) 3 2 2 4 2 2" xfId="23988" xr:uid="{00000000-0005-0000-0000-0000C92F0000}"/>
    <cellStyle name="Normal GHG Numbers (0.00) 3 2 2 4 3" xfId="14586" xr:uid="{00000000-0005-0000-0000-0000CA2F0000}"/>
    <cellStyle name="Normal GHG Numbers (0.00) 3 2 2 4 3 2" xfId="29418" xr:uid="{00000000-0005-0000-0000-0000CB2F0000}"/>
    <cellStyle name="Normal GHG Numbers (0.00) 3 2 2 5" xfId="6368" xr:uid="{00000000-0005-0000-0000-0000CC2F0000}"/>
    <cellStyle name="Normal GHG Numbers (0.00) 3 2 2 5 2" xfId="22770" xr:uid="{00000000-0005-0000-0000-0000CD2F0000}"/>
    <cellStyle name="Normal GHG Numbers (0.00) 3 2 3" xfId="4030" xr:uid="{00000000-0005-0000-0000-0000CE2F0000}"/>
    <cellStyle name="Normal GHG Numbers (0.00) 3 2 3 2" xfId="8077" xr:uid="{00000000-0005-0000-0000-0000CF2F0000}"/>
    <cellStyle name="Normal GHG Numbers (0.00) 3 2 3 2 2" xfId="23846" xr:uid="{00000000-0005-0000-0000-0000D02F0000}"/>
    <cellStyle name="Normal GHG Numbers (0.00) 3 2 3 3" xfId="14362" xr:uid="{00000000-0005-0000-0000-0000D12F0000}"/>
    <cellStyle name="Normal GHG Numbers (0.00) 3 2 3 3 2" xfId="29194" xr:uid="{00000000-0005-0000-0000-0000D22F0000}"/>
    <cellStyle name="Normal GHG Numbers (0.00) 3 2 4" xfId="3599" xr:uid="{00000000-0005-0000-0000-0000D32F0000}"/>
    <cellStyle name="Normal GHG Numbers (0.00) 3 2 4 2" xfId="13935" xr:uid="{00000000-0005-0000-0000-0000D42F0000}"/>
    <cellStyle name="Normal GHG Numbers (0.00) 3 2 4 2 2" xfId="28767" xr:uid="{00000000-0005-0000-0000-0000D52F0000}"/>
    <cellStyle name="Normal GHG Numbers (0.00) 3 2 4 3" xfId="21244" xr:uid="{00000000-0005-0000-0000-0000D62F0000}"/>
    <cellStyle name="Normal GHG Numbers (0.00) 3 2 5" xfId="4963" xr:uid="{00000000-0005-0000-0000-0000D72F0000}"/>
    <cellStyle name="Normal GHG Numbers (0.00) 3 2 5 2" xfId="9002" xr:uid="{00000000-0005-0000-0000-0000D82F0000}"/>
    <cellStyle name="Normal GHG Numbers (0.00) 3 2 5 2 2" xfId="24468" xr:uid="{00000000-0005-0000-0000-0000D92F0000}"/>
    <cellStyle name="Normal GHG Numbers (0.00) 3 2 5 3" xfId="15285" xr:uid="{00000000-0005-0000-0000-0000DA2F0000}"/>
    <cellStyle name="Normal GHG Numbers (0.00) 3 2 5 3 2" xfId="30117" xr:uid="{00000000-0005-0000-0000-0000DB2F0000}"/>
    <cellStyle name="Normal GHG Numbers (0.00) 3 2 6" xfId="2953" xr:uid="{00000000-0005-0000-0000-0000DC2F0000}"/>
    <cellStyle name="Normal GHG Numbers (0.00) 3 2 6 2" xfId="13291" xr:uid="{00000000-0005-0000-0000-0000DD2F0000}"/>
    <cellStyle name="Normal GHG Numbers (0.00) 3 2 6 2 2" xfId="28123" xr:uid="{00000000-0005-0000-0000-0000DE2F0000}"/>
    <cellStyle name="Normal GHG Numbers (0.00) 3 2 6 3" xfId="20879" xr:uid="{00000000-0005-0000-0000-0000DF2F0000}"/>
    <cellStyle name="Normal GHG Numbers (0.00) 3 2 7" xfId="12068" xr:uid="{00000000-0005-0000-0000-0000E02F0000}"/>
    <cellStyle name="Normal GHG Numbers (0.00) 3 2 7 2" xfId="26900" xr:uid="{00000000-0005-0000-0000-0000E12F0000}"/>
    <cellStyle name="Normal GHG Numbers (0.00) 3 3" xfId="2241" xr:uid="{00000000-0005-0000-0000-0000E22F0000}"/>
    <cellStyle name="Normal GHG Numbers (0.00) 3 3 2" xfId="4345" xr:uid="{00000000-0005-0000-0000-0000E32F0000}"/>
    <cellStyle name="Normal GHG Numbers (0.00) 3 3 2 2" xfId="8384" xr:uid="{00000000-0005-0000-0000-0000E42F0000}"/>
    <cellStyle name="Normal GHG Numbers (0.00) 3 3 2 2 2" xfId="24042" xr:uid="{00000000-0005-0000-0000-0000E52F0000}"/>
    <cellStyle name="Normal GHG Numbers (0.00) 3 3 2 3" xfId="14674" xr:uid="{00000000-0005-0000-0000-0000E62F0000}"/>
    <cellStyle name="Normal GHG Numbers (0.00) 3 3 2 3 2" xfId="29506" xr:uid="{00000000-0005-0000-0000-0000E72F0000}"/>
    <cellStyle name="Normal GHG Numbers (0.00) 3 3 3" xfId="5209" xr:uid="{00000000-0005-0000-0000-0000E82F0000}"/>
    <cellStyle name="Normal GHG Numbers (0.00) 3 3 3 2" xfId="9248" xr:uid="{00000000-0005-0000-0000-0000E92F0000}"/>
    <cellStyle name="Normal GHG Numbers (0.00) 3 3 3 2 2" xfId="24586" xr:uid="{00000000-0005-0000-0000-0000EA2F0000}"/>
    <cellStyle name="Normal GHG Numbers (0.00) 3 3 3 3" xfId="15525" xr:uid="{00000000-0005-0000-0000-0000EB2F0000}"/>
    <cellStyle name="Normal GHG Numbers (0.00) 3 3 3 3 2" xfId="30357" xr:uid="{00000000-0005-0000-0000-0000EC2F0000}"/>
    <cellStyle name="Normal GHG Numbers (0.00) 3 3 4" xfId="4239" xr:uid="{00000000-0005-0000-0000-0000ED2F0000}"/>
    <cellStyle name="Normal GHG Numbers (0.00) 3 3 4 2" xfId="8278" xr:uid="{00000000-0005-0000-0000-0000EE2F0000}"/>
    <cellStyle name="Normal GHG Numbers (0.00) 3 3 4 2 2" xfId="23973" xr:uid="{00000000-0005-0000-0000-0000EF2F0000}"/>
    <cellStyle name="Normal GHG Numbers (0.00) 3 3 4 3" xfId="14571" xr:uid="{00000000-0005-0000-0000-0000F02F0000}"/>
    <cellStyle name="Normal GHG Numbers (0.00) 3 3 4 3 2" xfId="29403" xr:uid="{00000000-0005-0000-0000-0000F12F0000}"/>
    <cellStyle name="Normal GHG Numbers (0.00) 3 3 5" xfId="6353" xr:uid="{00000000-0005-0000-0000-0000F22F0000}"/>
    <cellStyle name="Normal GHG Numbers (0.00) 3 3 5 2" xfId="22755" xr:uid="{00000000-0005-0000-0000-0000F32F0000}"/>
    <cellStyle name="Normal GHG Numbers (0.00) 3 4" xfId="3734" xr:uid="{00000000-0005-0000-0000-0000F42F0000}"/>
    <cellStyle name="Normal GHG Numbers (0.00) 3 4 2" xfId="7790" xr:uid="{00000000-0005-0000-0000-0000F52F0000}"/>
    <cellStyle name="Normal GHG Numbers (0.00) 3 4 2 2" xfId="23664" xr:uid="{00000000-0005-0000-0000-0000F62F0000}"/>
    <cellStyle name="Normal GHG Numbers (0.00) 3 4 3" xfId="14069" xr:uid="{00000000-0005-0000-0000-0000F72F0000}"/>
    <cellStyle name="Normal GHG Numbers (0.00) 3 4 3 2" xfId="28901" xr:uid="{00000000-0005-0000-0000-0000F82F0000}"/>
    <cellStyle name="Normal GHG Numbers (0.00) 3 5" xfId="3878" xr:uid="{00000000-0005-0000-0000-0000F92F0000}"/>
    <cellStyle name="Normal GHG Numbers (0.00) 3 5 2" xfId="14213" xr:uid="{00000000-0005-0000-0000-0000FA2F0000}"/>
    <cellStyle name="Normal GHG Numbers (0.00) 3 5 2 2" xfId="29045" xr:uid="{00000000-0005-0000-0000-0000FB2F0000}"/>
    <cellStyle name="Normal GHG Numbers (0.00) 3 5 3" xfId="21399" xr:uid="{00000000-0005-0000-0000-0000FC2F0000}"/>
    <cellStyle name="Normal GHG Numbers (0.00) 3 6" xfId="4543" xr:uid="{00000000-0005-0000-0000-0000FD2F0000}"/>
    <cellStyle name="Normal GHG Numbers (0.00) 3 6 2" xfId="8582" xr:uid="{00000000-0005-0000-0000-0000FE2F0000}"/>
    <cellStyle name="Normal GHG Numbers (0.00) 3 6 2 2" xfId="24208" xr:uid="{00000000-0005-0000-0000-0000FF2F0000}"/>
    <cellStyle name="Normal GHG Numbers (0.00) 3 6 3" xfId="14870" xr:uid="{00000000-0005-0000-0000-000000300000}"/>
    <cellStyle name="Normal GHG Numbers (0.00) 3 6 3 2" xfId="29702" xr:uid="{00000000-0005-0000-0000-000001300000}"/>
    <cellStyle name="Normal GHG Numbers (0.00) 3 7" xfId="2533" xr:uid="{00000000-0005-0000-0000-000002300000}"/>
    <cellStyle name="Normal GHG Numbers (0.00) 3 7 2" xfId="6639" xr:uid="{00000000-0005-0000-0000-000003300000}"/>
    <cellStyle name="Normal GHG Numbers (0.00) 3 7 2 2" xfId="22977" xr:uid="{00000000-0005-0000-0000-000004300000}"/>
    <cellStyle name="Normal GHG Numbers (0.00) 3 7 3" xfId="12871" xr:uid="{00000000-0005-0000-0000-000005300000}"/>
    <cellStyle name="Normal GHG Numbers (0.00) 3 7 3 2" xfId="27703" xr:uid="{00000000-0005-0000-0000-000006300000}"/>
    <cellStyle name="Normal GHG Numbers (0.00) 3 8" xfId="1695" xr:uid="{00000000-0005-0000-0000-000007300000}"/>
    <cellStyle name="Normal GHG Numbers (0.00) 3 8 2" xfId="5827" xr:uid="{00000000-0005-0000-0000-000008300000}"/>
    <cellStyle name="Normal GHG Numbers (0.00) 3 8 2 2" xfId="22424" xr:uid="{00000000-0005-0000-0000-000009300000}"/>
    <cellStyle name="Normal GHG Numbers (0.00) 3 8 3" xfId="12089" xr:uid="{00000000-0005-0000-0000-00000A300000}"/>
    <cellStyle name="Normal GHG Numbers (0.00) 3 8 3 2" xfId="26921" xr:uid="{00000000-0005-0000-0000-00000B300000}"/>
    <cellStyle name="Normal GHG Numbers (0.00) 3 9" xfId="5656" xr:uid="{00000000-0005-0000-0000-00000C300000}"/>
    <cellStyle name="Normal GHG Numbers (0.00) 3 9 2" xfId="15891" xr:uid="{00000000-0005-0000-0000-00000D300000}"/>
    <cellStyle name="Normal GHG Numbers (0.00) 3 9 2 2" xfId="30723" xr:uid="{00000000-0005-0000-0000-00000E300000}"/>
    <cellStyle name="Normal GHG Numbers (0.00) 3 9 3" xfId="22352" xr:uid="{00000000-0005-0000-0000-00000F300000}"/>
    <cellStyle name="Normal GHG Numbers (0.00) 4" xfId="1663" xr:uid="{00000000-0005-0000-0000-000010300000}"/>
    <cellStyle name="Normal GHG Numbers (0.00) 4 2" xfId="4350" xr:uid="{00000000-0005-0000-0000-000011300000}"/>
    <cellStyle name="Normal GHG Numbers (0.00) 4 2 2" xfId="8389" xr:uid="{00000000-0005-0000-0000-000012300000}"/>
    <cellStyle name="Normal GHG Numbers (0.00) 4 2 2 2" xfId="24047" xr:uid="{00000000-0005-0000-0000-000013300000}"/>
    <cellStyle name="Normal GHG Numbers (0.00) 4 2 3" xfId="14679" xr:uid="{00000000-0005-0000-0000-000014300000}"/>
    <cellStyle name="Normal GHG Numbers (0.00) 4 2 3 2" xfId="29511" xr:uid="{00000000-0005-0000-0000-000015300000}"/>
    <cellStyle name="Normal GHG Numbers (0.00) 4 3" xfId="5214" xr:uid="{00000000-0005-0000-0000-000016300000}"/>
    <cellStyle name="Normal GHG Numbers (0.00) 4 3 2" xfId="9253" xr:uid="{00000000-0005-0000-0000-000017300000}"/>
    <cellStyle name="Normal GHG Numbers (0.00) 4 3 2 2" xfId="24591" xr:uid="{00000000-0005-0000-0000-000018300000}"/>
    <cellStyle name="Normal GHG Numbers (0.00) 4 3 3" xfId="15530" xr:uid="{00000000-0005-0000-0000-000019300000}"/>
    <cellStyle name="Normal GHG Numbers (0.00) 4 3 3 2" xfId="30362" xr:uid="{00000000-0005-0000-0000-00001A300000}"/>
    <cellStyle name="Normal GHG Numbers (0.00) 4 4" xfId="4244" xr:uid="{00000000-0005-0000-0000-00001B300000}"/>
    <cellStyle name="Normal GHG Numbers (0.00) 4 4 2" xfId="8283" xr:uid="{00000000-0005-0000-0000-00001C300000}"/>
    <cellStyle name="Normal GHG Numbers (0.00) 4 4 2 2" xfId="23978" xr:uid="{00000000-0005-0000-0000-00001D300000}"/>
    <cellStyle name="Normal GHG Numbers (0.00) 4 4 3" xfId="14576" xr:uid="{00000000-0005-0000-0000-00001E300000}"/>
    <cellStyle name="Normal GHG Numbers (0.00) 4 4 3 2" xfId="29408" xr:uid="{00000000-0005-0000-0000-00001F300000}"/>
    <cellStyle name="Normal GHG Numbers (0.00) 4 5" xfId="2246" xr:uid="{00000000-0005-0000-0000-000020300000}"/>
    <cellStyle name="Normal GHG Numbers (0.00) 4 5 2" xfId="6358" xr:uid="{00000000-0005-0000-0000-000021300000}"/>
    <cellStyle name="Normal GHG Numbers (0.00) 4 5 2 2" xfId="22760" xr:uid="{00000000-0005-0000-0000-000022300000}"/>
    <cellStyle name="Normal GHG Numbers (0.00) 4 6" xfId="5805" xr:uid="{00000000-0005-0000-0000-000023300000}"/>
    <cellStyle name="Normal GHG Numbers (0.00) 4 6 2" xfId="22403" xr:uid="{00000000-0005-0000-0000-000024300000}"/>
    <cellStyle name="Normal GHG Numbers (0.00) 4 7" xfId="12058" xr:uid="{00000000-0005-0000-0000-000025300000}"/>
    <cellStyle name="Normal GHG Numbers (0.00) 4 7 2" xfId="26890" xr:uid="{00000000-0005-0000-0000-000026300000}"/>
    <cellStyle name="Normal GHG Numbers (0.00) 5" xfId="3549" xr:uid="{00000000-0005-0000-0000-000027300000}"/>
    <cellStyle name="Normal GHG Numbers (0.00) 5 2" xfId="7611" xr:uid="{00000000-0005-0000-0000-000028300000}"/>
    <cellStyle name="Normal GHG Numbers (0.00) 5 2 2" xfId="23546" xr:uid="{00000000-0005-0000-0000-000029300000}"/>
    <cellStyle name="Normal GHG Numbers (0.00) 5 3" xfId="13885" xr:uid="{00000000-0005-0000-0000-00002A300000}"/>
    <cellStyle name="Normal GHG Numbers (0.00) 5 3 2" xfId="28717" xr:uid="{00000000-0005-0000-0000-00002B300000}"/>
    <cellStyle name="Normal GHG Numbers (0.00) 6" xfId="3353" xr:uid="{00000000-0005-0000-0000-00002C300000}"/>
    <cellStyle name="Normal GHG Numbers (0.00) 6 2" xfId="7416" xr:uid="{00000000-0005-0000-0000-00002D300000}"/>
    <cellStyle name="Normal GHG Numbers (0.00) 6 2 2" xfId="23418" xr:uid="{00000000-0005-0000-0000-00002E300000}"/>
    <cellStyle name="Normal GHG Numbers (0.00) 6 3" xfId="13690" xr:uid="{00000000-0005-0000-0000-00002F300000}"/>
    <cellStyle name="Normal GHG Numbers (0.00) 6 3 2" xfId="28522" xr:uid="{00000000-0005-0000-0000-000030300000}"/>
    <cellStyle name="Normal GHG Numbers (0.00) 7" xfId="2298" xr:uid="{00000000-0005-0000-0000-000031300000}"/>
    <cellStyle name="Normal GHG Numbers (0.00) 7 2" xfId="6410" xr:uid="{00000000-0005-0000-0000-000032300000}"/>
    <cellStyle name="Normal GHG Numbers (0.00) 7 2 2" xfId="22812" xr:uid="{00000000-0005-0000-0000-000033300000}"/>
    <cellStyle name="Normal GHG Numbers (0.00) 7 3" xfId="12638" xr:uid="{00000000-0005-0000-0000-000034300000}"/>
    <cellStyle name="Normal GHG Numbers (0.00) 7 3 2" xfId="27470" xr:uid="{00000000-0005-0000-0000-000035300000}"/>
    <cellStyle name="Normal GHG Numbers (0.00) 8" xfId="1684" xr:uid="{00000000-0005-0000-0000-000036300000}"/>
    <cellStyle name="Normal GHG Numbers (0.00) 8 2" xfId="5816" xr:uid="{00000000-0005-0000-0000-000037300000}"/>
    <cellStyle name="Normal GHG Numbers (0.00) 8 2 2" xfId="22413" xr:uid="{00000000-0005-0000-0000-000038300000}"/>
    <cellStyle name="Normal GHG Numbers (0.00) 8 3" xfId="12078" xr:uid="{00000000-0005-0000-0000-000039300000}"/>
    <cellStyle name="Normal GHG Numbers (0.00) 8 3 2" xfId="26910" xr:uid="{00000000-0005-0000-0000-00003A300000}"/>
    <cellStyle name="Normal GHG Numbers (0.00) 9" xfId="5471" xr:uid="{00000000-0005-0000-0000-00003B300000}"/>
    <cellStyle name="Normal GHG Numbers (0.00) 9 2" xfId="15706" xr:uid="{00000000-0005-0000-0000-00003C300000}"/>
    <cellStyle name="Normal GHG Numbers (0.00) 9 2 2" xfId="30538" xr:uid="{00000000-0005-0000-0000-00003D300000}"/>
    <cellStyle name="Normal GHG Numbers (0.00) 9 3" xfId="22199" xr:uid="{00000000-0005-0000-0000-00003E300000}"/>
    <cellStyle name="Normal GHG Textfiels Bold" xfId="1212" xr:uid="{00000000-0005-0000-0000-00003F300000}"/>
    <cellStyle name="Normal GHG Textfiels Bold 2" xfId="1300" xr:uid="{00000000-0005-0000-0000-000040300000}"/>
    <cellStyle name="Normal GHG Textfiels Bold 2 10" xfId="1690" xr:uid="{00000000-0005-0000-0000-000041300000}"/>
    <cellStyle name="Normal GHG Textfiels Bold 2 10 2" xfId="5822" xr:uid="{00000000-0005-0000-0000-000042300000}"/>
    <cellStyle name="Normal GHG Textfiels Bold 2 10 2 2" xfId="22419" xr:uid="{00000000-0005-0000-0000-000043300000}"/>
    <cellStyle name="Normal GHG Textfiels Bold 2 10 3" xfId="12084" xr:uid="{00000000-0005-0000-0000-000044300000}"/>
    <cellStyle name="Normal GHG Textfiels Bold 2 10 3 2" xfId="26916" xr:uid="{00000000-0005-0000-0000-000045300000}"/>
    <cellStyle name="Normal GHG Textfiels Bold 2 11" xfId="5477" xr:uid="{00000000-0005-0000-0000-000046300000}"/>
    <cellStyle name="Normal GHG Textfiels Bold 2 11 2" xfId="15712" xr:uid="{00000000-0005-0000-0000-000047300000}"/>
    <cellStyle name="Normal GHG Textfiels Bold 2 11 2 2" xfId="30544" xr:uid="{00000000-0005-0000-0000-000048300000}"/>
    <cellStyle name="Normal GHG Textfiels Bold 2 11 3" xfId="22205" xr:uid="{00000000-0005-0000-0000-000049300000}"/>
    <cellStyle name="Normal GHG Textfiels Bold 2 2" xfId="1384" xr:uid="{00000000-0005-0000-0000-00004A300000}"/>
    <cellStyle name="Normal GHG Textfiels Bold 2 2 2" xfId="1679" xr:uid="{00000000-0005-0000-0000-00004B300000}"/>
    <cellStyle name="Normal GHG Textfiels Bold 2 2 2 2" xfId="2262" xr:uid="{00000000-0005-0000-0000-00004C300000}"/>
    <cellStyle name="Normal GHG Textfiels Bold 2 2 2 2 2" xfId="4366" xr:uid="{00000000-0005-0000-0000-00004D300000}"/>
    <cellStyle name="Normal GHG Textfiels Bold 2 2 2 2 2 2" xfId="8405" xr:uid="{00000000-0005-0000-0000-00004E300000}"/>
    <cellStyle name="Normal GHG Textfiels Bold 2 2 2 2 2 2 2" xfId="24063" xr:uid="{00000000-0005-0000-0000-00004F300000}"/>
    <cellStyle name="Normal GHG Textfiels Bold 2 2 2 2 2 3" xfId="14695" xr:uid="{00000000-0005-0000-0000-000050300000}"/>
    <cellStyle name="Normal GHG Textfiels Bold 2 2 2 2 2 3 2" xfId="29527" xr:uid="{00000000-0005-0000-0000-000051300000}"/>
    <cellStyle name="Normal GHG Textfiels Bold 2 2 2 2 3" xfId="5230" xr:uid="{00000000-0005-0000-0000-000052300000}"/>
    <cellStyle name="Normal GHG Textfiels Bold 2 2 2 2 3 2" xfId="9269" xr:uid="{00000000-0005-0000-0000-000053300000}"/>
    <cellStyle name="Normal GHG Textfiels Bold 2 2 2 2 3 2 2" xfId="24607" xr:uid="{00000000-0005-0000-0000-000054300000}"/>
    <cellStyle name="Normal GHG Textfiels Bold 2 2 2 2 3 3" xfId="15546" xr:uid="{00000000-0005-0000-0000-000055300000}"/>
    <cellStyle name="Normal GHG Textfiels Bold 2 2 2 2 3 3 2" xfId="30378" xr:uid="{00000000-0005-0000-0000-000056300000}"/>
    <cellStyle name="Normal GHG Textfiels Bold 2 2 2 2 4" xfId="4260" xr:uid="{00000000-0005-0000-0000-000057300000}"/>
    <cellStyle name="Normal GHG Textfiels Bold 2 2 2 2 4 2" xfId="8299" xr:uid="{00000000-0005-0000-0000-000058300000}"/>
    <cellStyle name="Normal GHG Textfiels Bold 2 2 2 2 4 2 2" xfId="23994" xr:uid="{00000000-0005-0000-0000-000059300000}"/>
    <cellStyle name="Normal GHG Textfiels Bold 2 2 2 2 4 3" xfId="14592" xr:uid="{00000000-0005-0000-0000-00005A300000}"/>
    <cellStyle name="Normal GHG Textfiels Bold 2 2 2 2 4 3 2" xfId="29424" xr:uid="{00000000-0005-0000-0000-00005B300000}"/>
    <cellStyle name="Normal GHG Textfiels Bold 2 2 2 2 5" xfId="6374" xr:uid="{00000000-0005-0000-0000-00005C300000}"/>
    <cellStyle name="Normal GHG Textfiels Bold 2 2 2 2 5 2" xfId="22776" xr:uid="{00000000-0005-0000-0000-00005D300000}"/>
    <cellStyle name="Normal GHG Textfiels Bold 2 2 2 3" xfId="3968" xr:uid="{00000000-0005-0000-0000-00005E300000}"/>
    <cellStyle name="Normal GHG Textfiels Bold 2 2 2 3 2" xfId="8017" xr:uid="{00000000-0005-0000-0000-00005F300000}"/>
    <cellStyle name="Normal GHG Textfiels Bold 2 2 2 3 2 2" xfId="23810" xr:uid="{00000000-0005-0000-0000-000060300000}"/>
    <cellStyle name="Normal GHG Textfiels Bold 2 2 2 3 3" xfId="14301" xr:uid="{00000000-0005-0000-0000-000061300000}"/>
    <cellStyle name="Normal GHG Textfiels Bold 2 2 2 3 3 2" xfId="29133" xr:uid="{00000000-0005-0000-0000-000062300000}"/>
    <cellStyle name="Normal GHG Textfiels Bold 2 2 2 4" xfId="4263" xr:uid="{00000000-0005-0000-0000-000063300000}"/>
    <cellStyle name="Normal GHG Textfiels Bold 2 2 2 4 2" xfId="8302" xr:uid="{00000000-0005-0000-0000-000064300000}"/>
    <cellStyle name="Normal GHG Textfiels Bold 2 2 2 4 2 2" xfId="23997" xr:uid="{00000000-0005-0000-0000-000065300000}"/>
    <cellStyle name="Normal GHG Textfiels Bold 2 2 2 4 3" xfId="14595" xr:uid="{00000000-0005-0000-0000-000066300000}"/>
    <cellStyle name="Normal GHG Textfiels Bold 2 2 2 4 3 2" xfId="29427" xr:uid="{00000000-0005-0000-0000-000067300000}"/>
    <cellStyle name="Normal GHG Textfiels Bold 2 2 2 5" xfId="4866" xr:uid="{00000000-0005-0000-0000-000068300000}"/>
    <cellStyle name="Normal GHG Textfiels Bold 2 2 2 5 2" xfId="8905" xr:uid="{00000000-0005-0000-0000-000069300000}"/>
    <cellStyle name="Normal GHG Textfiels Bold 2 2 2 5 2 2" xfId="24371" xr:uid="{00000000-0005-0000-0000-00006A300000}"/>
    <cellStyle name="Normal GHG Textfiels Bold 2 2 2 5 3" xfId="15189" xr:uid="{00000000-0005-0000-0000-00006B300000}"/>
    <cellStyle name="Normal GHG Textfiels Bold 2 2 2 5 3 2" xfId="30021" xr:uid="{00000000-0005-0000-0000-00006C300000}"/>
    <cellStyle name="Normal GHG Textfiels Bold 2 2 2 6" xfId="2856" xr:uid="{00000000-0005-0000-0000-00006D300000}"/>
    <cellStyle name="Normal GHG Textfiels Bold 2 2 2 6 2" xfId="13194" xr:uid="{00000000-0005-0000-0000-00006E300000}"/>
    <cellStyle name="Normal GHG Textfiels Bold 2 2 2 6 2 2" xfId="28026" xr:uid="{00000000-0005-0000-0000-00006F300000}"/>
    <cellStyle name="Normal GHG Textfiels Bold 2 2 2 6 3" xfId="20782" xr:uid="{00000000-0005-0000-0000-000070300000}"/>
    <cellStyle name="Normal GHG Textfiels Bold 2 2 2 7" xfId="1888" xr:uid="{00000000-0005-0000-0000-000071300000}"/>
    <cellStyle name="Normal GHG Textfiels Bold 2 2 2 7 2" xfId="6019" xr:uid="{00000000-0005-0000-0000-000072300000}"/>
    <cellStyle name="Normal GHG Textfiels Bold 2 2 2 7 2 2" xfId="22552" xr:uid="{00000000-0005-0000-0000-000073300000}"/>
    <cellStyle name="Normal GHG Textfiels Bold 2 2 2 8" xfId="12074" xr:uid="{00000000-0005-0000-0000-000074300000}"/>
    <cellStyle name="Normal GHG Textfiels Bold 2 2 2 8 2" xfId="26906" xr:uid="{00000000-0005-0000-0000-000075300000}"/>
    <cellStyle name="Normal GHG Textfiels Bold 2 2 3" xfId="3667" xr:uid="{00000000-0005-0000-0000-000076300000}"/>
    <cellStyle name="Normal GHG Textfiels Bold 2 2 3 2" xfId="7725" xr:uid="{00000000-0005-0000-0000-000077300000}"/>
    <cellStyle name="Normal GHG Textfiels Bold 2 2 3 2 2" xfId="23621" xr:uid="{00000000-0005-0000-0000-000078300000}"/>
    <cellStyle name="Normal GHG Textfiels Bold 2 2 3 3" xfId="14002" xr:uid="{00000000-0005-0000-0000-000079300000}"/>
    <cellStyle name="Normal GHG Textfiels Bold 2 2 3 3 2" xfId="28834" xr:uid="{00000000-0005-0000-0000-00007A300000}"/>
    <cellStyle name="Normal GHG Textfiels Bold 2 2 4" xfId="4446" xr:uid="{00000000-0005-0000-0000-00007B300000}"/>
    <cellStyle name="Normal GHG Textfiels Bold 2 2 4 2" xfId="8485" xr:uid="{00000000-0005-0000-0000-00007C300000}"/>
    <cellStyle name="Normal GHG Textfiels Bold 2 2 4 2 2" xfId="24111" xr:uid="{00000000-0005-0000-0000-00007D300000}"/>
    <cellStyle name="Normal GHG Textfiels Bold 2 2 4 3" xfId="14774" xr:uid="{00000000-0005-0000-0000-00007E300000}"/>
    <cellStyle name="Normal GHG Textfiels Bold 2 2 4 3 2" xfId="29606" xr:uid="{00000000-0005-0000-0000-00007F300000}"/>
    <cellStyle name="Normal GHG Textfiels Bold 2 2 5" xfId="2436" xr:uid="{00000000-0005-0000-0000-000080300000}"/>
    <cellStyle name="Normal GHG Textfiels Bold 2 2 5 2" xfId="12775" xr:uid="{00000000-0005-0000-0000-000081300000}"/>
    <cellStyle name="Normal GHG Textfiels Bold 2 2 5 2 2" xfId="27607" xr:uid="{00000000-0005-0000-0000-000082300000}"/>
    <cellStyle name="Normal GHG Textfiels Bold 2 2 5 3" xfId="20528" xr:uid="{00000000-0005-0000-0000-000083300000}"/>
    <cellStyle name="Normal GHG Textfiels Bold 2 2 6" xfId="5560" xr:uid="{00000000-0005-0000-0000-000084300000}"/>
    <cellStyle name="Normal GHG Textfiels Bold 2 2 6 2" xfId="15795" xr:uid="{00000000-0005-0000-0000-000085300000}"/>
    <cellStyle name="Normal GHG Textfiels Bold 2 2 6 2 2" xfId="30627" xr:uid="{00000000-0005-0000-0000-000086300000}"/>
    <cellStyle name="Normal GHG Textfiels Bold 2 2 6 3" xfId="22256" xr:uid="{00000000-0005-0000-0000-000087300000}"/>
    <cellStyle name="Normal GHG Textfiels Bold 2 3" xfId="1556" xr:uid="{00000000-0005-0000-0000-000088300000}"/>
    <cellStyle name="Normal GHG Textfiels Bold 2 3 2" xfId="2053" xr:uid="{00000000-0005-0000-0000-000089300000}"/>
    <cellStyle name="Normal GHG Textfiels Bold 2 3 2 2" xfId="4076" xr:uid="{00000000-0005-0000-0000-00008A300000}"/>
    <cellStyle name="Normal GHG Textfiels Bold 2 3 2 2 2" xfId="8122" xr:uid="{00000000-0005-0000-0000-00008B300000}"/>
    <cellStyle name="Normal GHG Textfiels Bold 2 3 2 2 2 2" xfId="23873" xr:uid="{00000000-0005-0000-0000-00008C300000}"/>
    <cellStyle name="Normal GHG Textfiels Bold 2 3 2 2 3" xfId="14408" xr:uid="{00000000-0005-0000-0000-00008D300000}"/>
    <cellStyle name="Normal GHG Textfiels Bold 2 3 2 2 3 2" xfId="29240" xr:uid="{00000000-0005-0000-0000-00008E300000}"/>
    <cellStyle name="Normal GHG Textfiels Bold 2 3 2 3" xfId="3394" xr:uid="{00000000-0005-0000-0000-00008F300000}"/>
    <cellStyle name="Normal GHG Textfiels Bold 2 3 2 3 2" xfId="7457" xr:uid="{00000000-0005-0000-0000-000090300000}"/>
    <cellStyle name="Normal GHG Textfiels Bold 2 3 2 3 2 2" xfId="23446" xr:uid="{00000000-0005-0000-0000-000091300000}"/>
    <cellStyle name="Normal GHG Textfiels Bold 2 3 2 3 3" xfId="13731" xr:uid="{00000000-0005-0000-0000-000092300000}"/>
    <cellStyle name="Normal GHG Textfiels Bold 2 3 2 3 3 2" xfId="28563" xr:uid="{00000000-0005-0000-0000-000093300000}"/>
    <cellStyle name="Normal GHG Textfiels Bold 2 3 2 4" xfId="5021" xr:uid="{00000000-0005-0000-0000-000094300000}"/>
    <cellStyle name="Normal GHG Textfiels Bold 2 3 2 4 2" xfId="9060" xr:uid="{00000000-0005-0000-0000-000095300000}"/>
    <cellStyle name="Normal GHG Textfiels Bold 2 3 2 4 2 2" xfId="24494" xr:uid="{00000000-0005-0000-0000-000096300000}"/>
    <cellStyle name="Normal GHG Textfiels Bold 2 3 2 4 3" xfId="15342" xr:uid="{00000000-0005-0000-0000-000097300000}"/>
    <cellStyle name="Normal GHG Textfiels Bold 2 3 2 4 3 2" xfId="30174" xr:uid="{00000000-0005-0000-0000-000098300000}"/>
    <cellStyle name="Normal GHG Textfiels Bold 2 3 2 5" xfId="3011" xr:uid="{00000000-0005-0000-0000-000099300000}"/>
    <cellStyle name="Normal GHG Textfiels Bold 2 3 2 5 2" xfId="13349" xr:uid="{00000000-0005-0000-0000-00009A300000}"/>
    <cellStyle name="Normal GHG Textfiels Bold 2 3 2 5 2 2" xfId="28181" xr:uid="{00000000-0005-0000-0000-00009B300000}"/>
    <cellStyle name="Normal GHG Textfiels Bold 2 3 2 5 3" xfId="20905" xr:uid="{00000000-0005-0000-0000-00009C300000}"/>
    <cellStyle name="Normal GHG Textfiels Bold 2 3 3" xfId="3778" xr:uid="{00000000-0005-0000-0000-00009D300000}"/>
    <cellStyle name="Normal GHG Textfiels Bold 2 3 3 2" xfId="7833" xr:uid="{00000000-0005-0000-0000-00009E300000}"/>
    <cellStyle name="Normal GHG Textfiels Bold 2 3 3 2 2" xfId="23689" xr:uid="{00000000-0005-0000-0000-00009F300000}"/>
    <cellStyle name="Normal GHG Textfiels Bold 2 3 3 3" xfId="14113" xr:uid="{00000000-0005-0000-0000-0000A0300000}"/>
    <cellStyle name="Normal GHG Textfiels Bold 2 3 3 3 2" xfId="28945" xr:uid="{00000000-0005-0000-0000-0000A1300000}"/>
    <cellStyle name="Normal GHG Textfiels Bold 2 3 4" xfId="4601" xr:uid="{00000000-0005-0000-0000-0000A2300000}"/>
    <cellStyle name="Normal GHG Textfiels Bold 2 3 4 2" xfId="8640" xr:uid="{00000000-0005-0000-0000-0000A3300000}"/>
    <cellStyle name="Normal GHG Textfiels Bold 2 3 4 2 2" xfId="24234" xr:uid="{00000000-0005-0000-0000-0000A4300000}"/>
    <cellStyle name="Normal GHG Textfiels Bold 2 3 4 3" xfId="14927" xr:uid="{00000000-0005-0000-0000-0000A5300000}"/>
    <cellStyle name="Normal GHG Textfiels Bold 2 3 4 3 2" xfId="29759" xr:uid="{00000000-0005-0000-0000-0000A6300000}"/>
    <cellStyle name="Normal GHG Textfiels Bold 2 3 5" xfId="2591" xr:uid="{00000000-0005-0000-0000-0000A7300000}"/>
    <cellStyle name="Normal GHG Textfiels Bold 2 3 5 2" xfId="12929" xr:uid="{00000000-0005-0000-0000-0000A8300000}"/>
    <cellStyle name="Normal GHG Textfiels Bold 2 3 5 2 2" xfId="27761" xr:uid="{00000000-0005-0000-0000-0000A9300000}"/>
    <cellStyle name="Normal GHG Textfiels Bold 2 3 5 3" xfId="20645" xr:uid="{00000000-0005-0000-0000-0000AA300000}"/>
    <cellStyle name="Normal GHG Textfiels Bold 2 3 6" xfId="1701" xr:uid="{00000000-0005-0000-0000-0000AB300000}"/>
    <cellStyle name="Normal GHG Textfiels Bold 2 3 6 2" xfId="5833" xr:uid="{00000000-0005-0000-0000-0000AC300000}"/>
    <cellStyle name="Normal GHG Textfiels Bold 2 3 6 2 2" xfId="22430" xr:uid="{00000000-0005-0000-0000-0000AD300000}"/>
    <cellStyle name="Normal GHG Textfiels Bold 2 3 6 3" xfId="12095" xr:uid="{00000000-0005-0000-0000-0000AE300000}"/>
    <cellStyle name="Normal GHG Textfiels Bold 2 3 6 3 2" xfId="26927" xr:uid="{00000000-0005-0000-0000-0000AF300000}"/>
    <cellStyle name="Normal GHG Textfiels Bold 2 4" xfId="1609" xr:uid="{00000000-0005-0000-0000-0000B0300000}"/>
    <cellStyle name="Normal GHG Textfiels Bold 2 4 2" xfId="2106" xr:uid="{00000000-0005-0000-0000-0000B1300000}"/>
    <cellStyle name="Normal GHG Textfiels Bold 2 4 2 2" xfId="4116" xr:uid="{00000000-0005-0000-0000-0000B2300000}"/>
    <cellStyle name="Normal GHG Textfiels Bold 2 4 2 2 2" xfId="8161" xr:uid="{00000000-0005-0000-0000-0000B3300000}"/>
    <cellStyle name="Normal GHG Textfiels Bold 2 4 2 2 2 2" xfId="23899" xr:uid="{00000000-0005-0000-0000-0000B4300000}"/>
    <cellStyle name="Normal GHG Textfiels Bold 2 4 2 2 3" xfId="14448" xr:uid="{00000000-0005-0000-0000-0000B5300000}"/>
    <cellStyle name="Normal GHG Textfiels Bold 2 4 2 2 3 2" xfId="29280" xr:uid="{00000000-0005-0000-0000-0000B6300000}"/>
    <cellStyle name="Normal GHG Textfiels Bold 2 4 2 3" xfId="3490" xr:uid="{00000000-0005-0000-0000-0000B7300000}"/>
    <cellStyle name="Normal GHG Textfiels Bold 2 4 2 3 2" xfId="7552" xr:uid="{00000000-0005-0000-0000-0000B8300000}"/>
    <cellStyle name="Normal GHG Textfiels Bold 2 4 2 3 2 2" xfId="23512" xr:uid="{00000000-0005-0000-0000-0000B9300000}"/>
    <cellStyle name="Normal GHG Textfiels Bold 2 4 2 3 3" xfId="13827" xr:uid="{00000000-0005-0000-0000-0000BA300000}"/>
    <cellStyle name="Normal GHG Textfiels Bold 2 4 2 3 3 2" xfId="28659" xr:uid="{00000000-0005-0000-0000-0000BB300000}"/>
    <cellStyle name="Normal GHG Textfiels Bold 2 4 2 4" xfId="5074" xr:uid="{00000000-0005-0000-0000-0000BC300000}"/>
    <cellStyle name="Normal GHG Textfiels Bold 2 4 2 4 2" xfId="9113" xr:uid="{00000000-0005-0000-0000-0000BD300000}"/>
    <cellStyle name="Normal GHG Textfiels Bold 2 4 2 4 2 2" xfId="24515" xr:uid="{00000000-0005-0000-0000-0000BE300000}"/>
    <cellStyle name="Normal GHG Textfiels Bold 2 4 2 4 3" xfId="15394" xr:uid="{00000000-0005-0000-0000-0000BF300000}"/>
    <cellStyle name="Normal GHG Textfiels Bold 2 4 2 4 3 2" xfId="30226" xr:uid="{00000000-0005-0000-0000-0000C0300000}"/>
    <cellStyle name="Normal GHG Textfiels Bold 2 4 2 5" xfId="3064" xr:uid="{00000000-0005-0000-0000-0000C1300000}"/>
    <cellStyle name="Normal GHG Textfiels Bold 2 4 2 5 2" xfId="13402" xr:uid="{00000000-0005-0000-0000-0000C2300000}"/>
    <cellStyle name="Normal GHG Textfiels Bold 2 4 2 5 2 2" xfId="28234" xr:uid="{00000000-0005-0000-0000-0000C3300000}"/>
    <cellStyle name="Normal GHG Textfiels Bold 2 4 2 5 3" xfId="20926" xr:uid="{00000000-0005-0000-0000-0000C4300000}"/>
    <cellStyle name="Normal GHG Textfiels Bold 2 4 3" xfId="3816" xr:uid="{00000000-0005-0000-0000-0000C5300000}"/>
    <cellStyle name="Normal GHG Textfiels Bold 2 4 3 2" xfId="7869" xr:uid="{00000000-0005-0000-0000-0000C6300000}"/>
    <cellStyle name="Normal GHG Textfiels Bold 2 4 3 2 2" xfId="23716" xr:uid="{00000000-0005-0000-0000-0000C7300000}"/>
    <cellStyle name="Normal GHG Textfiels Bold 2 4 3 3" xfId="14151" xr:uid="{00000000-0005-0000-0000-0000C8300000}"/>
    <cellStyle name="Normal GHG Textfiels Bold 2 4 3 3 2" xfId="28983" xr:uid="{00000000-0005-0000-0000-0000C9300000}"/>
    <cellStyle name="Normal GHG Textfiels Bold 2 4 4" xfId="4654" xr:uid="{00000000-0005-0000-0000-0000CA300000}"/>
    <cellStyle name="Normal GHG Textfiels Bold 2 4 4 2" xfId="8693" xr:uid="{00000000-0005-0000-0000-0000CB300000}"/>
    <cellStyle name="Normal GHG Textfiels Bold 2 4 4 2 2" xfId="24255" xr:uid="{00000000-0005-0000-0000-0000CC300000}"/>
    <cellStyle name="Normal GHG Textfiels Bold 2 4 4 3" xfId="14979" xr:uid="{00000000-0005-0000-0000-0000CD300000}"/>
    <cellStyle name="Normal GHG Textfiels Bold 2 4 4 3 2" xfId="29811" xr:uid="{00000000-0005-0000-0000-0000CE300000}"/>
    <cellStyle name="Normal GHG Textfiels Bold 2 4 5" xfId="2644" xr:uid="{00000000-0005-0000-0000-0000CF300000}"/>
    <cellStyle name="Normal GHG Textfiels Bold 2 4 5 2" xfId="12982" xr:uid="{00000000-0005-0000-0000-0000D0300000}"/>
    <cellStyle name="Normal GHG Textfiels Bold 2 4 5 2 2" xfId="27814" xr:uid="{00000000-0005-0000-0000-0000D1300000}"/>
    <cellStyle name="Normal GHG Textfiels Bold 2 4 5 3" xfId="20666" xr:uid="{00000000-0005-0000-0000-0000D2300000}"/>
    <cellStyle name="Normal GHG Textfiels Bold 2 4 6" xfId="1706" xr:uid="{00000000-0005-0000-0000-0000D3300000}"/>
    <cellStyle name="Normal GHG Textfiels Bold 2 4 6 2" xfId="5838" xr:uid="{00000000-0005-0000-0000-0000D4300000}"/>
    <cellStyle name="Normal GHG Textfiels Bold 2 4 6 2 2" xfId="22435" xr:uid="{00000000-0005-0000-0000-0000D5300000}"/>
    <cellStyle name="Normal GHG Textfiels Bold 2 4 6 3" xfId="12100" xr:uid="{00000000-0005-0000-0000-0000D6300000}"/>
    <cellStyle name="Normal GHG Textfiels Bold 2 4 6 3 2" xfId="26932" xr:uid="{00000000-0005-0000-0000-0000D7300000}"/>
    <cellStyle name="Normal GHG Textfiels Bold 2 5" xfId="1659" xr:uid="{00000000-0005-0000-0000-0000D8300000}"/>
    <cellStyle name="Normal GHG Textfiels Bold 2 5 2" xfId="2156" xr:uid="{00000000-0005-0000-0000-0000D9300000}"/>
    <cellStyle name="Normal GHG Textfiels Bold 2 5 2 2" xfId="4154" xr:uid="{00000000-0005-0000-0000-0000DA300000}"/>
    <cellStyle name="Normal GHG Textfiels Bold 2 5 2 2 2" xfId="8196" xr:uid="{00000000-0005-0000-0000-0000DB300000}"/>
    <cellStyle name="Normal GHG Textfiels Bold 2 5 2 2 2 2" xfId="23923" xr:uid="{00000000-0005-0000-0000-0000DC300000}"/>
    <cellStyle name="Normal GHG Textfiels Bold 2 5 2 2 3" xfId="14486" xr:uid="{00000000-0005-0000-0000-0000DD300000}"/>
    <cellStyle name="Normal GHG Textfiels Bold 2 5 2 2 3 2" xfId="29318" xr:uid="{00000000-0005-0000-0000-0000DE300000}"/>
    <cellStyle name="Normal GHG Textfiels Bold 2 5 2 3" xfId="3417" xr:uid="{00000000-0005-0000-0000-0000DF300000}"/>
    <cellStyle name="Normal GHG Textfiels Bold 2 5 2 3 2" xfId="7480" xr:uid="{00000000-0005-0000-0000-0000E0300000}"/>
    <cellStyle name="Normal GHG Textfiels Bold 2 5 2 3 2 2" xfId="23463" xr:uid="{00000000-0005-0000-0000-0000E1300000}"/>
    <cellStyle name="Normal GHG Textfiels Bold 2 5 2 3 3" xfId="13754" xr:uid="{00000000-0005-0000-0000-0000E2300000}"/>
    <cellStyle name="Normal GHG Textfiels Bold 2 5 2 3 3 2" xfId="28586" xr:uid="{00000000-0005-0000-0000-0000E3300000}"/>
    <cellStyle name="Normal GHG Textfiels Bold 2 5 2 4" xfId="5124" xr:uid="{00000000-0005-0000-0000-0000E4300000}"/>
    <cellStyle name="Normal GHG Textfiels Bold 2 5 2 4 2" xfId="9163" xr:uid="{00000000-0005-0000-0000-0000E5300000}"/>
    <cellStyle name="Normal GHG Textfiels Bold 2 5 2 4 2 2" xfId="24533" xr:uid="{00000000-0005-0000-0000-0000E6300000}"/>
    <cellStyle name="Normal GHG Textfiels Bold 2 5 2 4 3" xfId="15443" xr:uid="{00000000-0005-0000-0000-0000E7300000}"/>
    <cellStyle name="Normal GHG Textfiels Bold 2 5 2 4 3 2" xfId="30275" xr:uid="{00000000-0005-0000-0000-0000E8300000}"/>
    <cellStyle name="Normal GHG Textfiels Bold 2 5 2 5" xfId="3114" xr:uid="{00000000-0005-0000-0000-0000E9300000}"/>
    <cellStyle name="Normal GHG Textfiels Bold 2 5 2 5 2" xfId="13452" xr:uid="{00000000-0005-0000-0000-0000EA300000}"/>
    <cellStyle name="Normal GHG Textfiels Bold 2 5 2 5 2 2" xfId="28284" xr:uid="{00000000-0005-0000-0000-0000EB300000}"/>
    <cellStyle name="Normal GHG Textfiels Bold 2 5 2 5 3" xfId="20944" xr:uid="{00000000-0005-0000-0000-0000EC300000}"/>
    <cellStyle name="Normal GHG Textfiels Bold 2 5 3" xfId="3854" xr:uid="{00000000-0005-0000-0000-0000ED300000}"/>
    <cellStyle name="Normal GHG Textfiels Bold 2 5 3 2" xfId="7906" xr:uid="{00000000-0005-0000-0000-0000EE300000}"/>
    <cellStyle name="Normal GHG Textfiels Bold 2 5 3 2 2" xfId="23742" xr:uid="{00000000-0005-0000-0000-0000EF300000}"/>
    <cellStyle name="Normal GHG Textfiels Bold 2 5 3 3" xfId="14189" xr:uid="{00000000-0005-0000-0000-0000F0300000}"/>
    <cellStyle name="Normal GHG Textfiels Bold 2 5 3 3 2" xfId="29021" xr:uid="{00000000-0005-0000-0000-0000F1300000}"/>
    <cellStyle name="Normal GHG Textfiels Bold 2 5 4" xfId="4704" xr:uid="{00000000-0005-0000-0000-0000F2300000}"/>
    <cellStyle name="Normal GHG Textfiels Bold 2 5 4 2" xfId="8743" xr:uid="{00000000-0005-0000-0000-0000F3300000}"/>
    <cellStyle name="Normal GHG Textfiels Bold 2 5 4 2 2" xfId="24273" xr:uid="{00000000-0005-0000-0000-0000F4300000}"/>
    <cellStyle name="Normal GHG Textfiels Bold 2 5 4 3" xfId="15028" xr:uid="{00000000-0005-0000-0000-0000F5300000}"/>
    <cellStyle name="Normal GHG Textfiels Bold 2 5 4 3 2" xfId="29860" xr:uid="{00000000-0005-0000-0000-0000F6300000}"/>
    <cellStyle name="Normal GHG Textfiels Bold 2 5 5" xfId="2694" xr:uid="{00000000-0005-0000-0000-0000F7300000}"/>
    <cellStyle name="Normal GHG Textfiels Bold 2 5 5 2" xfId="13032" xr:uid="{00000000-0005-0000-0000-0000F8300000}"/>
    <cellStyle name="Normal GHG Textfiels Bold 2 5 5 2 2" xfId="27864" xr:uid="{00000000-0005-0000-0000-0000F9300000}"/>
    <cellStyle name="Normal GHG Textfiels Bold 2 5 5 3" xfId="20684" xr:uid="{00000000-0005-0000-0000-0000FA300000}"/>
    <cellStyle name="Normal GHG Textfiels Bold 2 5 6" xfId="1711" xr:uid="{00000000-0005-0000-0000-0000FB300000}"/>
    <cellStyle name="Normal GHG Textfiels Bold 2 5 6 2" xfId="5843" xr:uid="{00000000-0005-0000-0000-0000FC300000}"/>
    <cellStyle name="Normal GHG Textfiels Bold 2 5 6 2 2" xfId="22440" xr:uid="{00000000-0005-0000-0000-0000FD300000}"/>
    <cellStyle name="Normal GHG Textfiels Bold 2 5 6 3" xfId="12105" xr:uid="{00000000-0005-0000-0000-0000FE300000}"/>
    <cellStyle name="Normal GHG Textfiels Bold 2 5 6 3 2" xfId="26937" xr:uid="{00000000-0005-0000-0000-0000FF300000}"/>
    <cellStyle name="Normal GHG Textfiels Bold 2 6" xfId="1669" xr:uid="{00000000-0005-0000-0000-000000310000}"/>
    <cellStyle name="Normal GHG Textfiels Bold 2 6 2" xfId="4356" xr:uid="{00000000-0005-0000-0000-000001310000}"/>
    <cellStyle name="Normal GHG Textfiels Bold 2 6 2 2" xfId="8395" xr:uid="{00000000-0005-0000-0000-000002310000}"/>
    <cellStyle name="Normal GHG Textfiels Bold 2 6 2 2 2" xfId="24053" xr:uid="{00000000-0005-0000-0000-000003310000}"/>
    <cellStyle name="Normal GHG Textfiels Bold 2 6 2 3" xfId="14685" xr:uid="{00000000-0005-0000-0000-000004310000}"/>
    <cellStyle name="Normal GHG Textfiels Bold 2 6 2 3 2" xfId="29517" xr:uid="{00000000-0005-0000-0000-000005310000}"/>
    <cellStyle name="Normal GHG Textfiels Bold 2 6 3" xfId="5220" xr:uid="{00000000-0005-0000-0000-000006310000}"/>
    <cellStyle name="Normal GHG Textfiels Bold 2 6 3 2" xfId="9259" xr:uid="{00000000-0005-0000-0000-000007310000}"/>
    <cellStyle name="Normal GHG Textfiels Bold 2 6 3 2 2" xfId="24597" xr:uid="{00000000-0005-0000-0000-000008310000}"/>
    <cellStyle name="Normal GHG Textfiels Bold 2 6 3 3" xfId="15536" xr:uid="{00000000-0005-0000-0000-000009310000}"/>
    <cellStyle name="Normal GHG Textfiels Bold 2 6 3 3 2" xfId="30368" xr:uid="{00000000-0005-0000-0000-00000A310000}"/>
    <cellStyle name="Normal GHG Textfiels Bold 2 6 4" xfId="4250" xr:uid="{00000000-0005-0000-0000-00000B310000}"/>
    <cellStyle name="Normal GHG Textfiels Bold 2 6 4 2" xfId="8289" xr:uid="{00000000-0005-0000-0000-00000C310000}"/>
    <cellStyle name="Normal GHG Textfiels Bold 2 6 4 2 2" xfId="23984" xr:uid="{00000000-0005-0000-0000-00000D310000}"/>
    <cellStyle name="Normal GHG Textfiels Bold 2 6 4 3" xfId="14582" xr:uid="{00000000-0005-0000-0000-00000E310000}"/>
    <cellStyle name="Normal GHG Textfiels Bold 2 6 4 3 2" xfId="29414" xr:uid="{00000000-0005-0000-0000-00000F310000}"/>
    <cellStyle name="Normal GHG Textfiels Bold 2 6 5" xfId="2252" xr:uid="{00000000-0005-0000-0000-000010310000}"/>
    <cellStyle name="Normal GHG Textfiels Bold 2 6 5 2" xfId="6364" xr:uid="{00000000-0005-0000-0000-000011310000}"/>
    <cellStyle name="Normal GHG Textfiels Bold 2 6 5 2 2" xfId="22766" xr:uid="{00000000-0005-0000-0000-000012310000}"/>
    <cellStyle name="Normal GHG Textfiels Bold 2 6 6" xfId="5811" xr:uid="{00000000-0005-0000-0000-000013310000}"/>
    <cellStyle name="Normal GHG Textfiels Bold 2 6 6 2" xfId="22409" xr:uid="{00000000-0005-0000-0000-000014310000}"/>
    <cellStyle name="Normal GHG Textfiels Bold 2 6 7" xfId="12064" xr:uid="{00000000-0005-0000-0000-000015310000}"/>
    <cellStyle name="Normal GHG Textfiels Bold 2 6 7 2" xfId="26896" xr:uid="{00000000-0005-0000-0000-000016310000}"/>
    <cellStyle name="Normal GHG Textfiels Bold 2 7" xfId="3616" xr:uid="{00000000-0005-0000-0000-000017310000}"/>
    <cellStyle name="Normal GHG Textfiels Bold 2 7 2" xfId="7676" xr:uid="{00000000-0005-0000-0000-000018310000}"/>
    <cellStyle name="Normal GHG Textfiels Bold 2 7 2 2" xfId="23586" xr:uid="{00000000-0005-0000-0000-000019310000}"/>
    <cellStyle name="Normal GHG Textfiels Bold 2 7 3" xfId="13951" xr:uid="{00000000-0005-0000-0000-00001A310000}"/>
    <cellStyle name="Normal GHG Textfiels Bold 2 7 3 2" xfId="28783" xr:uid="{00000000-0005-0000-0000-00001B310000}"/>
    <cellStyle name="Normal GHG Textfiels Bold 2 8" xfId="3607" xr:uid="{00000000-0005-0000-0000-00001C310000}"/>
    <cellStyle name="Normal GHG Textfiels Bold 2 8 2" xfId="7668" xr:uid="{00000000-0005-0000-0000-00001D310000}"/>
    <cellStyle name="Normal GHG Textfiels Bold 2 8 2 2" xfId="23578" xr:uid="{00000000-0005-0000-0000-00001E310000}"/>
    <cellStyle name="Normal GHG Textfiels Bold 2 8 3" xfId="13943" xr:uid="{00000000-0005-0000-0000-00001F310000}"/>
    <cellStyle name="Normal GHG Textfiels Bold 2 8 3 2" xfId="28775" xr:uid="{00000000-0005-0000-0000-000020310000}"/>
    <cellStyle name="Normal GHG Textfiels Bold 2 9" xfId="2352" xr:uid="{00000000-0005-0000-0000-000021310000}"/>
    <cellStyle name="Normal GHG Textfiels Bold 2 9 2" xfId="6464" xr:uid="{00000000-0005-0000-0000-000022310000}"/>
    <cellStyle name="Normal GHG Textfiels Bold 2 9 2 2" xfId="22834" xr:uid="{00000000-0005-0000-0000-000023310000}"/>
    <cellStyle name="Normal GHG Textfiels Bold 2 9 3" xfId="12691" xr:uid="{00000000-0005-0000-0000-000024310000}"/>
    <cellStyle name="Normal GHG Textfiels Bold 2 9 3 2" xfId="27523" xr:uid="{00000000-0005-0000-0000-000025310000}"/>
    <cellStyle name="Normal GHG Textfiels Bold 3" xfId="1499" xr:uid="{00000000-0005-0000-0000-000026310000}"/>
    <cellStyle name="Normal GHG Textfiels Bold 3 2" xfId="1674" xr:uid="{00000000-0005-0000-0000-000027310000}"/>
    <cellStyle name="Normal GHG Textfiels Bold 3 2 2" xfId="2257" xr:uid="{00000000-0005-0000-0000-000028310000}"/>
    <cellStyle name="Normal GHG Textfiels Bold 3 2 2 2" xfId="4361" xr:uid="{00000000-0005-0000-0000-000029310000}"/>
    <cellStyle name="Normal GHG Textfiels Bold 3 2 2 2 2" xfId="8400" xr:uid="{00000000-0005-0000-0000-00002A310000}"/>
    <cellStyle name="Normal GHG Textfiels Bold 3 2 2 2 2 2" xfId="24058" xr:uid="{00000000-0005-0000-0000-00002B310000}"/>
    <cellStyle name="Normal GHG Textfiels Bold 3 2 2 2 3" xfId="14690" xr:uid="{00000000-0005-0000-0000-00002C310000}"/>
    <cellStyle name="Normal GHG Textfiels Bold 3 2 2 2 3 2" xfId="29522" xr:uid="{00000000-0005-0000-0000-00002D310000}"/>
    <cellStyle name="Normal GHG Textfiels Bold 3 2 2 3" xfId="5225" xr:uid="{00000000-0005-0000-0000-00002E310000}"/>
    <cellStyle name="Normal GHG Textfiels Bold 3 2 2 3 2" xfId="9264" xr:uid="{00000000-0005-0000-0000-00002F310000}"/>
    <cellStyle name="Normal GHG Textfiels Bold 3 2 2 3 2 2" xfId="24602" xr:uid="{00000000-0005-0000-0000-000030310000}"/>
    <cellStyle name="Normal GHG Textfiels Bold 3 2 2 3 3" xfId="15541" xr:uid="{00000000-0005-0000-0000-000031310000}"/>
    <cellStyle name="Normal GHG Textfiels Bold 3 2 2 3 3 2" xfId="30373" xr:uid="{00000000-0005-0000-0000-000032310000}"/>
    <cellStyle name="Normal GHG Textfiels Bold 3 2 2 4" xfId="4255" xr:uid="{00000000-0005-0000-0000-000033310000}"/>
    <cellStyle name="Normal GHG Textfiels Bold 3 2 2 4 2" xfId="8294" xr:uid="{00000000-0005-0000-0000-000034310000}"/>
    <cellStyle name="Normal GHG Textfiels Bold 3 2 2 4 2 2" xfId="23989" xr:uid="{00000000-0005-0000-0000-000035310000}"/>
    <cellStyle name="Normal GHG Textfiels Bold 3 2 2 4 3" xfId="14587" xr:uid="{00000000-0005-0000-0000-000036310000}"/>
    <cellStyle name="Normal GHG Textfiels Bold 3 2 2 4 3 2" xfId="29419" xr:uid="{00000000-0005-0000-0000-000037310000}"/>
    <cellStyle name="Normal GHG Textfiels Bold 3 2 2 5" xfId="6369" xr:uid="{00000000-0005-0000-0000-000038310000}"/>
    <cellStyle name="Normal GHG Textfiels Bold 3 2 2 5 2" xfId="22771" xr:uid="{00000000-0005-0000-0000-000039310000}"/>
    <cellStyle name="Normal GHG Textfiels Bold 3 2 3" xfId="4031" xr:uid="{00000000-0005-0000-0000-00003A310000}"/>
    <cellStyle name="Normal GHG Textfiels Bold 3 2 3 2" xfId="8078" xr:uid="{00000000-0005-0000-0000-00003B310000}"/>
    <cellStyle name="Normal GHG Textfiels Bold 3 2 3 2 2" xfId="23847" xr:uid="{00000000-0005-0000-0000-00003C310000}"/>
    <cellStyle name="Normal GHG Textfiels Bold 3 2 3 3" xfId="14363" xr:uid="{00000000-0005-0000-0000-00003D310000}"/>
    <cellStyle name="Normal GHG Textfiels Bold 3 2 3 3 2" xfId="29195" xr:uid="{00000000-0005-0000-0000-00003E310000}"/>
    <cellStyle name="Normal GHG Textfiels Bold 3 2 4" xfId="4122" xr:uid="{00000000-0005-0000-0000-00003F310000}"/>
    <cellStyle name="Normal GHG Textfiels Bold 3 2 4 2" xfId="14454" xr:uid="{00000000-0005-0000-0000-000040310000}"/>
    <cellStyle name="Normal GHG Textfiels Bold 3 2 4 2 2" xfId="29286" xr:uid="{00000000-0005-0000-0000-000041310000}"/>
    <cellStyle name="Normal GHG Textfiels Bold 3 2 4 3" xfId="21530" xr:uid="{00000000-0005-0000-0000-000042310000}"/>
    <cellStyle name="Normal GHG Textfiels Bold 3 2 5" xfId="4964" xr:uid="{00000000-0005-0000-0000-000043310000}"/>
    <cellStyle name="Normal GHG Textfiels Bold 3 2 5 2" xfId="9003" xr:uid="{00000000-0005-0000-0000-000044310000}"/>
    <cellStyle name="Normal GHG Textfiels Bold 3 2 5 2 2" xfId="24469" xr:uid="{00000000-0005-0000-0000-000045310000}"/>
    <cellStyle name="Normal GHG Textfiels Bold 3 2 5 3" xfId="15286" xr:uid="{00000000-0005-0000-0000-000046310000}"/>
    <cellStyle name="Normal GHG Textfiels Bold 3 2 5 3 2" xfId="30118" xr:uid="{00000000-0005-0000-0000-000047310000}"/>
    <cellStyle name="Normal GHG Textfiels Bold 3 2 6" xfId="2954" xr:uid="{00000000-0005-0000-0000-000048310000}"/>
    <cellStyle name="Normal GHG Textfiels Bold 3 2 6 2" xfId="13292" xr:uid="{00000000-0005-0000-0000-000049310000}"/>
    <cellStyle name="Normal GHG Textfiels Bold 3 2 6 2 2" xfId="28124" xr:uid="{00000000-0005-0000-0000-00004A310000}"/>
    <cellStyle name="Normal GHG Textfiels Bold 3 2 6 3" xfId="20880" xr:uid="{00000000-0005-0000-0000-00004B310000}"/>
    <cellStyle name="Normal GHG Textfiels Bold 3 2 7" xfId="12069" xr:uid="{00000000-0005-0000-0000-00004C310000}"/>
    <cellStyle name="Normal GHG Textfiels Bold 3 2 7 2" xfId="26901" xr:uid="{00000000-0005-0000-0000-00004D310000}"/>
    <cellStyle name="Normal GHG Textfiels Bold 3 3" xfId="2242" xr:uid="{00000000-0005-0000-0000-00004E310000}"/>
    <cellStyle name="Normal GHG Textfiels Bold 3 3 2" xfId="4346" xr:uid="{00000000-0005-0000-0000-00004F310000}"/>
    <cellStyle name="Normal GHG Textfiels Bold 3 3 2 2" xfId="8385" xr:uid="{00000000-0005-0000-0000-000050310000}"/>
    <cellStyle name="Normal GHG Textfiels Bold 3 3 2 2 2" xfId="24043" xr:uid="{00000000-0005-0000-0000-000051310000}"/>
    <cellStyle name="Normal GHG Textfiels Bold 3 3 2 3" xfId="14675" xr:uid="{00000000-0005-0000-0000-000052310000}"/>
    <cellStyle name="Normal GHG Textfiels Bold 3 3 2 3 2" xfId="29507" xr:uid="{00000000-0005-0000-0000-000053310000}"/>
    <cellStyle name="Normal GHG Textfiels Bold 3 3 3" xfId="5210" xr:uid="{00000000-0005-0000-0000-000054310000}"/>
    <cellStyle name="Normal GHG Textfiels Bold 3 3 3 2" xfId="9249" xr:uid="{00000000-0005-0000-0000-000055310000}"/>
    <cellStyle name="Normal GHG Textfiels Bold 3 3 3 2 2" xfId="24587" xr:uid="{00000000-0005-0000-0000-000056310000}"/>
    <cellStyle name="Normal GHG Textfiels Bold 3 3 3 3" xfId="15526" xr:uid="{00000000-0005-0000-0000-000057310000}"/>
    <cellStyle name="Normal GHG Textfiels Bold 3 3 3 3 2" xfId="30358" xr:uid="{00000000-0005-0000-0000-000058310000}"/>
    <cellStyle name="Normal GHG Textfiels Bold 3 3 4" xfId="4240" xr:uid="{00000000-0005-0000-0000-000059310000}"/>
    <cellStyle name="Normal GHG Textfiels Bold 3 3 4 2" xfId="8279" xr:uid="{00000000-0005-0000-0000-00005A310000}"/>
    <cellStyle name="Normal GHG Textfiels Bold 3 3 4 2 2" xfId="23974" xr:uid="{00000000-0005-0000-0000-00005B310000}"/>
    <cellStyle name="Normal GHG Textfiels Bold 3 3 4 3" xfId="14572" xr:uid="{00000000-0005-0000-0000-00005C310000}"/>
    <cellStyle name="Normal GHG Textfiels Bold 3 3 4 3 2" xfId="29404" xr:uid="{00000000-0005-0000-0000-00005D310000}"/>
    <cellStyle name="Normal GHG Textfiels Bold 3 3 5" xfId="6354" xr:uid="{00000000-0005-0000-0000-00005E310000}"/>
    <cellStyle name="Normal GHG Textfiels Bold 3 3 5 2" xfId="22756" xr:uid="{00000000-0005-0000-0000-00005F310000}"/>
    <cellStyle name="Normal GHG Textfiels Bold 3 4" xfId="3735" xr:uid="{00000000-0005-0000-0000-000060310000}"/>
    <cellStyle name="Normal GHG Textfiels Bold 3 4 2" xfId="7791" xr:uid="{00000000-0005-0000-0000-000061310000}"/>
    <cellStyle name="Normal GHG Textfiels Bold 3 4 2 2" xfId="23665" xr:uid="{00000000-0005-0000-0000-000062310000}"/>
    <cellStyle name="Normal GHG Textfiels Bold 3 4 3" xfId="14070" xr:uid="{00000000-0005-0000-0000-000063310000}"/>
    <cellStyle name="Normal GHG Textfiels Bold 3 4 3 2" xfId="28902" xr:uid="{00000000-0005-0000-0000-000064310000}"/>
    <cellStyle name="Normal GHG Textfiels Bold 3 5" xfId="3471" xr:uid="{00000000-0005-0000-0000-000065310000}"/>
    <cellStyle name="Normal GHG Textfiels Bold 3 5 2" xfId="13808" xr:uid="{00000000-0005-0000-0000-000066310000}"/>
    <cellStyle name="Normal GHG Textfiels Bold 3 5 2 2" xfId="28640" xr:uid="{00000000-0005-0000-0000-000067310000}"/>
    <cellStyle name="Normal GHG Textfiels Bold 3 5 3" xfId="21176" xr:uid="{00000000-0005-0000-0000-000068310000}"/>
    <cellStyle name="Normal GHG Textfiels Bold 3 6" xfId="4544" xr:uid="{00000000-0005-0000-0000-000069310000}"/>
    <cellStyle name="Normal GHG Textfiels Bold 3 6 2" xfId="8583" xr:uid="{00000000-0005-0000-0000-00006A310000}"/>
    <cellStyle name="Normal GHG Textfiels Bold 3 6 2 2" xfId="24209" xr:uid="{00000000-0005-0000-0000-00006B310000}"/>
    <cellStyle name="Normal GHG Textfiels Bold 3 6 3" xfId="14871" xr:uid="{00000000-0005-0000-0000-00006C310000}"/>
    <cellStyle name="Normal GHG Textfiels Bold 3 6 3 2" xfId="29703" xr:uid="{00000000-0005-0000-0000-00006D310000}"/>
    <cellStyle name="Normal GHG Textfiels Bold 3 7" xfId="2534" xr:uid="{00000000-0005-0000-0000-00006E310000}"/>
    <cellStyle name="Normal GHG Textfiels Bold 3 7 2" xfId="6640" xr:uid="{00000000-0005-0000-0000-00006F310000}"/>
    <cellStyle name="Normal GHG Textfiels Bold 3 7 2 2" xfId="22978" xr:uid="{00000000-0005-0000-0000-000070310000}"/>
    <cellStyle name="Normal GHG Textfiels Bold 3 7 3" xfId="12872" xr:uid="{00000000-0005-0000-0000-000071310000}"/>
    <cellStyle name="Normal GHG Textfiels Bold 3 7 3 2" xfId="27704" xr:uid="{00000000-0005-0000-0000-000072310000}"/>
    <cellStyle name="Normal GHG Textfiels Bold 3 8" xfId="1696" xr:uid="{00000000-0005-0000-0000-000073310000}"/>
    <cellStyle name="Normal GHG Textfiels Bold 3 8 2" xfId="5828" xr:uid="{00000000-0005-0000-0000-000074310000}"/>
    <cellStyle name="Normal GHG Textfiels Bold 3 8 2 2" xfId="22425" xr:uid="{00000000-0005-0000-0000-000075310000}"/>
    <cellStyle name="Normal GHG Textfiels Bold 3 8 3" xfId="12090" xr:uid="{00000000-0005-0000-0000-000076310000}"/>
    <cellStyle name="Normal GHG Textfiels Bold 3 8 3 2" xfId="26922" xr:uid="{00000000-0005-0000-0000-000077310000}"/>
    <cellStyle name="Normal GHG Textfiels Bold 3 9" xfId="5657" xr:uid="{00000000-0005-0000-0000-000078310000}"/>
    <cellStyle name="Normal GHG Textfiels Bold 3 9 2" xfId="15892" xr:uid="{00000000-0005-0000-0000-000079310000}"/>
    <cellStyle name="Normal GHG Textfiels Bold 3 9 2 2" xfId="30724" xr:uid="{00000000-0005-0000-0000-00007A310000}"/>
    <cellStyle name="Normal GHG Textfiels Bold 3 9 3" xfId="22353" xr:uid="{00000000-0005-0000-0000-00007B310000}"/>
    <cellStyle name="Normal GHG Textfiels Bold 4" xfId="1664" xr:uid="{00000000-0005-0000-0000-00007C310000}"/>
    <cellStyle name="Normal GHG Textfiels Bold 4 2" xfId="4351" xr:uid="{00000000-0005-0000-0000-00007D310000}"/>
    <cellStyle name="Normal GHG Textfiels Bold 4 2 2" xfId="8390" xr:uid="{00000000-0005-0000-0000-00007E310000}"/>
    <cellStyle name="Normal GHG Textfiels Bold 4 2 2 2" xfId="24048" xr:uid="{00000000-0005-0000-0000-00007F310000}"/>
    <cellStyle name="Normal GHG Textfiels Bold 4 2 3" xfId="14680" xr:uid="{00000000-0005-0000-0000-000080310000}"/>
    <cellStyle name="Normal GHG Textfiels Bold 4 2 3 2" xfId="29512" xr:uid="{00000000-0005-0000-0000-000081310000}"/>
    <cellStyle name="Normal GHG Textfiels Bold 4 3" xfId="5215" xr:uid="{00000000-0005-0000-0000-000082310000}"/>
    <cellStyle name="Normal GHG Textfiels Bold 4 3 2" xfId="9254" xr:uid="{00000000-0005-0000-0000-000083310000}"/>
    <cellStyle name="Normal GHG Textfiels Bold 4 3 2 2" xfId="24592" xr:uid="{00000000-0005-0000-0000-000084310000}"/>
    <cellStyle name="Normal GHG Textfiels Bold 4 3 3" xfId="15531" xr:uid="{00000000-0005-0000-0000-000085310000}"/>
    <cellStyle name="Normal GHG Textfiels Bold 4 3 3 2" xfId="30363" xr:uid="{00000000-0005-0000-0000-000086310000}"/>
    <cellStyle name="Normal GHG Textfiels Bold 4 4" xfId="4245" xr:uid="{00000000-0005-0000-0000-000087310000}"/>
    <cellStyle name="Normal GHG Textfiels Bold 4 4 2" xfId="8284" xr:uid="{00000000-0005-0000-0000-000088310000}"/>
    <cellStyle name="Normal GHG Textfiels Bold 4 4 2 2" xfId="23979" xr:uid="{00000000-0005-0000-0000-000089310000}"/>
    <cellStyle name="Normal GHG Textfiels Bold 4 4 3" xfId="14577" xr:uid="{00000000-0005-0000-0000-00008A310000}"/>
    <cellStyle name="Normal GHG Textfiels Bold 4 4 3 2" xfId="29409" xr:uid="{00000000-0005-0000-0000-00008B310000}"/>
    <cellStyle name="Normal GHG Textfiels Bold 4 5" xfId="2247" xr:uid="{00000000-0005-0000-0000-00008C310000}"/>
    <cellStyle name="Normal GHG Textfiels Bold 4 5 2" xfId="6359" xr:uid="{00000000-0005-0000-0000-00008D310000}"/>
    <cellStyle name="Normal GHG Textfiels Bold 4 5 2 2" xfId="22761" xr:uid="{00000000-0005-0000-0000-00008E310000}"/>
    <cellStyle name="Normal GHG Textfiels Bold 4 6" xfId="5806" xr:uid="{00000000-0005-0000-0000-00008F310000}"/>
    <cellStyle name="Normal GHG Textfiels Bold 4 6 2" xfId="22404" xr:uid="{00000000-0005-0000-0000-000090310000}"/>
    <cellStyle name="Normal GHG Textfiels Bold 4 7" xfId="12059" xr:uid="{00000000-0005-0000-0000-000091310000}"/>
    <cellStyle name="Normal GHG Textfiels Bold 4 7 2" xfId="26891" xr:uid="{00000000-0005-0000-0000-000092310000}"/>
    <cellStyle name="Normal GHG Textfiels Bold 5" xfId="3550" xr:uid="{00000000-0005-0000-0000-000093310000}"/>
    <cellStyle name="Normal GHG Textfiels Bold 5 2" xfId="7612" xr:uid="{00000000-0005-0000-0000-000094310000}"/>
    <cellStyle name="Normal GHG Textfiels Bold 5 2 2" xfId="23547" xr:uid="{00000000-0005-0000-0000-000095310000}"/>
    <cellStyle name="Normal GHG Textfiels Bold 5 3" xfId="13886" xr:uid="{00000000-0005-0000-0000-000096310000}"/>
    <cellStyle name="Normal GHG Textfiels Bold 5 3 2" xfId="28718" xr:uid="{00000000-0005-0000-0000-000097310000}"/>
    <cellStyle name="Normal GHG Textfiels Bold 6" xfId="4283" xr:uid="{00000000-0005-0000-0000-000098310000}"/>
    <cellStyle name="Normal GHG Textfiels Bold 6 2" xfId="8322" xr:uid="{00000000-0005-0000-0000-000099310000}"/>
    <cellStyle name="Normal GHG Textfiels Bold 6 2 2" xfId="24012" xr:uid="{00000000-0005-0000-0000-00009A310000}"/>
    <cellStyle name="Normal GHG Textfiels Bold 6 3" xfId="14615" xr:uid="{00000000-0005-0000-0000-00009B310000}"/>
    <cellStyle name="Normal GHG Textfiels Bold 6 3 2" xfId="29447" xr:uid="{00000000-0005-0000-0000-00009C310000}"/>
    <cellStyle name="Normal GHG Textfiels Bold 7" xfId="2299" xr:uid="{00000000-0005-0000-0000-00009D310000}"/>
    <cellStyle name="Normal GHG Textfiels Bold 7 2" xfId="6411" xr:uid="{00000000-0005-0000-0000-00009E310000}"/>
    <cellStyle name="Normal GHG Textfiels Bold 7 2 2" xfId="22813" xr:uid="{00000000-0005-0000-0000-00009F310000}"/>
    <cellStyle name="Normal GHG Textfiels Bold 7 3" xfId="12639" xr:uid="{00000000-0005-0000-0000-0000A0310000}"/>
    <cellStyle name="Normal GHG Textfiels Bold 7 3 2" xfId="27471" xr:uid="{00000000-0005-0000-0000-0000A1310000}"/>
    <cellStyle name="Normal GHG Textfiels Bold 8" xfId="1685" xr:uid="{00000000-0005-0000-0000-0000A2310000}"/>
    <cellStyle name="Normal GHG Textfiels Bold 8 2" xfId="5817" xr:uid="{00000000-0005-0000-0000-0000A3310000}"/>
    <cellStyle name="Normal GHG Textfiels Bold 8 2 2" xfId="22414" xr:uid="{00000000-0005-0000-0000-0000A4310000}"/>
    <cellStyle name="Normal GHG Textfiels Bold 8 3" xfId="12079" xr:uid="{00000000-0005-0000-0000-0000A5310000}"/>
    <cellStyle name="Normal GHG Textfiels Bold 8 3 2" xfId="26911" xr:uid="{00000000-0005-0000-0000-0000A6310000}"/>
    <cellStyle name="Normal GHG Textfiels Bold 9" xfId="5472" xr:uid="{00000000-0005-0000-0000-0000A7310000}"/>
    <cellStyle name="Normal GHG Textfiels Bold 9 2" xfId="15707" xr:uid="{00000000-0005-0000-0000-0000A8310000}"/>
    <cellStyle name="Normal GHG Textfiels Bold 9 2 2" xfId="30539" xr:uid="{00000000-0005-0000-0000-0000A9310000}"/>
    <cellStyle name="Normal GHG Textfiels Bold 9 3" xfId="22200" xr:uid="{00000000-0005-0000-0000-0000AA310000}"/>
    <cellStyle name="Normal GHG whole table" xfId="1213" xr:uid="{00000000-0005-0000-0000-0000AB310000}"/>
    <cellStyle name="Normal GHG whole table 2" xfId="1301" xr:uid="{00000000-0005-0000-0000-0000AC310000}"/>
    <cellStyle name="Normal GHG whole table 2 10" xfId="1691" xr:uid="{00000000-0005-0000-0000-0000AD310000}"/>
    <cellStyle name="Normal GHG whole table 2 10 2" xfId="5823" xr:uid="{00000000-0005-0000-0000-0000AE310000}"/>
    <cellStyle name="Normal GHG whole table 2 10 2 2" xfId="22420" xr:uid="{00000000-0005-0000-0000-0000AF310000}"/>
    <cellStyle name="Normal GHG whole table 2 10 3" xfId="12085" xr:uid="{00000000-0005-0000-0000-0000B0310000}"/>
    <cellStyle name="Normal GHG whole table 2 10 3 2" xfId="26917" xr:uid="{00000000-0005-0000-0000-0000B1310000}"/>
    <cellStyle name="Normal GHG whole table 2 11" xfId="5478" xr:uid="{00000000-0005-0000-0000-0000B2310000}"/>
    <cellStyle name="Normal GHG whole table 2 11 2" xfId="15713" xr:uid="{00000000-0005-0000-0000-0000B3310000}"/>
    <cellStyle name="Normal GHG whole table 2 11 2 2" xfId="30545" xr:uid="{00000000-0005-0000-0000-0000B4310000}"/>
    <cellStyle name="Normal GHG whole table 2 11 3" xfId="22206" xr:uid="{00000000-0005-0000-0000-0000B5310000}"/>
    <cellStyle name="Normal GHG whole table 2 2" xfId="1385" xr:uid="{00000000-0005-0000-0000-0000B6310000}"/>
    <cellStyle name="Normal GHG whole table 2 2 2" xfId="1680" xr:uid="{00000000-0005-0000-0000-0000B7310000}"/>
    <cellStyle name="Normal GHG whole table 2 2 2 2" xfId="2263" xr:uid="{00000000-0005-0000-0000-0000B8310000}"/>
    <cellStyle name="Normal GHG whole table 2 2 2 2 2" xfId="4367" xr:uid="{00000000-0005-0000-0000-0000B9310000}"/>
    <cellStyle name="Normal GHG whole table 2 2 2 2 2 2" xfId="8406" xr:uid="{00000000-0005-0000-0000-0000BA310000}"/>
    <cellStyle name="Normal GHG whole table 2 2 2 2 2 2 2" xfId="24064" xr:uid="{00000000-0005-0000-0000-0000BB310000}"/>
    <cellStyle name="Normal GHG whole table 2 2 2 2 2 3" xfId="14696" xr:uid="{00000000-0005-0000-0000-0000BC310000}"/>
    <cellStyle name="Normal GHG whole table 2 2 2 2 2 3 2" xfId="29528" xr:uid="{00000000-0005-0000-0000-0000BD310000}"/>
    <cellStyle name="Normal GHG whole table 2 2 2 2 3" xfId="5231" xr:uid="{00000000-0005-0000-0000-0000BE310000}"/>
    <cellStyle name="Normal GHG whole table 2 2 2 2 3 2" xfId="9270" xr:uid="{00000000-0005-0000-0000-0000BF310000}"/>
    <cellStyle name="Normal GHG whole table 2 2 2 2 3 2 2" xfId="24608" xr:uid="{00000000-0005-0000-0000-0000C0310000}"/>
    <cellStyle name="Normal GHG whole table 2 2 2 2 3 3" xfId="15547" xr:uid="{00000000-0005-0000-0000-0000C1310000}"/>
    <cellStyle name="Normal GHG whole table 2 2 2 2 3 3 2" xfId="30379" xr:uid="{00000000-0005-0000-0000-0000C2310000}"/>
    <cellStyle name="Normal GHG whole table 2 2 2 2 4" xfId="4261" xr:uid="{00000000-0005-0000-0000-0000C3310000}"/>
    <cellStyle name="Normal GHG whole table 2 2 2 2 4 2" xfId="8300" xr:uid="{00000000-0005-0000-0000-0000C4310000}"/>
    <cellStyle name="Normal GHG whole table 2 2 2 2 4 2 2" xfId="23995" xr:uid="{00000000-0005-0000-0000-0000C5310000}"/>
    <cellStyle name="Normal GHG whole table 2 2 2 2 4 3" xfId="14593" xr:uid="{00000000-0005-0000-0000-0000C6310000}"/>
    <cellStyle name="Normal GHG whole table 2 2 2 2 4 3 2" xfId="29425" xr:uid="{00000000-0005-0000-0000-0000C7310000}"/>
    <cellStyle name="Normal GHG whole table 2 2 2 2 5" xfId="6375" xr:uid="{00000000-0005-0000-0000-0000C8310000}"/>
    <cellStyle name="Normal GHG whole table 2 2 2 2 5 2" xfId="22777" xr:uid="{00000000-0005-0000-0000-0000C9310000}"/>
    <cellStyle name="Normal GHG whole table 2 2 2 3" xfId="3969" xr:uid="{00000000-0005-0000-0000-0000CA310000}"/>
    <cellStyle name="Normal GHG whole table 2 2 2 3 2" xfId="8018" xr:uid="{00000000-0005-0000-0000-0000CB310000}"/>
    <cellStyle name="Normal GHG whole table 2 2 2 3 2 2" xfId="23811" xr:uid="{00000000-0005-0000-0000-0000CC310000}"/>
    <cellStyle name="Normal GHG whole table 2 2 2 3 3" xfId="14302" xr:uid="{00000000-0005-0000-0000-0000CD310000}"/>
    <cellStyle name="Normal GHG whole table 2 2 2 3 3 2" xfId="29134" xr:uid="{00000000-0005-0000-0000-0000CE310000}"/>
    <cellStyle name="Normal GHG whole table 2 2 2 4" xfId="3239" xr:uid="{00000000-0005-0000-0000-0000CF310000}"/>
    <cellStyle name="Normal GHG whole table 2 2 2 4 2" xfId="7303" xr:uid="{00000000-0005-0000-0000-0000D0310000}"/>
    <cellStyle name="Normal GHG whole table 2 2 2 4 2 2" xfId="23343" xr:uid="{00000000-0005-0000-0000-0000D1310000}"/>
    <cellStyle name="Normal GHG whole table 2 2 2 4 3" xfId="13576" xr:uid="{00000000-0005-0000-0000-0000D2310000}"/>
    <cellStyle name="Normal GHG whole table 2 2 2 4 3 2" xfId="28408" xr:uid="{00000000-0005-0000-0000-0000D3310000}"/>
    <cellStyle name="Normal GHG whole table 2 2 2 5" xfId="4867" xr:uid="{00000000-0005-0000-0000-0000D4310000}"/>
    <cellStyle name="Normal GHG whole table 2 2 2 5 2" xfId="8906" xr:uid="{00000000-0005-0000-0000-0000D5310000}"/>
    <cellStyle name="Normal GHG whole table 2 2 2 5 2 2" xfId="24372" xr:uid="{00000000-0005-0000-0000-0000D6310000}"/>
    <cellStyle name="Normal GHG whole table 2 2 2 5 3" xfId="15190" xr:uid="{00000000-0005-0000-0000-0000D7310000}"/>
    <cellStyle name="Normal GHG whole table 2 2 2 5 3 2" xfId="30022" xr:uid="{00000000-0005-0000-0000-0000D8310000}"/>
    <cellStyle name="Normal GHG whole table 2 2 2 6" xfId="2857" xr:uid="{00000000-0005-0000-0000-0000D9310000}"/>
    <cellStyle name="Normal GHG whole table 2 2 2 6 2" xfId="13195" xr:uid="{00000000-0005-0000-0000-0000DA310000}"/>
    <cellStyle name="Normal GHG whole table 2 2 2 6 2 2" xfId="28027" xr:uid="{00000000-0005-0000-0000-0000DB310000}"/>
    <cellStyle name="Normal GHG whole table 2 2 2 6 3" xfId="20783" xr:uid="{00000000-0005-0000-0000-0000DC310000}"/>
    <cellStyle name="Normal GHG whole table 2 2 2 7" xfId="1889" xr:uid="{00000000-0005-0000-0000-0000DD310000}"/>
    <cellStyle name="Normal GHG whole table 2 2 2 7 2" xfId="6020" xr:uid="{00000000-0005-0000-0000-0000DE310000}"/>
    <cellStyle name="Normal GHG whole table 2 2 2 7 2 2" xfId="22553" xr:uid="{00000000-0005-0000-0000-0000DF310000}"/>
    <cellStyle name="Normal GHG whole table 2 2 2 8" xfId="12075" xr:uid="{00000000-0005-0000-0000-0000E0310000}"/>
    <cellStyle name="Normal GHG whole table 2 2 2 8 2" xfId="26907" xr:uid="{00000000-0005-0000-0000-0000E1310000}"/>
    <cellStyle name="Normal GHG whole table 2 2 3" xfId="3668" xr:uid="{00000000-0005-0000-0000-0000E2310000}"/>
    <cellStyle name="Normal GHG whole table 2 2 3 2" xfId="7726" xr:uid="{00000000-0005-0000-0000-0000E3310000}"/>
    <cellStyle name="Normal GHG whole table 2 2 3 2 2" xfId="23622" xr:uid="{00000000-0005-0000-0000-0000E4310000}"/>
    <cellStyle name="Normal GHG whole table 2 2 3 3" xfId="14003" xr:uid="{00000000-0005-0000-0000-0000E5310000}"/>
    <cellStyle name="Normal GHG whole table 2 2 3 3 2" xfId="28835" xr:uid="{00000000-0005-0000-0000-0000E6310000}"/>
    <cellStyle name="Normal GHG whole table 2 2 4" xfId="4447" xr:uid="{00000000-0005-0000-0000-0000E7310000}"/>
    <cellStyle name="Normal GHG whole table 2 2 4 2" xfId="8486" xr:uid="{00000000-0005-0000-0000-0000E8310000}"/>
    <cellStyle name="Normal GHG whole table 2 2 4 2 2" xfId="24112" xr:uid="{00000000-0005-0000-0000-0000E9310000}"/>
    <cellStyle name="Normal GHG whole table 2 2 4 3" xfId="14775" xr:uid="{00000000-0005-0000-0000-0000EA310000}"/>
    <cellStyle name="Normal GHG whole table 2 2 4 3 2" xfId="29607" xr:uid="{00000000-0005-0000-0000-0000EB310000}"/>
    <cellStyle name="Normal GHG whole table 2 2 5" xfId="2437" xr:uid="{00000000-0005-0000-0000-0000EC310000}"/>
    <cellStyle name="Normal GHG whole table 2 2 5 2" xfId="12776" xr:uid="{00000000-0005-0000-0000-0000ED310000}"/>
    <cellStyle name="Normal GHG whole table 2 2 5 2 2" xfId="27608" xr:uid="{00000000-0005-0000-0000-0000EE310000}"/>
    <cellStyle name="Normal GHG whole table 2 2 5 3" xfId="20529" xr:uid="{00000000-0005-0000-0000-0000EF310000}"/>
    <cellStyle name="Normal GHG whole table 2 2 6" xfId="5561" xr:uid="{00000000-0005-0000-0000-0000F0310000}"/>
    <cellStyle name="Normal GHG whole table 2 2 6 2" xfId="15796" xr:uid="{00000000-0005-0000-0000-0000F1310000}"/>
    <cellStyle name="Normal GHG whole table 2 2 6 2 2" xfId="30628" xr:uid="{00000000-0005-0000-0000-0000F2310000}"/>
    <cellStyle name="Normal GHG whole table 2 2 6 3" xfId="22257" xr:uid="{00000000-0005-0000-0000-0000F3310000}"/>
    <cellStyle name="Normal GHG whole table 2 3" xfId="1557" xr:uid="{00000000-0005-0000-0000-0000F4310000}"/>
    <cellStyle name="Normal GHG whole table 2 3 2" xfId="2054" xr:uid="{00000000-0005-0000-0000-0000F5310000}"/>
    <cellStyle name="Normal GHG whole table 2 3 2 2" xfId="4077" xr:uid="{00000000-0005-0000-0000-0000F6310000}"/>
    <cellStyle name="Normal GHG whole table 2 3 2 2 2" xfId="8123" xr:uid="{00000000-0005-0000-0000-0000F7310000}"/>
    <cellStyle name="Normal GHG whole table 2 3 2 2 2 2" xfId="23874" xr:uid="{00000000-0005-0000-0000-0000F8310000}"/>
    <cellStyle name="Normal GHG whole table 2 3 2 2 3" xfId="14409" xr:uid="{00000000-0005-0000-0000-0000F9310000}"/>
    <cellStyle name="Normal GHG whole table 2 3 2 2 3 2" xfId="29241" xr:uid="{00000000-0005-0000-0000-0000FA310000}"/>
    <cellStyle name="Normal GHG whole table 2 3 2 3" xfId="3395" xr:uid="{00000000-0005-0000-0000-0000FB310000}"/>
    <cellStyle name="Normal GHG whole table 2 3 2 3 2" xfId="7458" xr:uid="{00000000-0005-0000-0000-0000FC310000}"/>
    <cellStyle name="Normal GHG whole table 2 3 2 3 2 2" xfId="23447" xr:uid="{00000000-0005-0000-0000-0000FD310000}"/>
    <cellStyle name="Normal GHG whole table 2 3 2 3 3" xfId="13732" xr:uid="{00000000-0005-0000-0000-0000FE310000}"/>
    <cellStyle name="Normal GHG whole table 2 3 2 3 3 2" xfId="28564" xr:uid="{00000000-0005-0000-0000-0000FF310000}"/>
    <cellStyle name="Normal GHG whole table 2 3 2 4" xfId="5022" xr:uid="{00000000-0005-0000-0000-000000320000}"/>
    <cellStyle name="Normal GHG whole table 2 3 2 4 2" xfId="9061" xr:uid="{00000000-0005-0000-0000-000001320000}"/>
    <cellStyle name="Normal GHG whole table 2 3 2 4 2 2" xfId="24495" xr:uid="{00000000-0005-0000-0000-000002320000}"/>
    <cellStyle name="Normal GHG whole table 2 3 2 4 3" xfId="15343" xr:uid="{00000000-0005-0000-0000-000003320000}"/>
    <cellStyle name="Normal GHG whole table 2 3 2 4 3 2" xfId="30175" xr:uid="{00000000-0005-0000-0000-000004320000}"/>
    <cellStyle name="Normal GHG whole table 2 3 2 5" xfId="3012" xr:uid="{00000000-0005-0000-0000-000005320000}"/>
    <cellStyle name="Normal GHG whole table 2 3 2 5 2" xfId="13350" xr:uid="{00000000-0005-0000-0000-000006320000}"/>
    <cellStyle name="Normal GHG whole table 2 3 2 5 2 2" xfId="28182" xr:uid="{00000000-0005-0000-0000-000007320000}"/>
    <cellStyle name="Normal GHG whole table 2 3 2 5 3" xfId="20906" xr:uid="{00000000-0005-0000-0000-000008320000}"/>
    <cellStyle name="Normal GHG whole table 2 3 3" xfId="3779" xr:uid="{00000000-0005-0000-0000-000009320000}"/>
    <cellStyle name="Normal GHG whole table 2 3 3 2" xfId="7834" xr:uid="{00000000-0005-0000-0000-00000A320000}"/>
    <cellStyle name="Normal GHG whole table 2 3 3 2 2" xfId="23690" xr:uid="{00000000-0005-0000-0000-00000B320000}"/>
    <cellStyle name="Normal GHG whole table 2 3 3 3" xfId="14114" xr:uid="{00000000-0005-0000-0000-00000C320000}"/>
    <cellStyle name="Normal GHG whole table 2 3 3 3 2" xfId="28946" xr:uid="{00000000-0005-0000-0000-00000D320000}"/>
    <cellStyle name="Normal GHG whole table 2 3 4" xfId="4602" xr:uid="{00000000-0005-0000-0000-00000E320000}"/>
    <cellStyle name="Normal GHG whole table 2 3 4 2" xfId="8641" xr:uid="{00000000-0005-0000-0000-00000F320000}"/>
    <cellStyle name="Normal GHG whole table 2 3 4 2 2" xfId="24235" xr:uid="{00000000-0005-0000-0000-000010320000}"/>
    <cellStyle name="Normal GHG whole table 2 3 4 3" xfId="14928" xr:uid="{00000000-0005-0000-0000-000011320000}"/>
    <cellStyle name="Normal GHG whole table 2 3 4 3 2" xfId="29760" xr:uid="{00000000-0005-0000-0000-000012320000}"/>
    <cellStyle name="Normal GHG whole table 2 3 5" xfId="2592" xr:uid="{00000000-0005-0000-0000-000013320000}"/>
    <cellStyle name="Normal GHG whole table 2 3 5 2" xfId="12930" xr:uid="{00000000-0005-0000-0000-000014320000}"/>
    <cellStyle name="Normal GHG whole table 2 3 5 2 2" xfId="27762" xr:uid="{00000000-0005-0000-0000-000015320000}"/>
    <cellStyle name="Normal GHG whole table 2 3 5 3" xfId="20646" xr:uid="{00000000-0005-0000-0000-000016320000}"/>
    <cellStyle name="Normal GHG whole table 2 3 6" xfId="1702" xr:uid="{00000000-0005-0000-0000-000017320000}"/>
    <cellStyle name="Normal GHG whole table 2 3 6 2" xfId="5834" xr:uid="{00000000-0005-0000-0000-000018320000}"/>
    <cellStyle name="Normal GHG whole table 2 3 6 2 2" xfId="22431" xr:uid="{00000000-0005-0000-0000-000019320000}"/>
    <cellStyle name="Normal GHG whole table 2 3 6 3" xfId="12096" xr:uid="{00000000-0005-0000-0000-00001A320000}"/>
    <cellStyle name="Normal GHG whole table 2 3 6 3 2" xfId="26928" xr:uid="{00000000-0005-0000-0000-00001B320000}"/>
    <cellStyle name="Normal GHG whole table 2 4" xfId="1610" xr:uid="{00000000-0005-0000-0000-00001C320000}"/>
    <cellStyle name="Normal GHG whole table 2 4 2" xfId="2107" xr:uid="{00000000-0005-0000-0000-00001D320000}"/>
    <cellStyle name="Normal GHG whole table 2 4 2 2" xfId="4117" xr:uid="{00000000-0005-0000-0000-00001E320000}"/>
    <cellStyle name="Normal GHG whole table 2 4 2 2 2" xfId="8162" xr:uid="{00000000-0005-0000-0000-00001F320000}"/>
    <cellStyle name="Normal GHG whole table 2 4 2 2 2 2" xfId="23900" xr:uid="{00000000-0005-0000-0000-000020320000}"/>
    <cellStyle name="Normal GHG whole table 2 4 2 2 3" xfId="14449" xr:uid="{00000000-0005-0000-0000-000021320000}"/>
    <cellStyle name="Normal GHG whole table 2 4 2 2 3 2" xfId="29281" xr:uid="{00000000-0005-0000-0000-000022320000}"/>
    <cellStyle name="Normal GHG whole table 2 4 2 3" xfId="3840" xr:uid="{00000000-0005-0000-0000-000023320000}"/>
    <cellStyle name="Normal GHG whole table 2 4 2 3 2" xfId="7893" xr:uid="{00000000-0005-0000-0000-000024320000}"/>
    <cellStyle name="Normal GHG whole table 2 4 2 3 2 2" xfId="23730" xr:uid="{00000000-0005-0000-0000-000025320000}"/>
    <cellStyle name="Normal GHG whole table 2 4 2 3 3" xfId="14175" xr:uid="{00000000-0005-0000-0000-000026320000}"/>
    <cellStyle name="Normal GHG whole table 2 4 2 3 3 2" xfId="29007" xr:uid="{00000000-0005-0000-0000-000027320000}"/>
    <cellStyle name="Normal GHG whole table 2 4 2 4" xfId="5075" xr:uid="{00000000-0005-0000-0000-000028320000}"/>
    <cellStyle name="Normal GHG whole table 2 4 2 4 2" xfId="9114" xr:uid="{00000000-0005-0000-0000-000029320000}"/>
    <cellStyle name="Normal GHG whole table 2 4 2 4 2 2" xfId="24516" xr:uid="{00000000-0005-0000-0000-00002A320000}"/>
    <cellStyle name="Normal GHG whole table 2 4 2 4 3" xfId="15395" xr:uid="{00000000-0005-0000-0000-00002B320000}"/>
    <cellStyle name="Normal GHG whole table 2 4 2 4 3 2" xfId="30227" xr:uid="{00000000-0005-0000-0000-00002C320000}"/>
    <cellStyle name="Normal GHG whole table 2 4 2 5" xfId="3065" xr:uid="{00000000-0005-0000-0000-00002D320000}"/>
    <cellStyle name="Normal GHG whole table 2 4 2 5 2" xfId="13403" xr:uid="{00000000-0005-0000-0000-00002E320000}"/>
    <cellStyle name="Normal GHG whole table 2 4 2 5 2 2" xfId="28235" xr:uid="{00000000-0005-0000-0000-00002F320000}"/>
    <cellStyle name="Normal GHG whole table 2 4 2 5 3" xfId="20927" xr:uid="{00000000-0005-0000-0000-000030320000}"/>
    <cellStyle name="Normal GHG whole table 2 4 3" xfId="3817" xr:uid="{00000000-0005-0000-0000-000031320000}"/>
    <cellStyle name="Normal GHG whole table 2 4 3 2" xfId="7870" xr:uid="{00000000-0005-0000-0000-000032320000}"/>
    <cellStyle name="Normal GHG whole table 2 4 3 2 2" xfId="23717" xr:uid="{00000000-0005-0000-0000-000033320000}"/>
    <cellStyle name="Normal GHG whole table 2 4 3 3" xfId="14152" xr:uid="{00000000-0005-0000-0000-000034320000}"/>
    <cellStyle name="Normal GHG whole table 2 4 3 3 2" xfId="28984" xr:uid="{00000000-0005-0000-0000-000035320000}"/>
    <cellStyle name="Normal GHG whole table 2 4 4" xfId="4655" xr:uid="{00000000-0005-0000-0000-000036320000}"/>
    <cellStyle name="Normal GHG whole table 2 4 4 2" xfId="8694" xr:uid="{00000000-0005-0000-0000-000037320000}"/>
    <cellStyle name="Normal GHG whole table 2 4 4 2 2" xfId="24256" xr:uid="{00000000-0005-0000-0000-000038320000}"/>
    <cellStyle name="Normal GHG whole table 2 4 4 3" xfId="14980" xr:uid="{00000000-0005-0000-0000-000039320000}"/>
    <cellStyle name="Normal GHG whole table 2 4 4 3 2" xfId="29812" xr:uid="{00000000-0005-0000-0000-00003A320000}"/>
    <cellStyle name="Normal GHG whole table 2 4 5" xfId="2645" xr:uid="{00000000-0005-0000-0000-00003B320000}"/>
    <cellStyle name="Normal GHG whole table 2 4 5 2" xfId="12983" xr:uid="{00000000-0005-0000-0000-00003C320000}"/>
    <cellStyle name="Normal GHG whole table 2 4 5 2 2" xfId="27815" xr:uid="{00000000-0005-0000-0000-00003D320000}"/>
    <cellStyle name="Normal GHG whole table 2 4 5 3" xfId="20667" xr:uid="{00000000-0005-0000-0000-00003E320000}"/>
    <cellStyle name="Normal GHG whole table 2 4 6" xfId="1707" xr:uid="{00000000-0005-0000-0000-00003F320000}"/>
    <cellStyle name="Normal GHG whole table 2 4 6 2" xfId="5839" xr:uid="{00000000-0005-0000-0000-000040320000}"/>
    <cellStyle name="Normal GHG whole table 2 4 6 2 2" xfId="22436" xr:uid="{00000000-0005-0000-0000-000041320000}"/>
    <cellStyle name="Normal GHG whole table 2 4 6 3" xfId="12101" xr:uid="{00000000-0005-0000-0000-000042320000}"/>
    <cellStyle name="Normal GHG whole table 2 4 6 3 2" xfId="26933" xr:uid="{00000000-0005-0000-0000-000043320000}"/>
    <cellStyle name="Normal GHG whole table 2 5" xfId="1660" xr:uid="{00000000-0005-0000-0000-000044320000}"/>
    <cellStyle name="Normal GHG whole table 2 5 2" xfId="2157" xr:uid="{00000000-0005-0000-0000-000045320000}"/>
    <cellStyle name="Normal GHG whole table 2 5 2 2" xfId="4155" xr:uid="{00000000-0005-0000-0000-000046320000}"/>
    <cellStyle name="Normal GHG whole table 2 5 2 2 2" xfId="8197" xr:uid="{00000000-0005-0000-0000-000047320000}"/>
    <cellStyle name="Normal GHG whole table 2 5 2 2 2 2" xfId="23924" xr:uid="{00000000-0005-0000-0000-000048320000}"/>
    <cellStyle name="Normal GHG whole table 2 5 2 2 3" xfId="14487" xr:uid="{00000000-0005-0000-0000-000049320000}"/>
    <cellStyle name="Normal GHG whole table 2 5 2 2 3 2" xfId="29319" xr:uid="{00000000-0005-0000-0000-00004A320000}"/>
    <cellStyle name="Normal GHG whole table 2 5 2 3" xfId="3700" xr:uid="{00000000-0005-0000-0000-00004B320000}"/>
    <cellStyle name="Normal GHG whole table 2 5 2 3 2" xfId="7756" xr:uid="{00000000-0005-0000-0000-00004C320000}"/>
    <cellStyle name="Normal GHG whole table 2 5 2 3 2 2" xfId="23640" xr:uid="{00000000-0005-0000-0000-00004D320000}"/>
    <cellStyle name="Normal GHG whole table 2 5 2 3 3" xfId="14035" xr:uid="{00000000-0005-0000-0000-00004E320000}"/>
    <cellStyle name="Normal GHG whole table 2 5 2 3 3 2" xfId="28867" xr:uid="{00000000-0005-0000-0000-00004F320000}"/>
    <cellStyle name="Normal GHG whole table 2 5 2 4" xfId="5125" xr:uid="{00000000-0005-0000-0000-000050320000}"/>
    <cellStyle name="Normal GHG whole table 2 5 2 4 2" xfId="9164" xr:uid="{00000000-0005-0000-0000-000051320000}"/>
    <cellStyle name="Normal GHG whole table 2 5 2 4 2 2" xfId="24534" xr:uid="{00000000-0005-0000-0000-000052320000}"/>
    <cellStyle name="Normal GHG whole table 2 5 2 4 3" xfId="15444" xr:uid="{00000000-0005-0000-0000-000053320000}"/>
    <cellStyle name="Normal GHG whole table 2 5 2 4 3 2" xfId="30276" xr:uid="{00000000-0005-0000-0000-000054320000}"/>
    <cellStyle name="Normal GHG whole table 2 5 2 5" xfId="3115" xr:uid="{00000000-0005-0000-0000-000055320000}"/>
    <cellStyle name="Normal GHG whole table 2 5 2 5 2" xfId="13453" xr:uid="{00000000-0005-0000-0000-000056320000}"/>
    <cellStyle name="Normal GHG whole table 2 5 2 5 2 2" xfId="28285" xr:uid="{00000000-0005-0000-0000-000057320000}"/>
    <cellStyle name="Normal GHG whole table 2 5 2 5 3" xfId="20945" xr:uid="{00000000-0005-0000-0000-000058320000}"/>
    <cellStyle name="Normal GHG whole table 2 5 3" xfId="3855" xr:uid="{00000000-0005-0000-0000-000059320000}"/>
    <cellStyle name="Normal GHG whole table 2 5 3 2" xfId="7907" xr:uid="{00000000-0005-0000-0000-00005A320000}"/>
    <cellStyle name="Normal GHG whole table 2 5 3 2 2" xfId="23743" xr:uid="{00000000-0005-0000-0000-00005B320000}"/>
    <cellStyle name="Normal GHG whole table 2 5 3 3" xfId="14190" xr:uid="{00000000-0005-0000-0000-00005C320000}"/>
    <cellStyle name="Normal GHG whole table 2 5 3 3 2" xfId="29022" xr:uid="{00000000-0005-0000-0000-00005D320000}"/>
    <cellStyle name="Normal GHG whole table 2 5 4" xfId="4705" xr:uid="{00000000-0005-0000-0000-00005E320000}"/>
    <cellStyle name="Normal GHG whole table 2 5 4 2" xfId="8744" xr:uid="{00000000-0005-0000-0000-00005F320000}"/>
    <cellStyle name="Normal GHG whole table 2 5 4 2 2" xfId="24274" xr:uid="{00000000-0005-0000-0000-000060320000}"/>
    <cellStyle name="Normal GHG whole table 2 5 4 3" xfId="15029" xr:uid="{00000000-0005-0000-0000-000061320000}"/>
    <cellStyle name="Normal GHG whole table 2 5 4 3 2" xfId="29861" xr:uid="{00000000-0005-0000-0000-000062320000}"/>
    <cellStyle name="Normal GHG whole table 2 5 5" xfId="2695" xr:uid="{00000000-0005-0000-0000-000063320000}"/>
    <cellStyle name="Normal GHG whole table 2 5 5 2" xfId="13033" xr:uid="{00000000-0005-0000-0000-000064320000}"/>
    <cellStyle name="Normal GHG whole table 2 5 5 2 2" xfId="27865" xr:uid="{00000000-0005-0000-0000-000065320000}"/>
    <cellStyle name="Normal GHG whole table 2 5 5 3" xfId="20685" xr:uid="{00000000-0005-0000-0000-000066320000}"/>
    <cellStyle name="Normal GHG whole table 2 5 6" xfId="1712" xr:uid="{00000000-0005-0000-0000-000067320000}"/>
    <cellStyle name="Normal GHG whole table 2 5 6 2" xfId="5844" xr:uid="{00000000-0005-0000-0000-000068320000}"/>
    <cellStyle name="Normal GHG whole table 2 5 6 2 2" xfId="22441" xr:uid="{00000000-0005-0000-0000-000069320000}"/>
    <cellStyle name="Normal GHG whole table 2 5 6 3" xfId="12106" xr:uid="{00000000-0005-0000-0000-00006A320000}"/>
    <cellStyle name="Normal GHG whole table 2 5 6 3 2" xfId="26938" xr:uid="{00000000-0005-0000-0000-00006B320000}"/>
    <cellStyle name="Normal GHG whole table 2 6" xfId="1670" xr:uid="{00000000-0005-0000-0000-00006C320000}"/>
    <cellStyle name="Normal GHG whole table 2 6 2" xfId="4357" xr:uid="{00000000-0005-0000-0000-00006D320000}"/>
    <cellStyle name="Normal GHG whole table 2 6 2 2" xfId="8396" xr:uid="{00000000-0005-0000-0000-00006E320000}"/>
    <cellStyle name="Normal GHG whole table 2 6 2 2 2" xfId="24054" xr:uid="{00000000-0005-0000-0000-00006F320000}"/>
    <cellStyle name="Normal GHG whole table 2 6 2 3" xfId="14686" xr:uid="{00000000-0005-0000-0000-000070320000}"/>
    <cellStyle name="Normal GHG whole table 2 6 2 3 2" xfId="29518" xr:uid="{00000000-0005-0000-0000-000071320000}"/>
    <cellStyle name="Normal GHG whole table 2 6 3" xfId="5221" xr:uid="{00000000-0005-0000-0000-000072320000}"/>
    <cellStyle name="Normal GHG whole table 2 6 3 2" xfId="9260" xr:uid="{00000000-0005-0000-0000-000073320000}"/>
    <cellStyle name="Normal GHG whole table 2 6 3 2 2" xfId="24598" xr:uid="{00000000-0005-0000-0000-000074320000}"/>
    <cellStyle name="Normal GHG whole table 2 6 3 3" xfId="15537" xr:uid="{00000000-0005-0000-0000-000075320000}"/>
    <cellStyle name="Normal GHG whole table 2 6 3 3 2" xfId="30369" xr:uid="{00000000-0005-0000-0000-000076320000}"/>
    <cellStyle name="Normal GHG whole table 2 6 4" xfId="4251" xr:uid="{00000000-0005-0000-0000-000077320000}"/>
    <cellStyle name="Normal GHG whole table 2 6 4 2" xfId="8290" xr:uid="{00000000-0005-0000-0000-000078320000}"/>
    <cellStyle name="Normal GHG whole table 2 6 4 2 2" xfId="23985" xr:uid="{00000000-0005-0000-0000-000079320000}"/>
    <cellStyle name="Normal GHG whole table 2 6 4 3" xfId="14583" xr:uid="{00000000-0005-0000-0000-00007A320000}"/>
    <cellStyle name="Normal GHG whole table 2 6 4 3 2" xfId="29415" xr:uid="{00000000-0005-0000-0000-00007B320000}"/>
    <cellStyle name="Normal GHG whole table 2 6 5" xfId="2253" xr:uid="{00000000-0005-0000-0000-00007C320000}"/>
    <cellStyle name="Normal GHG whole table 2 6 5 2" xfId="6365" xr:uid="{00000000-0005-0000-0000-00007D320000}"/>
    <cellStyle name="Normal GHG whole table 2 6 5 2 2" xfId="22767" xr:uid="{00000000-0005-0000-0000-00007E320000}"/>
    <cellStyle name="Normal GHG whole table 2 6 6" xfId="5812" xr:uid="{00000000-0005-0000-0000-00007F320000}"/>
    <cellStyle name="Normal GHG whole table 2 6 6 2" xfId="22410" xr:uid="{00000000-0005-0000-0000-000080320000}"/>
    <cellStyle name="Normal GHG whole table 2 6 7" xfId="12065" xr:uid="{00000000-0005-0000-0000-000081320000}"/>
    <cellStyle name="Normal GHG whole table 2 6 7 2" xfId="26897" xr:uid="{00000000-0005-0000-0000-000082320000}"/>
    <cellStyle name="Normal GHG whole table 2 7" xfId="3617" xr:uid="{00000000-0005-0000-0000-000083320000}"/>
    <cellStyle name="Normal GHG whole table 2 7 2" xfId="7677" xr:uid="{00000000-0005-0000-0000-000084320000}"/>
    <cellStyle name="Normal GHG whole table 2 7 2 2" xfId="23587" xr:uid="{00000000-0005-0000-0000-000085320000}"/>
    <cellStyle name="Normal GHG whole table 2 7 3" xfId="13952" xr:uid="{00000000-0005-0000-0000-000086320000}"/>
    <cellStyle name="Normal GHG whole table 2 7 3 2" xfId="28784" xr:uid="{00000000-0005-0000-0000-000087320000}"/>
    <cellStyle name="Normal GHG whole table 2 8" xfId="3365" xr:uid="{00000000-0005-0000-0000-000088320000}"/>
    <cellStyle name="Normal GHG whole table 2 8 2" xfId="7428" xr:uid="{00000000-0005-0000-0000-000089320000}"/>
    <cellStyle name="Normal GHG whole table 2 8 2 2" xfId="23429" xr:uid="{00000000-0005-0000-0000-00008A320000}"/>
    <cellStyle name="Normal GHG whole table 2 8 3" xfId="13702" xr:uid="{00000000-0005-0000-0000-00008B320000}"/>
    <cellStyle name="Normal GHG whole table 2 8 3 2" xfId="28534" xr:uid="{00000000-0005-0000-0000-00008C320000}"/>
    <cellStyle name="Normal GHG whole table 2 9" xfId="2353" xr:uid="{00000000-0005-0000-0000-00008D320000}"/>
    <cellStyle name="Normal GHG whole table 2 9 2" xfId="6465" xr:uid="{00000000-0005-0000-0000-00008E320000}"/>
    <cellStyle name="Normal GHG whole table 2 9 2 2" xfId="22835" xr:uid="{00000000-0005-0000-0000-00008F320000}"/>
    <cellStyle name="Normal GHG whole table 2 9 3" xfId="12692" xr:uid="{00000000-0005-0000-0000-000090320000}"/>
    <cellStyle name="Normal GHG whole table 2 9 3 2" xfId="27524" xr:uid="{00000000-0005-0000-0000-000091320000}"/>
    <cellStyle name="Normal GHG whole table 3" xfId="1500" xr:uid="{00000000-0005-0000-0000-000092320000}"/>
    <cellStyle name="Normal GHG whole table 3 2" xfId="1675" xr:uid="{00000000-0005-0000-0000-000093320000}"/>
    <cellStyle name="Normal GHG whole table 3 2 2" xfId="2258" xr:uid="{00000000-0005-0000-0000-000094320000}"/>
    <cellStyle name="Normal GHG whole table 3 2 2 2" xfId="4362" xr:uid="{00000000-0005-0000-0000-000095320000}"/>
    <cellStyle name="Normal GHG whole table 3 2 2 2 2" xfId="8401" xr:uid="{00000000-0005-0000-0000-000096320000}"/>
    <cellStyle name="Normal GHG whole table 3 2 2 2 2 2" xfId="24059" xr:uid="{00000000-0005-0000-0000-000097320000}"/>
    <cellStyle name="Normal GHG whole table 3 2 2 2 3" xfId="14691" xr:uid="{00000000-0005-0000-0000-000098320000}"/>
    <cellStyle name="Normal GHG whole table 3 2 2 2 3 2" xfId="29523" xr:uid="{00000000-0005-0000-0000-000099320000}"/>
    <cellStyle name="Normal GHG whole table 3 2 2 3" xfId="5226" xr:uid="{00000000-0005-0000-0000-00009A320000}"/>
    <cellStyle name="Normal GHG whole table 3 2 2 3 2" xfId="9265" xr:uid="{00000000-0005-0000-0000-00009B320000}"/>
    <cellStyle name="Normal GHG whole table 3 2 2 3 2 2" xfId="24603" xr:uid="{00000000-0005-0000-0000-00009C320000}"/>
    <cellStyle name="Normal GHG whole table 3 2 2 3 3" xfId="15542" xr:uid="{00000000-0005-0000-0000-00009D320000}"/>
    <cellStyle name="Normal GHG whole table 3 2 2 3 3 2" xfId="30374" xr:uid="{00000000-0005-0000-0000-00009E320000}"/>
    <cellStyle name="Normal GHG whole table 3 2 2 4" xfId="4256" xr:uid="{00000000-0005-0000-0000-00009F320000}"/>
    <cellStyle name="Normal GHG whole table 3 2 2 4 2" xfId="8295" xr:uid="{00000000-0005-0000-0000-0000A0320000}"/>
    <cellStyle name="Normal GHG whole table 3 2 2 4 2 2" xfId="23990" xr:uid="{00000000-0005-0000-0000-0000A1320000}"/>
    <cellStyle name="Normal GHG whole table 3 2 2 4 3" xfId="14588" xr:uid="{00000000-0005-0000-0000-0000A2320000}"/>
    <cellStyle name="Normal GHG whole table 3 2 2 4 3 2" xfId="29420" xr:uid="{00000000-0005-0000-0000-0000A3320000}"/>
    <cellStyle name="Normal GHG whole table 3 2 2 5" xfId="6370" xr:uid="{00000000-0005-0000-0000-0000A4320000}"/>
    <cellStyle name="Normal GHG whole table 3 2 2 5 2" xfId="22772" xr:uid="{00000000-0005-0000-0000-0000A5320000}"/>
    <cellStyle name="Normal GHG whole table 3 2 3" xfId="4032" xr:uid="{00000000-0005-0000-0000-0000A6320000}"/>
    <cellStyle name="Normal GHG whole table 3 2 3 2" xfId="8079" xr:uid="{00000000-0005-0000-0000-0000A7320000}"/>
    <cellStyle name="Normal GHG whole table 3 2 3 2 2" xfId="23848" xr:uid="{00000000-0005-0000-0000-0000A8320000}"/>
    <cellStyle name="Normal GHG whole table 3 2 3 3" xfId="14364" xr:uid="{00000000-0005-0000-0000-0000A9320000}"/>
    <cellStyle name="Normal GHG whole table 3 2 3 3 2" xfId="29196" xr:uid="{00000000-0005-0000-0000-0000AA320000}"/>
    <cellStyle name="Normal GHG whole table 3 2 4" xfId="4147" xr:uid="{00000000-0005-0000-0000-0000AB320000}"/>
    <cellStyle name="Normal GHG whole table 3 2 4 2" xfId="14479" xr:uid="{00000000-0005-0000-0000-0000AC320000}"/>
    <cellStyle name="Normal GHG whole table 3 2 4 2 2" xfId="29311" xr:uid="{00000000-0005-0000-0000-0000AD320000}"/>
    <cellStyle name="Normal GHG whole table 3 2 4 3" xfId="21546" xr:uid="{00000000-0005-0000-0000-0000AE320000}"/>
    <cellStyle name="Normal GHG whole table 3 2 5" xfId="4965" xr:uid="{00000000-0005-0000-0000-0000AF320000}"/>
    <cellStyle name="Normal GHG whole table 3 2 5 2" xfId="9004" xr:uid="{00000000-0005-0000-0000-0000B0320000}"/>
    <cellStyle name="Normal GHG whole table 3 2 5 2 2" xfId="24470" xr:uid="{00000000-0005-0000-0000-0000B1320000}"/>
    <cellStyle name="Normal GHG whole table 3 2 5 3" xfId="15287" xr:uid="{00000000-0005-0000-0000-0000B2320000}"/>
    <cellStyle name="Normal GHG whole table 3 2 5 3 2" xfId="30119" xr:uid="{00000000-0005-0000-0000-0000B3320000}"/>
    <cellStyle name="Normal GHG whole table 3 2 6" xfId="2955" xr:uid="{00000000-0005-0000-0000-0000B4320000}"/>
    <cellStyle name="Normal GHG whole table 3 2 6 2" xfId="13293" xr:uid="{00000000-0005-0000-0000-0000B5320000}"/>
    <cellStyle name="Normal GHG whole table 3 2 6 2 2" xfId="28125" xr:uid="{00000000-0005-0000-0000-0000B6320000}"/>
    <cellStyle name="Normal GHG whole table 3 2 6 3" xfId="20881" xr:uid="{00000000-0005-0000-0000-0000B7320000}"/>
    <cellStyle name="Normal GHG whole table 3 2 7" xfId="12070" xr:uid="{00000000-0005-0000-0000-0000B8320000}"/>
    <cellStyle name="Normal GHG whole table 3 2 7 2" xfId="26902" xr:uid="{00000000-0005-0000-0000-0000B9320000}"/>
    <cellStyle name="Normal GHG whole table 3 3" xfId="2243" xr:uid="{00000000-0005-0000-0000-0000BA320000}"/>
    <cellStyle name="Normal GHG whole table 3 3 2" xfId="4347" xr:uid="{00000000-0005-0000-0000-0000BB320000}"/>
    <cellStyle name="Normal GHG whole table 3 3 2 2" xfId="8386" xr:uid="{00000000-0005-0000-0000-0000BC320000}"/>
    <cellStyle name="Normal GHG whole table 3 3 2 2 2" xfId="24044" xr:uid="{00000000-0005-0000-0000-0000BD320000}"/>
    <cellStyle name="Normal GHG whole table 3 3 2 3" xfId="14676" xr:uid="{00000000-0005-0000-0000-0000BE320000}"/>
    <cellStyle name="Normal GHG whole table 3 3 2 3 2" xfId="29508" xr:uid="{00000000-0005-0000-0000-0000BF320000}"/>
    <cellStyle name="Normal GHG whole table 3 3 3" xfId="5211" xr:uid="{00000000-0005-0000-0000-0000C0320000}"/>
    <cellStyle name="Normal GHG whole table 3 3 3 2" xfId="9250" xr:uid="{00000000-0005-0000-0000-0000C1320000}"/>
    <cellStyle name="Normal GHG whole table 3 3 3 2 2" xfId="24588" xr:uid="{00000000-0005-0000-0000-0000C2320000}"/>
    <cellStyle name="Normal GHG whole table 3 3 3 3" xfId="15527" xr:uid="{00000000-0005-0000-0000-0000C3320000}"/>
    <cellStyle name="Normal GHG whole table 3 3 3 3 2" xfId="30359" xr:uid="{00000000-0005-0000-0000-0000C4320000}"/>
    <cellStyle name="Normal GHG whole table 3 3 4" xfId="4241" xr:uid="{00000000-0005-0000-0000-0000C5320000}"/>
    <cellStyle name="Normal GHG whole table 3 3 4 2" xfId="8280" xr:uid="{00000000-0005-0000-0000-0000C6320000}"/>
    <cellStyle name="Normal GHG whole table 3 3 4 2 2" xfId="23975" xr:uid="{00000000-0005-0000-0000-0000C7320000}"/>
    <cellStyle name="Normal GHG whole table 3 3 4 3" xfId="14573" xr:uid="{00000000-0005-0000-0000-0000C8320000}"/>
    <cellStyle name="Normal GHG whole table 3 3 4 3 2" xfId="29405" xr:uid="{00000000-0005-0000-0000-0000C9320000}"/>
    <cellStyle name="Normal GHG whole table 3 3 5" xfId="6355" xr:uid="{00000000-0005-0000-0000-0000CA320000}"/>
    <cellStyle name="Normal GHG whole table 3 3 5 2" xfId="22757" xr:uid="{00000000-0005-0000-0000-0000CB320000}"/>
    <cellStyle name="Normal GHG whole table 3 4" xfId="3736" xr:uid="{00000000-0005-0000-0000-0000CC320000}"/>
    <cellStyle name="Normal GHG whole table 3 4 2" xfId="7792" xr:uid="{00000000-0005-0000-0000-0000CD320000}"/>
    <cellStyle name="Normal GHG whole table 3 4 2 2" xfId="23666" xr:uid="{00000000-0005-0000-0000-0000CE320000}"/>
    <cellStyle name="Normal GHG whole table 3 4 3" xfId="14071" xr:uid="{00000000-0005-0000-0000-0000CF320000}"/>
    <cellStyle name="Normal GHG whole table 3 4 3 2" xfId="28903" xr:uid="{00000000-0005-0000-0000-0000D0320000}"/>
    <cellStyle name="Normal GHG whole table 3 5" xfId="3625" xr:uid="{00000000-0005-0000-0000-0000D1320000}"/>
    <cellStyle name="Normal GHG whole table 3 5 2" xfId="13960" xr:uid="{00000000-0005-0000-0000-0000D2320000}"/>
    <cellStyle name="Normal GHG whole table 3 5 2 2" xfId="28792" xr:uid="{00000000-0005-0000-0000-0000D3320000}"/>
    <cellStyle name="Normal GHG whole table 3 5 3" xfId="21258" xr:uid="{00000000-0005-0000-0000-0000D4320000}"/>
    <cellStyle name="Normal GHG whole table 3 6" xfId="4545" xr:uid="{00000000-0005-0000-0000-0000D5320000}"/>
    <cellStyle name="Normal GHG whole table 3 6 2" xfId="8584" xr:uid="{00000000-0005-0000-0000-0000D6320000}"/>
    <cellStyle name="Normal GHG whole table 3 6 2 2" xfId="24210" xr:uid="{00000000-0005-0000-0000-0000D7320000}"/>
    <cellStyle name="Normal GHG whole table 3 6 3" xfId="14872" xr:uid="{00000000-0005-0000-0000-0000D8320000}"/>
    <cellStyle name="Normal GHG whole table 3 6 3 2" xfId="29704" xr:uid="{00000000-0005-0000-0000-0000D9320000}"/>
    <cellStyle name="Normal GHG whole table 3 7" xfId="2535" xr:uid="{00000000-0005-0000-0000-0000DA320000}"/>
    <cellStyle name="Normal GHG whole table 3 7 2" xfId="6641" xr:uid="{00000000-0005-0000-0000-0000DB320000}"/>
    <cellStyle name="Normal GHG whole table 3 7 2 2" xfId="22979" xr:uid="{00000000-0005-0000-0000-0000DC320000}"/>
    <cellStyle name="Normal GHG whole table 3 7 3" xfId="12873" xr:uid="{00000000-0005-0000-0000-0000DD320000}"/>
    <cellStyle name="Normal GHG whole table 3 7 3 2" xfId="27705" xr:uid="{00000000-0005-0000-0000-0000DE320000}"/>
    <cellStyle name="Normal GHG whole table 3 8" xfId="1697" xr:uid="{00000000-0005-0000-0000-0000DF320000}"/>
    <cellStyle name="Normal GHG whole table 3 8 2" xfId="5829" xr:uid="{00000000-0005-0000-0000-0000E0320000}"/>
    <cellStyle name="Normal GHG whole table 3 8 2 2" xfId="22426" xr:uid="{00000000-0005-0000-0000-0000E1320000}"/>
    <cellStyle name="Normal GHG whole table 3 8 3" xfId="12091" xr:uid="{00000000-0005-0000-0000-0000E2320000}"/>
    <cellStyle name="Normal GHG whole table 3 8 3 2" xfId="26923" xr:uid="{00000000-0005-0000-0000-0000E3320000}"/>
    <cellStyle name="Normal GHG whole table 3 9" xfId="5658" xr:uid="{00000000-0005-0000-0000-0000E4320000}"/>
    <cellStyle name="Normal GHG whole table 3 9 2" xfId="15893" xr:uid="{00000000-0005-0000-0000-0000E5320000}"/>
    <cellStyle name="Normal GHG whole table 3 9 2 2" xfId="30725" xr:uid="{00000000-0005-0000-0000-0000E6320000}"/>
    <cellStyle name="Normal GHG whole table 3 9 3" xfId="22354" xr:uid="{00000000-0005-0000-0000-0000E7320000}"/>
    <cellStyle name="Normal GHG whole table 4" xfId="1665" xr:uid="{00000000-0005-0000-0000-0000E8320000}"/>
    <cellStyle name="Normal GHG whole table 4 2" xfId="4352" xr:uid="{00000000-0005-0000-0000-0000E9320000}"/>
    <cellStyle name="Normal GHG whole table 4 2 2" xfId="8391" xr:uid="{00000000-0005-0000-0000-0000EA320000}"/>
    <cellStyle name="Normal GHG whole table 4 2 2 2" xfId="24049" xr:uid="{00000000-0005-0000-0000-0000EB320000}"/>
    <cellStyle name="Normal GHG whole table 4 2 3" xfId="14681" xr:uid="{00000000-0005-0000-0000-0000EC320000}"/>
    <cellStyle name="Normal GHG whole table 4 2 3 2" xfId="29513" xr:uid="{00000000-0005-0000-0000-0000ED320000}"/>
    <cellStyle name="Normal GHG whole table 4 3" xfId="5216" xr:uid="{00000000-0005-0000-0000-0000EE320000}"/>
    <cellStyle name="Normal GHG whole table 4 3 2" xfId="9255" xr:uid="{00000000-0005-0000-0000-0000EF320000}"/>
    <cellStyle name="Normal GHG whole table 4 3 2 2" xfId="24593" xr:uid="{00000000-0005-0000-0000-0000F0320000}"/>
    <cellStyle name="Normal GHG whole table 4 3 3" xfId="15532" xr:uid="{00000000-0005-0000-0000-0000F1320000}"/>
    <cellStyle name="Normal GHG whole table 4 3 3 2" xfId="30364" xr:uid="{00000000-0005-0000-0000-0000F2320000}"/>
    <cellStyle name="Normal GHG whole table 4 4" xfId="4246" xr:uid="{00000000-0005-0000-0000-0000F3320000}"/>
    <cellStyle name="Normal GHG whole table 4 4 2" xfId="8285" xr:uid="{00000000-0005-0000-0000-0000F4320000}"/>
    <cellStyle name="Normal GHG whole table 4 4 2 2" xfId="23980" xr:uid="{00000000-0005-0000-0000-0000F5320000}"/>
    <cellStyle name="Normal GHG whole table 4 4 3" xfId="14578" xr:uid="{00000000-0005-0000-0000-0000F6320000}"/>
    <cellStyle name="Normal GHG whole table 4 4 3 2" xfId="29410" xr:uid="{00000000-0005-0000-0000-0000F7320000}"/>
    <cellStyle name="Normal GHG whole table 4 5" xfId="2248" xr:uid="{00000000-0005-0000-0000-0000F8320000}"/>
    <cellStyle name="Normal GHG whole table 4 5 2" xfId="6360" xr:uid="{00000000-0005-0000-0000-0000F9320000}"/>
    <cellStyle name="Normal GHG whole table 4 5 2 2" xfId="22762" xr:uid="{00000000-0005-0000-0000-0000FA320000}"/>
    <cellStyle name="Normal GHG whole table 4 6" xfId="5807" xr:uid="{00000000-0005-0000-0000-0000FB320000}"/>
    <cellStyle name="Normal GHG whole table 4 6 2" xfId="22405" xr:uid="{00000000-0005-0000-0000-0000FC320000}"/>
    <cellStyle name="Normal GHG whole table 4 7" xfId="12060" xr:uid="{00000000-0005-0000-0000-0000FD320000}"/>
    <cellStyle name="Normal GHG whole table 4 7 2" xfId="26892" xr:uid="{00000000-0005-0000-0000-0000FE320000}"/>
    <cellStyle name="Normal GHG whole table 5" xfId="3551" xr:uid="{00000000-0005-0000-0000-0000FF320000}"/>
    <cellStyle name="Normal GHG whole table 5 2" xfId="7613" xr:uid="{00000000-0005-0000-0000-000000330000}"/>
    <cellStyle name="Normal GHG whole table 5 2 2" xfId="23548" xr:uid="{00000000-0005-0000-0000-000001330000}"/>
    <cellStyle name="Normal GHG whole table 5 3" xfId="13887" xr:uid="{00000000-0005-0000-0000-000002330000}"/>
    <cellStyle name="Normal GHG whole table 5 3 2" xfId="28719" xr:uid="{00000000-0005-0000-0000-000003330000}"/>
    <cellStyle name="Normal GHG whole table 6" xfId="4315" xr:uid="{00000000-0005-0000-0000-000004330000}"/>
    <cellStyle name="Normal GHG whole table 6 2" xfId="8354" xr:uid="{00000000-0005-0000-0000-000005330000}"/>
    <cellStyle name="Normal GHG whole table 6 2 2" xfId="24030" xr:uid="{00000000-0005-0000-0000-000006330000}"/>
    <cellStyle name="Normal GHG whole table 6 3" xfId="14646" xr:uid="{00000000-0005-0000-0000-000007330000}"/>
    <cellStyle name="Normal GHG whole table 6 3 2" xfId="29478" xr:uid="{00000000-0005-0000-0000-000008330000}"/>
    <cellStyle name="Normal GHG whole table 7" xfId="2300" xr:uid="{00000000-0005-0000-0000-000009330000}"/>
    <cellStyle name="Normal GHG whole table 7 2" xfId="6412" xr:uid="{00000000-0005-0000-0000-00000A330000}"/>
    <cellStyle name="Normal GHG whole table 7 2 2" xfId="22814" xr:uid="{00000000-0005-0000-0000-00000B330000}"/>
    <cellStyle name="Normal GHG whole table 7 3" xfId="12640" xr:uid="{00000000-0005-0000-0000-00000C330000}"/>
    <cellStyle name="Normal GHG whole table 7 3 2" xfId="27472" xr:uid="{00000000-0005-0000-0000-00000D330000}"/>
    <cellStyle name="Normal GHG whole table 8" xfId="1686" xr:uid="{00000000-0005-0000-0000-00000E330000}"/>
    <cellStyle name="Normal GHG whole table 8 2" xfId="5818" xr:uid="{00000000-0005-0000-0000-00000F330000}"/>
    <cellStyle name="Normal GHG whole table 8 2 2" xfId="22415" xr:uid="{00000000-0005-0000-0000-000010330000}"/>
    <cellStyle name="Normal GHG whole table 8 3" xfId="12080" xr:uid="{00000000-0005-0000-0000-000011330000}"/>
    <cellStyle name="Normal GHG whole table 8 3 2" xfId="26912" xr:uid="{00000000-0005-0000-0000-000012330000}"/>
    <cellStyle name="Normal GHG whole table 9" xfId="5473" xr:uid="{00000000-0005-0000-0000-000013330000}"/>
    <cellStyle name="Normal GHG whole table 9 2" xfId="15708" xr:uid="{00000000-0005-0000-0000-000014330000}"/>
    <cellStyle name="Normal GHG whole table 9 2 2" xfId="30540" xr:uid="{00000000-0005-0000-0000-000015330000}"/>
    <cellStyle name="Normal GHG whole table 9 3" xfId="22201" xr:uid="{00000000-0005-0000-0000-000016330000}"/>
    <cellStyle name="Normal GHG-Shade" xfId="1214" xr:uid="{00000000-0005-0000-0000-000017330000}"/>
    <cellStyle name="Normal_CRIT Budgets" xfId="33022" xr:uid="{00000000-0005-0000-0000-000018330000}"/>
    <cellStyle name="Note 2" xfId="1216" xr:uid="{00000000-0005-0000-0000-000019330000}"/>
    <cellStyle name="Note 2 10" xfId="1503" xr:uid="{00000000-0005-0000-0000-00001A330000}"/>
    <cellStyle name="Note 2 10 2" xfId="2000" xr:uid="{00000000-0005-0000-0000-00001B330000}"/>
    <cellStyle name="Note 2 10 2 2" xfId="3781" xr:uid="{00000000-0005-0000-0000-00001C330000}"/>
    <cellStyle name="Note 2 10 2 2 2" xfId="7836" xr:uid="{00000000-0005-0000-0000-00001D330000}"/>
    <cellStyle name="Note 2 10 2 2 2 2" xfId="17362" xr:uid="{00000000-0005-0000-0000-00001E330000}"/>
    <cellStyle name="Note 2 10 2 2 2 2 2" xfId="32194" xr:uid="{00000000-0005-0000-0000-00001F330000}"/>
    <cellStyle name="Note 2 10 2 2 2 3" xfId="23692" xr:uid="{00000000-0005-0000-0000-000020330000}"/>
    <cellStyle name="Note 2 10 2 2 3" xfId="14116" xr:uid="{00000000-0005-0000-0000-000021330000}"/>
    <cellStyle name="Note 2 10 2 2 3 2" xfId="28948" xr:uid="{00000000-0005-0000-0000-000022330000}"/>
    <cellStyle name="Note 2 10 2 2 4" xfId="10979" xr:uid="{00000000-0005-0000-0000-000023330000}"/>
    <cellStyle name="Note 2 10 2 2 4 2" xfId="25811" xr:uid="{00000000-0005-0000-0000-000024330000}"/>
    <cellStyle name="Note 2 10 2 2 5" xfId="21344" xr:uid="{00000000-0005-0000-0000-000025330000}"/>
    <cellStyle name="Note 2 10 2 3" xfId="4968" xr:uid="{00000000-0005-0000-0000-000026330000}"/>
    <cellStyle name="Note 2 10 2 3 2" xfId="9007" xr:uid="{00000000-0005-0000-0000-000027330000}"/>
    <cellStyle name="Note 2 10 2 3 2 2" xfId="17947" xr:uid="{00000000-0005-0000-0000-000028330000}"/>
    <cellStyle name="Note 2 10 2 3 2 2 2" xfId="32779" xr:uid="{00000000-0005-0000-0000-000029330000}"/>
    <cellStyle name="Note 2 10 2 3 2 3" xfId="24473" xr:uid="{00000000-0005-0000-0000-00002A330000}"/>
    <cellStyle name="Note 2 10 2 3 3" xfId="15290" xr:uid="{00000000-0005-0000-0000-00002B330000}"/>
    <cellStyle name="Note 2 10 2 3 3 2" xfId="30122" xr:uid="{00000000-0005-0000-0000-00002C330000}"/>
    <cellStyle name="Note 2 10 2 3 4" xfId="11548" xr:uid="{00000000-0005-0000-0000-00002D330000}"/>
    <cellStyle name="Note 2 10 2 3 4 2" xfId="26380" xr:uid="{00000000-0005-0000-0000-00002E330000}"/>
    <cellStyle name="Note 2 10 2 3 5" xfId="21999" xr:uid="{00000000-0005-0000-0000-00002F330000}"/>
    <cellStyle name="Note 2 10 2 4" xfId="2958" xr:uid="{00000000-0005-0000-0000-000030330000}"/>
    <cellStyle name="Note 2 10 2 4 2" xfId="7038" xr:uid="{00000000-0005-0000-0000-000031330000}"/>
    <cellStyle name="Note 2 10 2 4 2 2" xfId="16839" xr:uid="{00000000-0005-0000-0000-000032330000}"/>
    <cellStyle name="Note 2 10 2 4 2 2 2" xfId="31671" xr:uid="{00000000-0005-0000-0000-000033330000}"/>
    <cellStyle name="Note 2 10 2 4 2 3" xfId="23212" xr:uid="{00000000-0005-0000-0000-000034330000}"/>
    <cellStyle name="Note 2 10 2 4 3" xfId="13296" xr:uid="{00000000-0005-0000-0000-000035330000}"/>
    <cellStyle name="Note 2 10 2 4 3 2" xfId="28128" xr:uid="{00000000-0005-0000-0000-000036330000}"/>
    <cellStyle name="Note 2 10 2 4 4" xfId="10494" xr:uid="{00000000-0005-0000-0000-000037330000}"/>
    <cellStyle name="Note 2 10 2 4 4 2" xfId="25326" xr:uid="{00000000-0005-0000-0000-000038330000}"/>
    <cellStyle name="Note 2 10 2 4 5" xfId="20884" xr:uid="{00000000-0005-0000-0000-000039330000}"/>
    <cellStyle name="Note 2 10 2 5" xfId="6130" xr:uid="{00000000-0005-0000-0000-00003A330000}"/>
    <cellStyle name="Note 2 10 2 5 2" xfId="16317" xr:uid="{00000000-0005-0000-0000-00003B330000}"/>
    <cellStyle name="Note 2 10 2 5 2 2" xfId="31149" xr:uid="{00000000-0005-0000-0000-00003C330000}"/>
    <cellStyle name="Note 2 10 2 5 3" xfId="22663" xr:uid="{00000000-0005-0000-0000-00003D330000}"/>
    <cellStyle name="Note 2 10 2 6" xfId="12387" xr:uid="{00000000-0005-0000-0000-00003E330000}"/>
    <cellStyle name="Note 2 10 2 6 2" xfId="27219" xr:uid="{00000000-0005-0000-0000-00003F330000}"/>
    <cellStyle name="Note 2 10 2 7" xfId="9969" xr:uid="{00000000-0005-0000-0000-000040330000}"/>
    <cellStyle name="Note 2 10 2 7 2" xfId="24803" xr:uid="{00000000-0005-0000-0000-000041330000}"/>
    <cellStyle name="Note 2 10 2 8" xfId="20344" xr:uid="{00000000-0005-0000-0000-000042330000}"/>
    <cellStyle name="Note 2 10 3" xfId="3685" xr:uid="{00000000-0005-0000-0000-000043330000}"/>
    <cellStyle name="Note 2 10 3 2" xfId="7742" xr:uid="{00000000-0005-0000-0000-000044330000}"/>
    <cellStyle name="Note 2 10 3 2 2" xfId="17314" xr:uid="{00000000-0005-0000-0000-000045330000}"/>
    <cellStyle name="Note 2 10 3 2 2 2" xfId="32146" xr:uid="{00000000-0005-0000-0000-000046330000}"/>
    <cellStyle name="Note 2 10 3 2 3" xfId="23631" xr:uid="{00000000-0005-0000-0000-000047330000}"/>
    <cellStyle name="Note 2 10 3 3" xfId="14020" xr:uid="{00000000-0005-0000-0000-000048330000}"/>
    <cellStyle name="Note 2 10 3 3 2" xfId="28852" xr:uid="{00000000-0005-0000-0000-000049330000}"/>
    <cellStyle name="Note 2 10 3 4" xfId="10931" xr:uid="{00000000-0005-0000-0000-00004A330000}"/>
    <cellStyle name="Note 2 10 3 4 2" xfId="25763" xr:uid="{00000000-0005-0000-0000-00004B330000}"/>
    <cellStyle name="Note 2 10 3 5" xfId="21292" xr:uid="{00000000-0005-0000-0000-00004C330000}"/>
    <cellStyle name="Note 2 10 4" xfId="4548" xr:uid="{00000000-0005-0000-0000-00004D330000}"/>
    <cellStyle name="Note 2 10 4 2" xfId="8587" xr:uid="{00000000-0005-0000-0000-00004E330000}"/>
    <cellStyle name="Note 2 10 4 2 2" xfId="17707" xr:uid="{00000000-0005-0000-0000-00004F330000}"/>
    <cellStyle name="Note 2 10 4 2 2 2" xfId="32539" xr:uid="{00000000-0005-0000-0000-000050330000}"/>
    <cellStyle name="Note 2 10 4 2 3" xfId="24213" xr:uid="{00000000-0005-0000-0000-000051330000}"/>
    <cellStyle name="Note 2 10 4 3" xfId="14875" xr:uid="{00000000-0005-0000-0000-000052330000}"/>
    <cellStyle name="Note 2 10 4 3 2" xfId="29707" xr:uid="{00000000-0005-0000-0000-000053330000}"/>
    <cellStyle name="Note 2 10 4 4" xfId="11313" xr:uid="{00000000-0005-0000-0000-000054330000}"/>
    <cellStyle name="Note 2 10 4 4 2" xfId="26145" xr:uid="{00000000-0005-0000-0000-000055330000}"/>
    <cellStyle name="Note 2 10 4 5" xfId="21769" xr:uid="{00000000-0005-0000-0000-000056330000}"/>
    <cellStyle name="Note 2 10 5" xfId="2538" xr:uid="{00000000-0005-0000-0000-000057330000}"/>
    <cellStyle name="Note 2 10 5 2" xfId="6644" xr:uid="{00000000-0005-0000-0000-000058330000}"/>
    <cellStyle name="Note 2 10 5 2 2" xfId="16604" xr:uid="{00000000-0005-0000-0000-000059330000}"/>
    <cellStyle name="Note 2 10 5 2 2 2" xfId="31436" xr:uid="{00000000-0005-0000-0000-00005A330000}"/>
    <cellStyle name="Note 2 10 5 2 3" xfId="22982" xr:uid="{00000000-0005-0000-0000-00005B330000}"/>
    <cellStyle name="Note 2 10 5 3" xfId="12876" xr:uid="{00000000-0005-0000-0000-00005C330000}"/>
    <cellStyle name="Note 2 10 5 3 2" xfId="27708" xr:uid="{00000000-0005-0000-0000-00005D330000}"/>
    <cellStyle name="Note 2 10 5 4" xfId="10254" xr:uid="{00000000-0005-0000-0000-00005E330000}"/>
    <cellStyle name="Note 2 10 5 4 2" xfId="25086" xr:uid="{00000000-0005-0000-0000-00005F330000}"/>
    <cellStyle name="Note 2 10 5 5" xfId="20624" xr:uid="{00000000-0005-0000-0000-000060330000}"/>
    <cellStyle name="Note 2 10 6" xfId="5661" xr:uid="{00000000-0005-0000-0000-000061330000}"/>
    <cellStyle name="Note 2 10 6 2" xfId="15896" xr:uid="{00000000-0005-0000-0000-000062330000}"/>
    <cellStyle name="Note 2 10 6 2 2" xfId="30728" xr:uid="{00000000-0005-0000-0000-000063330000}"/>
    <cellStyle name="Note 2 10 6 3" xfId="22357" xr:uid="{00000000-0005-0000-0000-000064330000}"/>
    <cellStyle name="Note 2 10 7" xfId="11916" xr:uid="{00000000-0005-0000-0000-000065330000}"/>
    <cellStyle name="Note 2 10 7 2" xfId="26748" xr:uid="{00000000-0005-0000-0000-000066330000}"/>
    <cellStyle name="Note 2 10 8" xfId="9574" xr:uid="{00000000-0005-0000-0000-000067330000}"/>
    <cellStyle name="Note 2 10 8 2" xfId="19876" xr:uid="{00000000-0005-0000-0000-000068330000}"/>
    <cellStyle name="Note 2 11" xfId="1560" xr:uid="{00000000-0005-0000-0000-000069330000}"/>
    <cellStyle name="Note 2 11 2" xfId="2057" xr:uid="{00000000-0005-0000-0000-00006A330000}"/>
    <cellStyle name="Note 2 11 2 2" xfId="3118" xr:uid="{00000000-0005-0000-0000-00006B330000}"/>
    <cellStyle name="Note 2 11 2 2 2" xfId="7183" xr:uid="{00000000-0005-0000-0000-00006C330000}"/>
    <cellStyle name="Note 2 11 2 2 2 2" xfId="16979" xr:uid="{00000000-0005-0000-0000-00006D330000}"/>
    <cellStyle name="Note 2 11 2 2 2 2 2" xfId="31811" xr:uid="{00000000-0005-0000-0000-00006E330000}"/>
    <cellStyle name="Note 2 11 2 2 2 3" xfId="23257" xr:uid="{00000000-0005-0000-0000-00006F330000}"/>
    <cellStyle name="Note 2 11 2 2 3" xfId="13456" xr:uid="{00000000-0005-0000-0000-000070330000}"/>
    <cellStyle name="Note 2 11 2 2 3 2" xfId="28288" xr:uid="{00000000-0005-0000-0000-000071330000}"/>
    <cellStyle name="Note 2 11 2 2 4" xfId="10637" xr:uid="{00000000-0005-0000-0000-000072330000}"/>
    <cellStyle name="Note 2 11 2 2 4 2" xfId="25469" xr:uid="{00000000-0005-0000-0000-000073330000}"/>
    <cellStyle name="Note 2 11 2 2 5" xfId="20947" xr:uid="{00000000-0005-0000-0000-000074330000}"/>
    <cellStyle name="Note 2 11 2 3" xfId="5025" xr:uid="{00000000-0005-0000-0000-000075330000}"/>
    <cellStyle name="Note 2 11 2 3 2" xfId="9064" xr:uid="{00000000-0005-0000-0000-000076330000}"/>
    <cellStyle name="Note 2 11 2 3 2 2" xfId="17997" xr:uid="{00000000-0005-0000-0000-000077330000}"/>
    <cellStyle name="Note 2 11 2 3 2 2 2" xfId="32829" xr:uid="{00000000-0005-0000-0000-000078330000}"/>
    <cellStyle name="Note 2 11 2 3 2 3" xfId="24498" xr:uid="{00000000-0005-0000-0000-000079330000}"/>
    <cellStyle name="Note 2 11 2 3 3" xfId="15346" xr:uid="{00000000-0005-0000-0000-00007A330000}"/>
    <cellStyle name="Note 2 11 2 3 3 2" xfId="30178" xr:uid="{00000000-0005-0000-0000-00007B330000}"/>
    <cellStyle name="Note 2 11 2 3 4" xfId="11597" xr:uid="{00000000-0005-0000-0000-00007C330000}"/>
    <cellStyle name="Note 2 11 2 3 4 2" xfId="26429" xr:uid="{00000000-0005-0000-0000-00007D330000}"/>
    <cellStyle name="Note 2 11 2 3 5" xfId="22018" xr:uid="{00000000-0005-0000-0000-00007E330000}"/>
    <cellStyle name="Note 2 11 2 4" xfId="3015" xr:uid="{00000000-0005-0000-0000-00007F330000}"/>
    <cellStyle name="Note 2 11 2 4 2" xfId="7090" xr:uid="{00000000-0005-0000-0000-000080330000}"/>
    <cellStyle name="Note 2 11 2 4 2 2" xfId="16888" xr:uid="{00000000-0005-0000-0000-000081330000}"/>
    <cellStyle name="Note 2 11 2 4 2 2 2" xfId="31720" xr:uid="{00000000-0005-0000-0000-000082330000}"/>
    <cellStyle name="Note 2 11 2 4 2 3" xfId="23231" xr:uid="{00000000-0005-0000-0000-000083330000}"/>
    <cellStyle name="Note 2 11 2 4 3" xfId="13353" xr:uid="{00000000-0005-0000-0000-000084330000}"/>
    <cellStyle name="Note 2 11 2 4 3 2" xfId="28185" xr:uid="{00000000-0005-0000-0000-000085330000}"/>
    <cellStyle name="Note 2 11 2 4 4" xfId="10544" xr:uid="{00000000-0005-0000-0000-000086330000}"/>
    <cellStyle name="Note 2 11 2 4 4 2" xfId="25376" xr:uid="{00000000-0005-0000-0000-000087330000}"/>
    <cellStyle name="Note 2 11 2 4 5" xfId="20909" xr:uid="{00000000-0005-0000-0000-000088330000}"/>
    <cellStyle name="Note 2 11 2 5" xfId="6182" xr:uid="{00000000-0005-0000-0000-000089330000}"/>
    <cellStyle name="Note 2 11 2 5 2" xfId="16368" xr:uid="{00000000-0005-0000-0000-00008A330000}"/>
    <cellStyle name="Note 2 11 2 5 2 2" xfId="31200" xr:uid="{00000000-0005-0000-0000-00008B330000}"/>
    <cellStyle name="Note 2 11 2 5 3" xfId="22682" xr:uid="{00000000-0005-0000-0000-00008C330000}"/>
    <cellStyle name="Note 2 11 2 6" xfId="12438" xr:uid="{00000000-0005-0000-0000-00008D330000}"/>
    <cellStyle name="Note 2 11 2 6 2" xfId="27270" xr:uid="{00000000-0005-0000-0000-00008E330000}"/>
    <cellStyle name="Note 2 11 2 7" xfId="10020" xr:uid="{00000000-0005-0000-0000-00008F330000}"/>
    <cellStyle name="Note 2 11 2 7 2" xfId="24852" xr:uid="{00000000-0005-0000-0000-000090330000}"/>
    <cellStyle name="Note 2 11 2 8" xfId="20361" xr:uid="{00000000-0005-0000-0000-000091330000}"/>
    <cellStyle name="Note 2 11 3" xfId="3204" xr:uid="{00000000-0005-0000-0000-000092330000}"/>
    <cellStyle name="Note 2 11 3 2" xfId="7268" xr:uid="{00000000-0005-0000-0000-000093330000}"/>
    <cellStyle name="Note 2 11 3 2 2" xfId="17035" xr:uid="{00000000-0005-0000-0000-000094330000}"/>
    <cellStyle name="Note 2 11 3 2 2 2" xfId="31867" xr:uid="{00000000-0005-0000-0000-000095330000}"/>
    <cellStyle name="Note 2 11 3 2 3" xfId="23317" xr:uid="{00000000-0005-0000-0000-000096330000}"/>
    <cellStyle name="Note 2 11 3 3" xfId="13542" xr:uid="{00000000-0005-0000-0000-000097330000}"/>
    <cellStyle name="Note 2 11 3 3 2" xfId="28374" xr:uid="{00000000-0005-0000-0000-000098330000}"/>
    <cellStyle name="Note 2 11 3 4" xfId="10679" xr:uid="{00000000-0005-0000-0000-000099330000}"/>
    <cellStyle name="Note 2 11 3 4 2" xfId="25511" xr:uid="{00000000-0005-0000-0000-00009A330000}"/>
    <cellStyle name="Note 2 11 3 5" xfId="21007" xr:uid="{00000000-0005-0000-0000-00009B330000}"/>
    <cellStyle name="Note 2 11 4" xfId="4605" xr:uid="{00000000-0005-0000-0000-00009C330000}"/>
    <cellStyle name="Note 2 11 4 2" xfId="8644" xr:uid="{00000000-0005-0000-0000-00009D330000}"/>
    <cellStyle name="Note 2 11 4 2 2" xfId="17757" xr:uid="{00000000-0005-0000-0000-00009E330000}"/>
    <cellStyle name="Note 2 11 4 2 2 2" xfId="32589" xr:uid="{00000000-0005-0000-0000-00009F330000}"/>
    <cellStyle name="Note 2 11 4 2 3" xfId="24238" xr:uid="{00000000-0005-0000-0000-0000A0330000}"/>
    <cellStyle name="Note 2 11 4 3" xfId="14931" xr:uid="{00000000-0005-0000-0000-0000A1330000}"/>
    <cellStyle name="Note 2 11 4 3 2" xfId="29763" xr:uid="{00000000-0005-0000-0000-0000A2330000}"/>
    <cellStyle name="Note 2 11 4 4" xfId="11362" xr:uid="{00000000-0005-0000-0000-0000A3330000}"/>
    <cellStyle name="Note 2 11 4 4 2" xfId="26194" xr:uid="{00000000-0005-0000-0000-0000A4330000}"/>
    <cellStyle name="Note 2 11 4 5" xfId="21788" xr:uid="{00000000-0005-0000-0000-0000A5330000}"/>
    <cellStyle name="Note 2 11 5" xfId="2595" xr:uid="{00000000-0005-0000-0000-0000A6330000}"/>
    <cellStyle name="Note 2 11 5 2" xfId="6696" xr:uid="{00000000-0005-0000-0000-0000A7330000}"/>
    <cellStyle name="Note 2 11 5 2 2" xfId="16653" xr:uid="{00000000-0005-0000-0000-0000A8330000}"/>
    <cellStyle name="Note 2 11 5 2 2 2" xfId="31485" xr:uid="{00000000-0005-0000-0000-0000A9330000}"/>
    <cellStyle name="Note 2 11 5 2 3" xfId="23001" xr:uid="{00000000-0005-0000-0000-0000AA330000}"/>
    <cellStyle name="Note 2 11 5 3" xfId="12933" xr:uid="{00000000-0005-0000-0000-0000AB330000}"/>
    <cellStyle name="Note 2 11 5 3 2" xfId="27765" xr:uid="{00000000-0005-0000-0000-0000AC330000}"/>
    <cellStyle name="Note 2 11 5 4" xfId="10304" xr:uid="{00000000-0005-0000-0000-0000AD330000}"/>
    <cellStyle name="Note 2 11 5 4 2" xfId="25136" xr:uid="{00000000-0005-0000-0000-0000AE330000}"/>
    <cellStyle name="Note 2 11 5 5" xfId="20649" xr:uid="{00000000-0005-0000-0000-0000AF330000}"/>
    <cellStyle name="Note 2 11 6" xfId="5712" xr:uid="{00000000-0005-0000-0000-0000B0330000}"/>
    <cellStyle name="Note 2 11 6 2" xfId="15947" xr:uid="{00000000-0005-0000-0000-0000B1330000}"/>
    <cellStyle name="Note 2 11 6 2 2" xfId="30779" xr:uid="{00000000-0005-0000-0000-0000B2330000}"/>
    <cellStyle name="Note 2 11 6 3" xfId="22376" xr:uid="{00000000-0005-0000-0000-0000B3330000}"/>
    <cellStyle name="Note 2 11 7" xfId="11967" xr:uid="{00000000-0005-0000-0000-0000B4330000}"/>
    <cellStyle name="Note 2 11 7 2" xfId="26799" xr:uid="{00000000-0005-0000-0000-0000B5330000}"/>
    <cellStyle name="Note 2 11 8" xfId="9626" xr:uid="{00000000-0005-0000-0000-0000B6330000}"/>
    <cellStyle name="Note 2 11 8 2" xfId="19927" xr:uid="{00000000-0005-0000-0000-0000B7330000}"/>
    <cellStyle name="Note 2 12" xfId="1400" xr:uid="{00000000-0005-0000-0000-0000B8330000}"/>
    <cellStyle name="Note 2 12 2" xfId="1902" xr:uid="{00000000-0005-0000-0000-0000B9330000}"/>
    <cellStyle name="Note 2 12 2 2" xfId="3383" xr:uid="{00000000-0005-0000-0000-0000BA330000}"/>
    <cellStyle name="Note 2 12 2 2 2" xfId="7446" xr:uid="{00000000-0005-0000-0000-0000BB330000}"/>
    <cellStyle name="Note 2 12 2 2 2 2" xfId="17153" xr:uid="{00000000-0005-0000-0000-0000BC330000}"/>
    <cellStyle name="Note 2 12 2 2 2 2 2" xfId="31985" xr:uid="{00000000-0005-0000-0000-0000BD330000}"/>
    <cellStyle name="Note 2 12 2 2 2 3" xfId="23438" xr:uid="{00000000-0005-0000-0000-0000BE330000}"/>
    <cellStyle name="Note 2 12 2 2 3" xfId="13720" xr:uid="{00000000-0005-0000-0000-0000BF330000}"/>
    <cellStyle name="Note 2 12 2 2 3 2" xfId="28552" xr:uid="{00000000-0005-0000-0000-0000C0330000}"/>
    <cellStyle name="Note 2 12 2 2 4" xfId="10772" xr:uid="{00000000-0005-0000-0000-0000C1330000}"/>
    <cellStyle name="Note 2 12 2 2 4 2" xfId="25604" xr:uid="{00000000-0005-0000-0000-0000C2330000}"/>
    <cellStyle name="Note 2 12 2 2 5" xfId="21120" xr:uid="{00000000-0005-0000-0000-0000C3330000}"/>
    <cellStyle name="Note 2 12 2 3" xfId="4880" xr:uid="{00000000-0005-0000-0000-0000C4330000}"/>
    <cellStyle name="Note 2 12 2 3 2" xfId="8919" xr:uid="{00000000-0005-0000-0000-0000C5330000}"/>
    <cellStyle name="Note 2 12 2 3 2 2" xfId="17944" xr:uid="{00000000-0005-0000-0000-0000C6330000}"/>
    <cellStyle name="Note 2 12 2 3 2 2 2" xfId="32776" xr:uid="{00000000-0005-0000-0000-0000C7330000}"/>
    <cellStyle name="Note 2 12 2 3 2 3" xfId="24385" xr:uid="{00000000-0005-0000-0000-0000C8330000}"/>
    <cellStyle name="Note 2 12 2 3 3" xfId="15203" xr:uid="{00000000-0005-0000-0000-0000C9330000}"/>
    <cellStyle name="Note 2 12 2 3 3 2" xfId="30035" xr:uid="{00000000-0005-0000-0000-0000CA330000}"/>
    <cellStyle name="Note 2 12 2 3 4" xfId="11546" xr:uid="{00000000-0005-0000-0000-0000CB330000}"/>
    <cellStyle name="Note 2 12 2 3 4 2" xfId="26378" xr:uid="{00000000-0005-0000-0000-0000CC330000}"/>
    <cellStyle name="Note 2 12 2 3 5" xfId="21917" xr:uid="{00000000-0005-0000-0000-0000CD330000}"/>
    <cellStyle name="Note 2 12 2 4" xfId="2870" xr:uid="{00000000-0005-0000-0000-0000CE330000}"/>
    <cellStyle name="Note 2 12 2 4 2" xfId="6955" xr:uid="{00000000-0005-0000-0000-0000CF330000}"/>
    <cellStyle name="Note 2 12 2 4 2 2" xfId="16837" xr:uid="{00000000-0005-0000-0000-0000D0330000}"/>
    <cellStyle name="Note 2 12 2 4 2 2 2" xfId="31669" xr:uid="{00000000-0005-0000-0000-0000D1330000}"/>
    <cellStyle name="Note 2 12 2 4 2 3" xfId="23130" xr:uid="{00000000-0005-0000-0000-0000D2330000}"/>
    <cellStyle name="Note 2 12 2 4 3" xfId="13208" xr:uid="{00000000-0005-0000-0000-0000D3330000}"/>
    <cellStyle name="Note 2 12 2 4 3 2" xfId="28040" xr:uid="{00000000-0005-0000-0000-0000D4330000}"/>
    <cellStyle name="Note 2 12 2 4 4" xfId="10491" xr:uid="{00000000-0005-0000-0000-0000D5330000}"/>
    <cellStyle name="Note 2 12 2 4 4 2" xfId="25323" xr:uid="{00000000-0005-0000-0000-0000D6330000}"/>
    <cellStyle name="Note 2 12 2 4 5" xfId="20796" xr:uid="{00000000-0005-0000-0000-0000D7330000}"/>
    <cellStyle name="Note 2 12 2 5" xfId="6033" xr:uid="{00000000-0005-0000-0000-0000D8330000}"/>
    <cellStyle name="Note 2 12 2 5 2" xfId="16220" xr:uid="{00000000-0005-0000-0000-0000D9330000}"/>
    <cellStyle name="Note 2 12 2 5 2 2" xfId="31052" xr:uid="{00000000-0005-0000-0000-0000DA330000}"/>
    <cellStyle name="Note 2 12 2 5 3" xfId="22566" xr:uid="{00000000-0005-0000-0000-0000DB330000}"/>
    <cellStyle name="Note 2 12 2 6" xfId="12290" xr:uid="{00000000-0005-0000-0000-0000DC330000}"/>
    <cellStyle name="Note 2 12 2 6 2" xfId="27122" xr:uid="{00000000-0005-0000-0000-0000DD330000}"/>
    <cellStyle name="Note 2 12 2 7" xfId="9886" xr:uid="{00000000-0005-0000-0000-0000DE330000}"/>
    <cellStyle name="Note 2 12 2 7 2" xfId="24801" xr:uid="{00000000-0005-0000-0000-0000DF330000}"/>
    <cellStyle name="Note 2 12 2 8" xfId="20327" xr:uid="{00000000-0005-0000-0000-0000E0330000}"/>
    <cellStyle name="Note 2 12 3" xfId="3704" xr:uid="{00000000-0005-0000-0000-0000E1330000}"/>
    <cellStyle name="Note 2 12 3 2" xfId="7760" xr:uid="{00000000-0005-0000-0000-0000E2330000}"/>
    <cellStyle name="Note 2 12 3 2 2" xfId="17326" xr:uid="{00000000-0005-0000-0000-0000E3330000}"/>
    <cellStyle name="Note 2 12 3 2 2 2" xfId="32158" xr:uid="{00000000-0005-0000-0000-0000E4330000}"/>
    <cellStyle name="Note 2 12 3 2 3" xfId="23642" xr:uid="{00000000-0005-0000-0000-0000E5330000}"/>
    <cellStyle name="Note 2 12 3 3" xfId="14039" xr:uid="{00000000-0005-0000-0000-0000E6330000}"/>
    <cellStyle name="Note 2 12 3 3 2" xfId="28871" xr:uid="{00000000-0005-0000-0000-0000E7330000}"/>
    <cellStyle name="Note 2 12 3 4" xfId="10944" xr:uid="{00000000-0005-0000-0000-0000E8330000}"/>
    <cellStyle name="Note 2 12 3 4 2" xfId="25776" xr:uid="{00000000-0005-0000-0000-0000E9330000}"/>
    <cellStyle name="Note 2 12 3 5" xfId="21302" xr:uid="{00000000-0005-0000-0000-0000EA330000}"/>
    <cellStyle name="Note 2 12 4" xfId="4460" xr:uid="{00000000-0005-0000-0000-0000EB330000}"/>
    <cellStyle name="Note 2 12 4 2" xfId="8499" xr:uid="{00000000-0005-0000-0000-0000EC330000}"/>
    <cellStyle name="Note 2 12 4 2 2" xfId="17704" xr:uid="{00000000-0005-0000-0000-0000ED330000}"/>
    <cellStyle name="Note 2 12 4 2 2 2" xfId="32536" xr:uid="{00000000-0005-0000-0000-0000EE330000}"/>
    <cellStyle name="Note 2 12 4 2 3" xfId="24125" xr:uid="{00000000-0005-0000-0000-0000EF330000}"/>
    <cellStyle name="Note 2 12 4 3" xfId="14788" xr:uid="{00000000-0005-0000-0000-0000F0330000}"/>
    <cellStyle name="Note 2 12 4 3 2" xfId="29620" xr:uid="{00000000-0005-0000-0000-0000F1330000}"/>
    <cellStyle name="Note 2 12 4 4" xfId="11311" xr:uid="{00000000-0005-0000-0000-0000F2330000}"/>
    <cellStyle name="Note 2 12 4 4 2" xfId="26143" xr:uid="{00000000-0005-0000-0000-0000F3330000}"/>
    <cellStyle name="Note 2 12 4 5" xfId="21687" xr:uid="{00000000-0005-0000-0000-0000F4330000}"/>
    <cellStyle name="Note 2 12 5" xfId="2450" xr:uid="{00000000-0005-0000-0000-0000F5330000}"/>
    <cellStyle name="Note 2 12 5 2" xfId="6556" xr:uid="{00000000-0005-0000-0000-0000F6330000}"/>
    <cellStyle name="Note 2 12 5 2 2" xfId="16601" xr:uid="{00000000-0005-0000-0000-0000F7330000}"/>
    <cellStyle name="Note 2 12 5 2 2 2" xfId="31433" xr:uid="{00000000-0005-0000-0000-0000F8330000}"/>
    <cellStyle name="Note 2 12 5 2 3" xfId="22894" xr:uid="{00000000-0005-0000-0000-0000F9330000}"/>
    <cellStyle name="Note 2 12 5 3" xfId="12789" xr:uid="{00000000-0005-0000-0000-0000FA330000}"/>
    <cellStyle name="Note 2 12 5 3 2" xfId="27621" xr:uid="{00000000-0005-0000-0000-0000FB330000}"/>
    <cellStyle name="Note 2 12 5 4" xfId="10252" xr:uid="{00000000-0005-0000-0000-0000FC330000}"/>
    <cellStyle name="Note 2 12 5 4 2" xfId="25084" xr:uid="{00000000-0005-0000-0000-0000FD330000}"/>
    <cellStyle name="Note 2 12 5 5" xfId="20542" xr:uid="{00000000-0005-0000-0000-0000FE330000}"/>
    <cellStyle name="Note 2 12 6" xfId="5574" xr:uid="{00000000-0005-0000-0000-0000FF330000}"/>
    <cellStyle name="Note 2 12 6 2" xfId="15809" xr:uid="{00000000-0005-0000-0000-000000340000}"/>
    <cellStyle name="Note 2 12 6 2 2" xfId="30641" xr:uid="{00000000-0005-0000-0000-000001340000}"/>
    <cellStyle name="Note 2 12 6 3" xfId="22270" xr:uid="{00000000-0005-0000-0000-000002340000}"/>
    <cellStyle name="Note 2 12 7" xfId="11819" xr:uid="{00000000-0005-0000-0000-000003340000}"/>
    <cellStyle name="Note 2 12 7 2" xfId="26651" xr:uid="{00000000-0005-0000-0000-000004340000}"/>
    <cellStyle name="Note 2 12 8" xfId="9491" xr:uid="{00000000-0005-0000-0000-000005340000}"/>
    <cellStyle name="Note 2 12 8 2" xfId="19794" xr:uid="{00000000-0005-0000-0000-000006340000}"/>
    <cellStyle name="Note 2 13" xfId="1761" xr:uid="{00000000-0005-0000-0000-000007340000}"/>
    <cellStyle name="Note 2 13 2" xfId="3510" xr:uid="{00000000-0005-0000-0000-000008340000}"/>
    <cellStyle name="Note 2 13 2 2" xfId="7572" xr:uid="{00000000-0005-0000-0000-000009340000}"/>
    <cellStyle name="Note 2 13 2 2 2" xfId="17227" xr:uid="{00000000-0005-0000-0000-00000A340000}"/>
    <cellStyle name="Note 2 13 2 2 2 2" xfId="32059" xr:uid="{00000000-0005-0000-0000-00000B340000}"/>
    <cellStyle name="Note 2 13 2 2 3" xfId="23524" xr:uid="{00000000-0005-0000-0000-00000C340000}"/>
    <cellStyle name="Note 2 13 2 3" xfId="13847" xr:uid="{00000000-0005-0000-0000-00000D340000}"/>
    <cellStyle name="Note 2 13 2 3 2" xfId="28679" xr:uid="{00000000-0005-0000-0000-00000E340000}"/>
    <cellStyle name="Note 2 13 2 4" xfId="10845" xr:uid="{00000000-0005-0000-0000-00000F340000}"/>
    <cellStyle name="Note 2 13 2 4 2" xfId="25677" xr:uid="{00000000-0005-0000-0000-000010340000}"/>
    <cellStyle name="Note 2 13 2 5" xfId="21199" xr:uid="{00000000-0005-0000-0000-000011340000}"/>
    <cellStyle name="Note 2 13 3" xfId="4739" xr:uid="{00000000-0005-0000-0000-000012340000}"/>
    <cellStyle name="Note 2 13 3 2" xfId="8778" xr:uid="{00000000-0005-0000-0000-000013340000}"/>
    <cellStyle name="Note 2 13 3 2 2" xfId="17850" xr:uid="{00000000-0005-0000-0000-000014340000}"/>
    <cellStyle name="Note 2 13 3 2 2 2" xfId="32682" xr:uid="{00000000-0005-0000-0000-000015340000}"/>
    <cellStyle name="Note 2 13 3 2 3" xfId="24308" xr:uid="{00000000-0005-0000-0000-000016340000}"/>
    <cellStyle name="Note 2 13 3 3" xfId="15063" xr:uid="{00000000-0005-0000-0000-000017340000}"/>
    <cellStyle name="Note 2 13 3 3 2" xfId="29895" xr:uid="{00000000-0005-0000-0000-000018340000}"/>
    <cellStyle name="Note 2 13 3 4" xfId="11453" xr:uid="{00000000-0005-0000-0000-000019340000}"/>
    <cellStyle name="Note 2 13 3 4 2" xfId="26285" xr:uid="{00000000-0005-0000-0000-00001A340000}"/>
    <cellStyle name="Note 2 13 3 5" xfId="21846" xr:uid="{00000000-0005-0000-0000-00001B340000}"/>
    <cellStyle name="Note 2 13 4" xfId="2729" xr:uid="{00000000-0005-0000-0000-00001C340000}"/>
    <cellStyle name="Note 2 13 4 2" xfId="6820" xr:uid="{00000000-0005-0000-0000-00001D340000}"/>
    <cellStyle name="Note 2 13 4 2 2" xfId="16744" xr:uid="{00000000-0005-0000-0000-00001E340000}"/>
    <cellStyle name="Note 2 13 4 2 2 2" xfId="31576" xr:uid="{00000000-0005-0000-0000-00001F340000}"/>
    <cellStyle name="Note 2 13 4 2 3" xfId="23059" xr:uid="{00000000-0005-0000-0000-000020340000}"/>
    <cellStyle name="Note 2 13 4 3" xfId="13067" xr:uid="{00000000-0005-0000-0000-000021340000}"/>
    <cellStyle name="Note 2 13 4 3 2" xfId="27899" xr:uid="{00000000-0005-0000-0000-000022340000}"/>
    <cellStyle name="Note 2 13 4 4" xfId="10397" xr:uid="{00000000-0005-0000-0000-000023340000}"/>
    <cellStyle name="Note 2 13 4 4 2" xfId="25229" xr:uid="{00000000-0005-0000-0000-000024340000}"/>
    <cellStyle name="Note 2 13 4 5" xfId="20719" xr:uid="{00000000-0005-0000-0000-000025340000}"/>
    <cellStyle name="Note 2 13 5" xfId="5893" xr:uid="{00000000-0005-0000-0000-000026340000}"/>
    <cellStyle name="Note 2 13 5 2" xfId="16085" xr:uid="{00000000-0005-0000-0000-000027340000}"/>
    <cellStyle name="Note 2 13 5 2 2" xfId="30917" xr:uid="{00000000-0005-0000-0000-000028340000}"/>
    <cellStyle name="Note 2 13 5 3" xfId="22490" xr:uid="{00000000-0005-0000-0000-000029340000}"/>
    <cellStyle name="Note 2 13 6" xfId="12155" xr:uid="{00000000-0005-0000-0000-00002A340000}"/>
    <cellStyle name="Note 2 13 6 2" xfId="26987" xr:uid="{00000000-0005-0000-0000-00002B340000}"/>
    <cellStyle name="Note 2 13 7" xfId="9751" xr:uid="{00000000-0005-0000-0000-00002C340000}"/>
    <cellStyle name="Note 2 13 7 2" xfId="24708" xr:uid="{00000000-0005-0000-0000-00002D340000}"/>
    <cellStyle name="Note 2 13 8" xfId="20298" xr:uid="{00000000-0005-0000-0000-00002E340000}"/>
    <cellStyle name="Note 2 14" xfId="2205" xr:uid="{00000000-0005-0000-0000-00002F340000}"/>
    <cellStyle name="Note 2 14 2" xfId="3542" xr:uid="{00000000-0005-0000-0000-000030340000}"/>
    <cellStyle name="Note 2 14 2 2" xfId="7604" xr:uid="{00000000-0005-0000-0000-000031340000}"/>
    <cellStyle name="Note 2 14 2 2 2" xfId="17248" xr:uid="{00000000-0005-0000-0000-000032340000}"/>
    <cellStyle name="Note 2 14 2 2 2 2" xfId="32080" xr:uid="{00000000-0005-0000-0000-000033340000}"/>
    <cellStyle name="Note 2 14 2 2 3" xfId="23542" xr:uid="{00000000-0005-0000-0000-000034340000}"/>
    <cellStyle name="Note 2 14 2 3" xfId="13878" xr:uid="{00000000-0005-0000-0000-000035340000}"/>
    <cellStyle name="Note 2 14 2 3 2" xfId="28710" xr:uid="{00000000-0005-0000-0000-000036340000}"/>
    <cellStyle name="Note 2 14 2 4" xfId="10865" xr:uid="{00000000-0005-0000-0000-000037340000}"/>
    <cellStyle name="Note 2 14 2 4 2" xfId="25697" xr:uid="{00000000-0005-0000-0000-000038340000}"/>
    <cellStyle name="Note 2 14 2 5" xfId="21215" xr:uid="{00000000-0005-0000-0000-000039340000}"/>
    <cellStyle name="Note 2 14 3" xfId="5173" xr:uid="{00000000-0005-0000-0000-00003A340000}"/>
    <cellStyle name="Note 2 14 3 2" xfId="9212" xr:uid="{00000000-0005-0000-0000-00003B340000}"/>
    <cellStyle name="Note 2 14 3 2 2" xfId="18135" xr:uid="{00000000-0005-0000-0000-00003C340000}"/>
    <cellStyle name="Note 2 14 3 2 2 2" xfId="32967" xr:uid="{00000000-0005-0000-0000-00003D340000}"/>
    <cellStyle name="Note 2 14 3 2 3" xfId="24550" xr:uid="{00000000-0005-0000-0000-00003E340000}"/>
    <cellStyle name="Note 2 14 3 3" xfId="15491" xr:uid="{00000000-0005-0000-0000-00003F340000}"/>
    <cellStyle name="Note 2 14 3 3 2" xfId="30323" xr:uid="{00000000-0005-0000-0000-000040340000}"/>
    <cellStyle name="Note 2 14 3 4" xfId="11732" xr:uid="{00000000-0005-0000-0000-000041340000}"/>
    <cellStyle name="Note 2 14 3 4 2" xfId="26564" xr:uid="{00000000-0005-0000-0000-000042340000}"/>
    <cellStyle name="Note 2 14 3 5" xfId="22057" xr:uid="{00000000-0005-0000-0000-000043340000}"/>
    <cellStyle name="Note 2 14 4" xfId="4203" xr:uid="{00000000-0005-0000-0000-000044340000}"/>
    <cellStyle name="Note 2 14 4 2" xfId="8244" xr:uid="{00000000-0005-0000-0000-000045340000}"/>
    <cellStyle name="Note 2 14 4 2 2" xfId="17591" xr:uid="{00000000-0005-0000-0000-000046340000}"/>
    <cellStyle name="Note 2 14 4 2 2 2" xfId="32423" xr:uid="{00000000-0005-0000-0000-000047340000}"/>
    <cellStyle name="Note 2 14 4 2 3" xfId="23939" xr:uid="{00000000-0005-0000-0000-000048340000}"/>
    <cellStyle name="Note 2 14 4 3" xfId="14535" xr:uid="{00000000-0005-0000-0000-000049340000}"/>
    <cellStyle name="Note 2 14 4 3 2" xfId="29367" xr:uid="{00000000-0005-0000-0000-00004A340000}"/>
    <cellStyle name="Note 2 14 4 4" xfId="11211" xr:uid="{00000000-0005-0000-0000-00004B340000}"/>
    <cellStyle name="Note 2 14 4 4 2" xfId="26043" xr:uid="{00000000-0005-0000-0000-00004C340000}"/>
    <cellStyle name="Note 2 14 4 5" xfId="21564" xr:uid="{00000000-0005-0000-0000-00004D340000}"/>
    <cellStyle name="Note 2 14 5" xfId="6319" xr:uid="{00000000-0005-0000-0000-00004E340000}"/>
    <cellStyle name="Note 2 14 5 2" xfId="16503" xr:uid="{00000000-0005-0000-0000-00004F340000}"/>
    <cellStyle name="Note 2 14 5 2 2" xfId="31335" xr:uid="{00000000-0005-0000-0000-000050340000}"/>
    <cellStyle name="Note 2 14 5 3" xfId="22721" xr:uid="{00000000-0005-0000-0000-000051340000}"/>
    <cellStyle name="Note 2 14 6" xfId="12573" xr:uid="{00000000-0005-0000-0000-000052340000}"/>
    <cellStyle name="Note 2 14 6 2" xfId="27405" xr:uid="{00000000-0005-0000-0000-000053340000}"/>
    <cellStyle name="Note 2 14 7" xfId="10155" xr:uid="{00000000-0005-0000-0000-000054340000}"/>
    <cellStyle name="Note 2 14 7 2" xfId="24987" xr:uid="{00000000-0005-0000-0000-000055340000}"/>
    <cellStyle name="Note 2 14 8" xfId="20400" xr:uid="{00000000-0005-0000-0000-000056340000}"/>
    <cellStyle name="Note 2 15" xfId="3173" xr:uid="{00000000-0005-0000-0000-000057340000}"/>
    <cellStyle name="Note 2 15 2" xfId="7237" xr:uid="{00000000-0005-0000-0000-000058340000}"/>
    <cellStyle name="Note 2 15 2 2" xfId="17011" xr:uid="{00000000-0005-0000-0000-000059340000}"/>
    <cellStyle name="Note 2 15 2 2 2" xfId="31843" xr:uid="{00000000-0005-0000-0000-00005A340000}"/>
    <cellStyle name="Note 2 15 2 3" xfId="23297" xr:uid="{00000000-0005-0000-0000-00005B340000}"/>
    <cellStyle name="Note 2 15 3" xfId="13511" xr:uid="{00000000-0005-0000-0000-00005C340000}"/>
    <cellStyle name="Note 2 15 3 2" xfId="28343" xr:uid="{00000000-0005-0000-0000-00005D340000}"/>
    <cellStyle name="Note 2 15 4" xfId="10661" xr:uid="{00000000-0005-0000-0000-00005E340000}"/>
    <cellStyle name="Note 2 15 4 2" xfId="25493" xr:uid="{00000000-0005-0000-0000-00005F340000}"/>
    <cellStyle name="Note 2 15 5" xfId="20987" xr:uid="{00000000-0005-0000-0000-000060340000}"/>
    <cellStyle name="Note 2 16" xfId="3208" xr:uid="{00000000-0005-0000-0000-000061340000}"/>
    <cellStyle name="Note 2 16 2" xfId="7272" xr:uid="{00000000-0005-0000-0000-000062340000}"/>
    <cellStyle name="Note 2 16 2 2" xfId="17039" xr:uid="{00000000-0005-0000-0000-000063340000}"/>
    <cellStyle name="Note 2 16 2 2 2" xfId="31871" xr:uid="{00000000-0005-0000-0000-000064340000}"/>
    <cellStyle name="Note 2 16 2 3" xfId="23319" xr:uid="{00000000-0005-0000-0000-000065340000}"/>
    <cellStyle name="Note 2 16 3" xfId="13546" xr:uid="{00000000-0005-0000-0000-000066340000}"/>
    <cellStyle name="Note 2 16 3 2" xfId="28378" xr:uid="{00000000-0005-0000-0000-000067340000}"/>
    <cellStyle name="Note 2 16 4" xfId="10683" xr:uid="{00000000-0005-0000-0000-000068340000}"/>
    <cellStyle name="Note 2 16 4 2" xfId="25515" xr:uid="{00000000-0005-0000-0000-000069340000}"/>
    <cellStyle name="Note 2 16 5" xfId="21009" xr:uid="{00000000-0005-0000-0000-00006A340000}"/>
    <cellStyle name="Note 2 17" xfId="2302" xr:uid="{00000000-0005-0000-0000-00006B340000}"/>
    <cellStyle name="Note 2 17 2" xfId="6414" xr:uid="{00000000-0005-0000-0000-00006C340000}"/>
    <cellStyle name="Note 2 17 2 2" xfId="16507" xr:uid="{00000000-0005-0000-0000-00006D340000}"/>
    <cellStyle name="Note 2 17 2 2 2" xfId="31339" xr:uid="{00000000-0005-0000-0000-00006E340000}"/>
    <cellStyle name="Note 2 17 2 3" xfId="22816" xr:uid="{00000000-0005-0000-0000-00006F340000}"/>
    <cellStyle name="Note 2 17 3" xfId="12642" xr:uid="{00000000-0005-0000-0000-000070340000}"/>
    <cellStyle name="Note 2 17 3 2" xfId="27474" xr:uid="{00000000-0005-0000-0000-000071340000}"/>
    <cellStyle name="Note 2 17 4" xfId="10158" xr:uid="{00000000-0005-0000-0000-000072340000}"/>
    <cellStyle name="Note 2 17 4 2" xfId="24990" xr:uid="{00000000-0005-0000-0000-000073340000}"/>
    <cellStyle name="Note 2 17 5" xfId="20465" xr:uid="{00000000-0005-0000-0000-000074340000}"/>
    <cellStyle name="Note 2 18" xfId="5265" xr:uid="{00000000-0005-0000-0000-000075340000}"/>
    <cellStyle name="Note 2 18 2" xfId="9273" xr:uid="{00000000-0005-0000-0000-000076340000}"/>
    <cellStyle name="Note 2 18 2 2" xfId="18140" xr:uid="{00000000-0005-0000-0000-000077340000}"/>
    <cellStyle name="Note 2 18 2 2 2" xfId="32972" xr:uid="{00000000-0005-0000-0000-000078340000}"/>
    <cellStyle name="Note 2 18 2 3" xfId="24611" xr:uid="{00000000-0005-0000-0000-000079340000}"/>
    <cellStyle name="Note 2 18 3" xfId="15581" xr:uid="{00000000-0005-0000-0000-00007A340000}"/>
    <cellStyle name="Note 2 18 3 2" xfId="30413" xr:uid="{00000000-0005-0000-0000-00007B340000}"/>
    <cellStyle name="Note 2 18 4" xfId="22122" xr:uid="{00000000-0005-0000-0000-00007C340000}"/>
    <cellStyle name="Note 2 19" xfId="5423" xr:uid="{00000000-0005-0000-0000-00007D340000}"/>
    <cellStyle name="Note 2 19 2" xfId="15659" xr:uid="{00000000-0005-0000-0000-00007E340000}"/>
    <cellStyle name="Note 2 19 2 2" xfId="30491" xr:uid="{00000000-0005-0000-0000-00007F340000}"/>
    <cellStyle name="Note 2 19 3" xfId="22184" xr:uid="{00000000-0005-0000-0000-000080340000}"/>
    <cellStyle name="Note 2 2" xfId="1217" xr:uid="{00000000-0005-0000-0000-000081340000}"/>
    <cellStyle name="Note 2 2 10" xfId="2303" xr:uid="{00000000-0005-0000-0000-000082340000}"/>
    <cellStyle name="Note 2 2 10 2" xfId="6415" xr:uid="{00000000-0005-0000-0000-000083340000}"/>
    <cellStyle name="Note 2 2 10 2 2" xfId="16508" xr:uid="{00000000-0005-0000-0000-000084340000}"/>
    <cellStyle name="Note 2 2 10 2 2 2" xfId="31340" xr:uid="{00000000-0005-0000-0000-000085340000}"/>
    <cellStyle name="Note 2 2 10 2 3" xfId="22817" xr:uid="{00000000-0005-0000-0000-000086340000}"/>
    <cellStyle name="Note 2 2 10 3" xfId="12643" xr:uid="{00000000-0005-0000-0000-000087340000}"/>
    <cellStyle name="Note 2 2 10 3 2" xfId="27475" xr:uid="{00000000-0005-0000-0000-000088340000}"/>
    <cellStyle name="Note 2 2 10 4" xfId="10159" xr:uid="{00000000-0005-0000-0000-000089340000}"/>
    <cellStyle name="Note 2 2 10 4 2" xfId="24991" xr:uid="{00000000-0005-0000-0000-00008A340000}"/>
    <cellStyle name="Note 2 2 10 5" xfId="20466" xr:uid="{00000000-0005-0000-0000-00008B340000}"/>
    <cellStyle name="Note 2 2 11" xfId="5266" xr:uid="{00000000-0005-0000-0000-00008C340000}"/>
    <cellStyle name="Note 2 2 11 2" xfId="9274" xr:uid="{00000000-0005-0000-0000-00008D340000}"/>
    <cellStyle name="Note 2 2 11 2 2" xfId="18141" xr:uid="{00000000-0005-0000-0000-00008E340000}"/>
    <cellStyle name="Note 2 2 11 2 2 2" xfId="32973" xr:uid="{00000000-0005-0000-0000-00008F340000}"/>
    <cellStyle name="Note 2 2 11 2 3" xfId="24612" xr:uid="{00000000-0005-0000-0000-000090340000}"/>
    <cellStyle name="Note 2 2 11 3" xfId="15582" xr:uid="{00000000-0005-0000-0000-000091340000}"/>
    <cellStyle name="Note 2 2 11 3 2" xfId="30414" xr:uid="{00000000-0005-0000-0000-000092340000}"/>
    <cellStyle name="Note 2 2 11 4" xfId="22123" xr:uid="{00000000-0005-0000-0000-000093340000}"/>
    <cellStyle name="Note 2 2 12" xfId="5424" xr:uid="{00000000-0005-0000-0000-000094340000}"/>
    <cellStyle name="Note 2 2 12 2" xfId="15660" xr:uid="{00000000-0005-0000-0000-000095340000}"/>
    <cellStyle name="Note 2 2 12 2 2" xfId="30492" xr:uid="{00000000-0005-0000-0000-000096340000}"/>
    <cellStyle name="Note 2 2 12 3" xfId="22185" xr:uid="{00000000-0005-0000-0000-000097340000}"/>
    <cellStyle name="Note 2 2 13" xfId="9367" xr:uid="{00000000-0005-0000-0000-000098340000}"/>
    <cellStyle name="Note 2 2 13 2" xfId="24673" xr:uid="{00000000-0005-0000-0000-000099340000}"/>
    <cellStyle name="Note 2 2 14" xfId="5356" xr:uid="{00000000-0005-0000-0000-00009A340000}"/>
    <cellStyle name="Note 2 2 14 2" xfId="18230" xr:uid="{00000000-0005-0000-0000-00009B340000}"/>
    <cellStyle name="Note 2 2 2" xfId="1336" xr:uid="{00000000-0005-0000-0000-00009C340000}"/>
    <cellStyle name="Note 2 2 2 2" xfId="1840" xr:uid="{00000000-0005-0000-0000-00009D340000}"/>
    <cellStyle name="Note 2 2 2 2 2" xfId="3740" xr:uid="{00000000-0005-0000-0000-00009E340000}"/>
    <cellStyle name="Note 2 2 2 2 2 2" xfId="7796" xr:uid="{00000000-0005-0000-0000-00009F340000}"/>
    <cellStyle name="Note 2 2 2 2 2 2 2" xfId="17343" xr:uid="{00000000-0005-0000-0000-0000A0340000}"/>
    <cellStyle name="Note 2 2 2 2 2 2 2 2" xfId="32175" xr:uid="{00000000-0005-0000-0000-0000A1340000}"/>
    <cellStyle name="Note 2 2 2 2 2 2 3" xfId="23669" xr:uid="{00000000-0005-0000-0000-0000A2340000}"/>
    <cellStyle name="Note 2 2 2 2 2 3" xfId="14075" xr:uid="{00000000-0005-0000-0000-0000A3340000}"/>
    <cellStyle name="Note 2 2 2 2 2 3 2" xfId="28907" xr:uid="{00000000-0005-0000-0000-0000A4340000}"/>
    <cellStyle name="Note 2 2 2 2 2 4" xfId="10959" xr:uid="{00000000-0005-0000-0000-0000A5340000}"/>
    <cellStyle name="Note 2 2 2 2 2 4 2" xfId="25791" xr:uid="{00000000-0005-0000-0000-0000A6340000}"/>
    <cellStyle name="Note 2 2 2 2 2 5" xfId="21325" xr:uid="{00000000-0005-0000-0000-0000A7340000}"/>
    <cellStyle name="Note 2 2 2 2 3" xfId="4818" xr:uid="{00000000-0005-0000-0000-0000A8340000}"/>
    <cellStyle name="Note 2 2 2 2 3 2" xfId="8857" xr:uid="{00000000-0005-0000-0000-0000A9340000}"/>
    <cellStyle name="Note 2 2 2 2 3 2 2" xfId="17898" xr:uid="{00000000-0005-0000-0000-0000AA340000}"/>
    <cellStyle name="Note 2 2 2 2 3 2 2 2" xfId="32730" xr:uid="{00000000-0005-0000-0000-0000AB340000}"/>
    <cellStyle name="Note 2 2 2 2 3 2 3" xfId="24355" xr:uid="{00000000-0005-0000-0000-0000AC340000}"/>
    <cellStyle name="Note 2 2 2 2 3 3" xfId="15142" xr:uid="{00000000-0005-0000-0000-0000AD340000}"/>
    <cellStyle name="Note 2 2 2 2 3 3 2" xfId="29974" xr:uid="{00000000-0005-0000-0000-0000AE340000}"/>
    <cellStyle name="Note 2 2 2 2 3 4" xfId="11501" xr:uid="{00000000-0005-0000-0000-0000AF340000}"/>
    <cellStyle name="Note 2 2 2 2 3 4 2" xfId="26333" xr:uid="{00000000-0005-0000-0000-0000B0340000}"/>
    <cellStyle name="Note 2 2 2 2 3 5" xfId="21893" xr:uid="{00000000-0005-0000-0000-0000B1340000}"/>
    <cellStyle name="Note 2 2 2 2 4" xfId="2808" xr:uid="{00000000-0005-0000-0000-0000B2340000}"/>
    <cellStyle name="Note 2 2 2 2 4 2" xfId="6899" xr:uid="{00000000-0005-0000-0000-0000B3340000}"/>
    <cellStyle name="Note 2 2 2 2 4 2 2" xfId="16792" xr:uid="{00000000-0005-0000-0000-0000B4340000}"/>
    <cellStyle name="Note 2 2 2 2 4 2 2 2" xfId="31624" xr:uid="{00000000-0005-0000-0000-0000B5340000}"/>
    <cellStyle name="Note 2 2 2 2 4 2 3" xfId="23106" xr:uid="{00000000-0005-0000-0000-0000B6340000}"/>
    <cellStyle name="Note 2 2 2 2 4 3" xfId="13146" xr:uid="{00000000-0005-0000-0000-0000B7340000}"/>
    <cellStyle name="Note 2 2 2 2 4 3 2" xfId="27978" xr:uid="{00000000-0005-0000-0000-0000B8340000}"/>
    <cellStyle name="Note 2 2 2 2 4 4" xfId="10445" xr:uid="{00000000-0005-0000-0000-0000B9340000}"/>
    <cellStyle name="Note 2 2 2 2 4 4 2" xfId="25277" xr:uid="{00000000-0005-0000-0000-0000BA340000}"/>
    <cellStyle name="Note 2 2 2 2 4 5" xfId="20766" xr:uid="{00000000-0005-0000-0000-0000BB340000}"/>
    <cellStyle name="Note 2 2 2 2 5" xfId="5972" xr:uid="{00000000-0005-0000-0000-0000BC340000}"/>
    <cellStyle name="Note 2 2 2 2 5 2" xfId="16164" xr:uid="{00000000-0005-0000-0000-0000BD340000}"/>
    <cellStyle name="Note 2 2 2 2 5 2 2" xfId="30996" xr:uid="{00000000-0005-0000-0000-0000BE340000}"/>
    <cellStyle name="Note 2 2 2 2 5 3" xfId="22537" xr:uid="{00000000-0005-0000-0000-0000BF340000}"/>
    <cellStyle name="Note 2 2 2 2 6" xfId="12234" xr:uid="{00000000-0005-0000-0000-0000C0340000}"/>
    <cellStyle name="Note 2 2 2 2 6 2" xfId="27066" xr:uid="{00000000-0005-0000-0000-0000C1340000}"/>
    <cellStyle name="Note 2 2 2 2 7" xfId="9830" xr:uid="{00000000-0005-0000-0000-0000C2340000}"/>
    <cellStyle name="Note 2 2 2 2 7 2" xfId="24756" xr:uid="{00000000-0005-0000-0000-0000C3340000}"/>
    <cellStyle name="Note 2 2 2 2 8" xfId="20314" xr:uid="{00000000-0005-0000-0000-0000C4340000}"/>
    <cellStyle name="Note 2 2 2 3" xfId="3463" xr:uid="{00000000-0005-0000-0000-0000C5340000}"/>
    <cellStyle name="Note 2 2 2 3 2" xfId="7526" xr:uid="{00000000-0005-0000-0000-0000C6340000}"/>
    <cellStyle name="Note 2 2 2 3 2 2" xfId="17202" xr:uid="{00000000-0005-0000-0000-0000C7340000}"/>
    <cellStyle name="Note 2 2 2 3 2 2 2" xfId="32034" xr:uid="{00000000-0005-0000-0000-0000C8340000}"/>
    <cellStyle name="Note 2 2 2 3 2 3" xfId="23493" xr:uid="{00000000-0005-0000-0000-0000C9340000}"/>
    <cellStyle name="Note 2 2 2 3 3" xfId="13800" xr:uid="{00000000-0005-0000-0000-0000CA340000}"/>
    <cellStyle name="Note 2 2 2 3 3 2" xfId="28632" xr:uid="{00000000-0005-0000-0000-0000CB340000}"/>
    <cellStyle name="Note 2 2 2 3 4" xfId="10821" xr:uid="{00000000-0005-0000-0000-0000CC340000}"/>
    <cellStyle name="Note 2 2 2 3 4 2" xfId="25653" xr:uid="{00000000-0005-0000-0000-0000CD340000}"/>
    <cellStyle name="Note 2 2 2 3 5" xfId="21168" xr:uid="{00000000-0005-0000-0000-0000CE340000}"/>
    <cellStyle name="Note 2 2 2 4" xfId="4398" xr:uid="{00000000-0005-0000-0000-0000CF340000}"/>
    <cellStyle name="Note 2 2 2 4 2" xfId="8437" xr:uid="{00000000-0005-0000-0000-0000D0340000}"/>
    <cellStyle name="Note 2 2 2 4 2 2" xfId="17658" xr:uid="{00000000-0005-0000-0000-0000D1340000}"/>
    <cellStyle name="Note 2 2 2 4 2 2 2" xfId="32490" xr:uid="{00000000-0005-0000-0000-0000D2340000}"/>
    <cellStyle name="Note 2 2 2 4 2 3" xfId="24095" xr:uid="{00000000-0005-0000-0000-0000D3340000}"/>
    <cellStyle name="Note 2 2 2 4 3" xfId="14727" xr:uid="{00000000-0005-0000-0000-0000D4340000}"/>
    <cellStyle name="Note 2 2 2 4 3 2" xfId="29559" xr:uid="{00000000-0005-0000-0000-0000D5340000}"/>
    <cellStyle name="Note 2 2 2 4 4" xfId="11266" xr:uid="{00000000-0005-0000-0000-0000D6340000}"/>
    <cellStyle name="Note 2 2 2 4 4 2" xfId="26098" xr:uid="{00000000-0005-0000-0000-0000D7340000}"/>
    <cellStyle name="Note 2 2 2 4 5" xfId="21663" xr:uid="{00000000-0005-0000-0000-0000D8340000}"/>
    <cellStyle name="Note 2 2 2 5" xfId="2388" xr:uid="{00000000-0005-0000-0000-0000D9340000}"/>
    <cellStyle name="Note 2 2 2 5 2" xfId="6500" xr:uid="{00000000-0005-0000-0000-0000DA340000}"/>
    <cellStyle name="Note 2 2 2 5 2 2" xfId="16556" xr:uid="{00000000-0005-0000-0000-0000DB340000}"/>
    <cellStyle name="Note 2 2 2 5 2 2 2" xfId="31388" xr:uid="{00000000-0005-0000-0000-0000DC340000}"/>
    <cellStyle name="Note 2 2 2 5 2 3" xfId="22870" xr:uid="{00000000-0005-0000-0000-0000DD340000}"/>
    <cellStyle name="Note 2 2 2 5 3" xfId="12727" xr:uid="{00000000-0005-0000-0000-0000DE340000}"/>
    <cellStyle name="Note 2 2 2 5 3 2" xfId="27559" xr:uid="{00000000-0005-0000-0000-0000DF340000}"/>
    <cellStyle name="Note 2 2 2 5 4" xfId="10206" xr:uid="{00000000-0005-0000-0000-0000E0340000}"/>
    <cellStyle name="Note 2 2 2 5 4 2" xfId="25038" xr:uid="{00000000-0005-0000-0000-0000E1340000}"/>
    <cellStyle name="Note 2 2 2 5 5" xfId="20512" xr:uid="{00000000-0005-0000-0000-0000E2340000}"/>
    <cellStyle name="Note 2 2 2 6" xfId="5513" xr:uid="{00000000-0005-0000-0000-0000E3340000}"/>
    <cellStyle name="Note 2 2 2 6 2" xfId="15748" xr:uid="{00000000-0005-0000-0000-0000E4340000}"/>
    <cellStyle name="Note 2 2 2 6 2 2" xfId="30580" xr:uid="{00000000-0005-0000-0000-0000E5340000}"/>
    <cellStyle name="Note 2 2 2 6 3" xfId="22241" xr:uid="{00000000-0005-0000-0000-0000E6340000}"/>
    <cellStyle name="Note 2 2 2 7" xfId="11763" xr:uid="{00000000-0005-0000-0000-0000E7340000}"/>
    <cellStyle name="Note 2 2 2 7 2" xfId="26595" xr:uid="{00000000-0005-0000-0000-0000E8340000}"/>
    <cellStyle name="Note 2 2 2 8" xfId="9434" xr:uid="{00000000-0005-0000-0000-0000E9340000}"/>
    <cellStyle name="Note 2 2 2 8 2" xfId="19738" xr:uid="{00000000-0005-0000-0000-0000EA340000}"/>
    <cellStyle name="Note 2 2 3" xfId="1504" xr:uid="{00000000-0005-0000-0000-0000EB340000}"/>
    <cellStyle name="Note 2 2 3 2" xfId="2001" xr:uid="{00000000-0005-0000-0000-0000EC340000}"/>
    <cellStyle name="Note 2 2 3 2 2" xfId="3628" xr:uid="{00000000-0005-0000-0000-0000ED340000}"/>
    <cellStyle name="Note 2 2 3 2 2 2" xfId="7687" xr:uid="{00000000-0005-0000-0000-0000EE340000}"/>
    <cellStyle name="Note 2 2 3 2 2 2 2" xfId="17288" xr:uid="{00000000-0005-0000-0000-0000EF340000}"/>
    <cellStyle name="Note 2 2 3 2 2 2 2 2" xfId="32120" xr:uid="{00000000-0005-0000-0000-0000F0340000}"/>
    <cellStyle name="Note 2 2 3 2 2 2 3" xfId="23595" xr:uid="{00000000-0005-0000-0000-0000F1340000}"/>
    <cellStyle name="Note 2 2 3 2 2 3" xfId="13963" xr:uid="{00000000-0005-0000-0000-0000F2340000}"/>
    <cellStyle name="Note 2 2 3 2 2 3 2" xfId="28795" xr:uid="{00000000-0005-0000-0000-0000F3340000}"/>
    <cellStyle name="Note 2 2 3 2 2 4" xfId="10904" xr:uid="{00000000-0005-0000-0000-0000F4340000}"/>
    <cellStyle name="Note 2 2 3 2 2 4 2" xfId="25736" xr:uid="{00000000-0005-0000-0000-0000F5340000}"/>
    <cellStyle name="Note 2 2 3 2 2 5" xfId="21260" xr:uid="{00000000-0005-0000-0000-0000F6340000}"/>
    <cellStyle name="Note 2 2 3 2 3" xfId="4969" xr:uid="{00000000-0005-0000-0000-0000F7340000}"/>
    <cellStyle name="Note 2 2 3 2 3 2" xfId="9008" xr:uid="{00000000-0005-0000-0000-0000F8340000}"/>
    <cellStyle name="Note 2 2 3 2 3 2 2" xfId="17948" xr:uid="{00000000-0005-0000-0000-0000F9340000}"/>
    <cellStyle name="Note 2 2 3 2 3 2 2 2" xfId="32780" xr:uid="{00000000-0005-0000-0000-0000FA340000}"/>
    <cellStyle name="Note 2 2 3 2 3 2 3" xfId="24474" xr:uid="{00000000-0005-0000-0000-0000FB340000}"/>
    <cellStyle name="Note 2 2 3 2 3 3" xfId="15291" xr:uid="{00000000-0005-0000-0000-0000FC340000}"/>
    <cellStyle name="Note 2 2 3 2 3 3 2" xfId="30123" xr:uid="{00000000-0005-0000-0000-0000FD340000}"/>
    <cellStyle name="Note 2 2 3 2 3 4" xfId="11549" xr:uid="{00000000-0005-0000-0000-0000FE340000}"/>
    <cellStyle name="Note 2 2 3 2 3 4 2" xfId="26381" xr:uid="{00000000-0005-0000-0000-0000FF340000}"/>
    <cellStyle name="Note 2 2 3 2 3 5" xfId="22000" xr:uid="{00000000-0005-0000-0000-000000350000}"/>
    <cellStyle name="Note 2 2 3 2 4" xfId="2959" xr:uid="{00000000-0005-0000-0000-000001350000}"/>
    <cellStyle name="Note 2 2 3 2 4 2" xfId="7039" xr:uid="{00000000-0005-0000-0000-000002350000}"/>
    <cellStyle name="Note 2 2 3 2 4 2 2" xfId="16840" xr:uid="{00000000-0005-0000-0000-000003350000}"/>
    <cellStyle name="Note 2 2 3 2 4 2 2 2" xfId="31672" xr:uid="{00000000-0005-0000-0000-000004350000}"/>
    <cellStyle name="Note 2 2 3 2 4 2 3" xfId="23213" xr:uid="{00000000-0005-0000-0000-000005350000}"/>
    <cellStyle name="Note 2 2 3 2 4 3" xfId="13297" xr:uid="{00000000-0005-0000-0000-000006350000}"/>
    <cellStyle name="Note 2 2 3 2 4 3 2" xfId="28129" xr:uid="{00000000-0005-0000-0000-000007350000}"/>
    <cellStyle name="Note 2 2 3 2 4 4" xfId="10495" xr:uid="{00000000-0005-0000-0000-000008350000}"/>
    <cellStyle name="Note 2 2 3 2 4 4 2" xfId="25327" xr:uid="{00000000-0005-0000-0000-000009350000}"/>
    <cellStyle name="Note 2 2 3 2 4 5" xfId="20885" xr:uid="{00000000-0005-0000-0000-00000A350000}"/>
    <cellStyle name="Note 2 2 3 2 5" xfId="6131" xr:uid="{00000000-0005-0000-0000-00000B350000}"/>
    <cellStyle name="Note 2 2 3 2 5 2" xfId="16318" xr:uid="{00000000-0005-0000-0000-00000C350000}"/>
    <cellStyle name="Note 2 2 3 2 5 2 2" xfId="31150" xr:uid="{00000000-0005-0000-0000-00000D350000}"/>
    <cellStyle name="Note 2 2 3 2 5 3" xfId="22664" xr:uid="{00000000-0005-0000-0000-00000E350000}"/>
    <cellStyle name="Note 2 2 3 2 6" xfId="12388" xr:uid="{00000000-0005-0000-0000-00000F350000}"/>
    <cellStyle name="Note 2 2 3 2 6 2" xfId="27220" xr:uid="{00000000-0005-0000-0000-000010350000}"/>
    <cellStyle name="Note 2 2 3 2 7" xfId="9970" xr:uid="{00000000-0005-0000-0000-000011350000}"/>
    <cellStyle name="Note 2 2 3 2 7 2" xfId="24804" xr:uid="{00000000-0005-0000-0000-000012350000}"/>
    <cellStyle name="Note 2 2 3 2 8" xfId="20345" xr:uid="{00000000-0005-0000-0000-000013350000}"/>
    <cellStyle name="Note 2 2 3 3" xfId="4300" xr:uid="{00000000-0005-0000-0000-000014350000}"/>
    <cellStyle name="Note 2 2 3 3 2" xfId="8339" xr:uid="{00000000-0005-0000-0000-000015350000}"/>
    <cellStyle name="Note 2 2 3 3 2 2" xfId="17618" xr:uid="{00000000-0005-0000-0000-000016350000}"/>
    <cellStyle name="Note 2 2 3 3 2 2 2" xfId="32450" xr:uid="{00000000-0005-0000-0000-000017350000}"/>
    <cellStyle name="Note 2 2 3 3 2 3" xfId="24024" xr:uid="{00000000-0005-0000-0000-000018350000}"/>
    <cellStyle name="Note 2 2 3 3 3" xfId="14631" xr:uid="{00000000-0005-0000-0000-000019350000}"/>
    <cellStyle name="Note 2 2 3 3 3 2" xfId="29463" xr:uid="{00000000-0005-0000-0000-00001A350000}"/>
    <cellStyle name="Note 2 2 3 3 4" xfId="11230" xr:uid="{00000000-0005-0000-0000-00001B350000}"/>
    <cellStyle name="Note 2 2 3 3 4 2" xfId="26062" xr:uid="{00000000-0005-0000-0000-00001C350000}"/>
    <cellStyle name="Note 2 2 3 3 5" xfId="21621" xr:uid="{00000000-0005-0000-0000-00001D350000}"/>
    <cellStyle name="Note 2 2 3 4" xfId="4549" xr:uid="{00000000-0005-0000-0000-00001E350000}"/>
    <cellStyle name="Note 2 2 3 4 2" xfId="8588" xr:uid="{00000000-0005-0000-0000-00001F350000}"/>
    <cellStyle name="Note 2 2 3 4 2 2" xfId="17708" xr:uid="{00000000-0005-0000-0000-000020350000}"/>
    <cellStyle name="Note 2 2 3 4 2 2 2" xfId="32540" xr:uid="{00000000-0005-0000-0000-000021350000}"/>
    <cellStyle name="Note 2 2 3 4 2 3" xfId="24214" xr:uid="{00000000-0005-0000-0000-000022350000}"/>
    <cellStyle name="Note 2 2 3 4 3" xfId="14876" xr:uid="{00000000-0005-0000-0000-000023350000}"/>
    <cellStyle name="Note 2 2 3 4 3 2" xfId="29708" xr:uid="{00000000-0005-0000-0000-000024350000}"/>
    <cellStyle name="Note 2 2 3 4 4" xfId="11314" xr:uid="{00000000-0005-0000-0000-000025350000}"/>
    <cellStyle name="Note 2 2 3 4 4 2" xfId="26146" xr:uid="{00000000-0005-0000-0000-000026350000}"/>
    <cellStyle name="Note 2 2 3 4 5" xfId="21770" xr:uid="{00000000-0005-0000-0000-000027350000}"/>
    <cellStyle name="Note 2 2 3 5" xfId="2539" xr:uid="{00000000-0005-0000-0000-000028350000}"/>
    <cellStyle name="Note 2 2 3 5 2" xfId="6645" xr:uid="{00000000-0005-0000-0000-000029350000}"/>
    <cellStyle name="Note 2 2 3 5 2 2" xfId="16605" xr:uid="{00000000-0005-0000-0000-00002A350000}"/>
    <cellStyle name="Note 2 2 3 5 2 2 2" xfId="31437" xr:uid="{00000000-0005-0000-0000-00002B350000}"/>
    <cellStyle name="Note 2 2 3 5 2 3" xfId="22983" xr:uid="{00000000-0005-0000-0000-00002C350000}"/>
    <cellStyle name="Note 2 2 3 5 3" xfId="12877" xr:uid="{00000000-0005-0000-0000-00002D350000}"/>
    <cellStyle name="Note 2 2 3 5 3 2" xfId="27709" xr:uid="{00000000-0005-0000-0000-00002E350000}"/>
    <cellStyle name="Note 2 2 3 5 4" xfId="10255" xr:uid="{00000000-0005-0000-0000-00002F350000}"/>
    <cellStyle name="Note 2 2 3 5 4 2" xfId="25087" xr:uid="{00000000-0005-0000-0000-000030350000}"/>
    <cellStyle name="Note 2 2 3 5 5" xfId="20625" xr:uid="{00000000-0005-0000-0000-000031350000}"/>
    <cellStyle name="Note 2 2 3 6" xfId="5662" xr:uid="{00000000-0005-0000-0000-000032350000}"/>
    <cellStyle name="Note 2 2 3 6 2" xfId="15897" xr:uid="{00000000-0005-0000-0000-000033350000}"/>
    <cellStyle name="Note 2 2 3 6 2 2" xfId="30729" xr:uid="{00000000-0005-0000-0000-000034350000}"/>
    <cellStyle name="Note 2 2 3 6 3" xfId="22358" xr:uid="{00000000-0005-0000-0000-000035350000}"/>
    <cellStyle name="Note 2 2 3 7" xfId="11917" xr:uid="{00000000-0005-0000-0000-000036350000}"/>
    <cellStyle name="Note 2 2 3 7 2" xfId="26749" xr:uid="{00000000-0005-0000-0000-000037350000}"/>
    <cellStyle name="Note 2 2 3 8" xfId="9575" xr:uid="{00000000-0005-0000-0000-000038350000}"/>
    <cellStyle name="Note 2 2 3 8 2" xfId="19877" xr:uid="{00000000-0005-0000-0000-000039350000}"/>
    <cellStyle name="Note 2 2 4" xfId="1561" xr:uid="{00000000-0005-0000-0000-00003A350000}"/>
    <cellStyle name="Note 2 2 4 2" xfId="2058" xr:uid="{00000000-0005-0000-0000-00003B350000}"/>
    <cellStyle name="Note 2 2 4 2 2" xfId="3399" xr:uid="{00000000-0005-0000-0000-00003C350000}"/>
    <cellStyle name="Note 2 2 4 2 2 2" xfId="7462" xr:uid="{00000000-0005-0000-0000-00003D350000}"/>
    <cellStyle name="Note 2 2 4 2 2 2 2" xfId="17161" xr:uid="{00000000-0005-0000-0000-00003E350000}"/>
    <cellStyle name="Note 2 2 4 2 2 2 2 2" xfId="31993" xr:uid="{00000000-0005-0000-0000-00003F350000}"/>
    <cellStyle name="Note 2 2 4 2 2 2 3" xfId="23450" xr:uid="{00000000-0005-0000-0000-000040350000}"/>
    <cellStyle name="Note 2 2 4 2 2 3" xfId="13736" xr:uid="{00000000-0005-0000-0000-000041350000}"/>
    <cellStyle name="Note 2 2 4 2 2 3 2" xfId="28568" xr:uid="{00000000-0005-0000-0000-000042350000}"/>
    <cellStyle name="Note 2 2 4 2 2 4" xfId="10780" xr:uid="{00000000-0005-0000-0000-000043350000}"/>
    <cellStyle name="Note 2 2 4 2 2 4 2" xfId="25612" xr:uid="{00000000-0005-0000-0000-000044350000}"/>
    <cellStyle name="Note 2 2 4 2 2 5" xfId="21128" xr:uid="{00000000-0005-0000-0000-000045350000}"/>
    <cellStyle name="Note 2 2 4 2 3" xfId="5026" xr:uid="{00000000-0005-0000-0000-000046350000}"/>
    <cellStyle name="Note 2 2 4 2 3 2" xfId="9065" xr:uid="{00000000-0005-0000-0000-000047350000}"/>
    <cellStyle name="Note 2 2 4 2 3 2 2" xfId="17998" xr:uid="{00000000-0005-0000-0000-000048350000}"/>
    <cellStyle name="Note 2 2 4 2 3 2 2 2" xfId="32830" xr:uid="{00000000-0005-0000-0000-000049350000}"/>
    <cellStyle name="Note 2 2 4 2 3 2 3" xfId="24499" xr:uid="{00000000-0005-0000-0000-00004A350000}"/>
    <cellStyle name="Note 2 2 4 2 3 3" xfId="15347" xr:uid="{00000000-0005-0000-0000-00004B350000}"/>
    <cellStyle name="Note 2 2 4 2 3 3 2" xfId="30179" xr:uid="{00000000-0005-0000-0000-00004C350000}"/>
    <cellStyle name="Note 2 2 4 2 3 4" xfId="11598" xr:uid="{00000000-0005-0000-0000-00004D350000}"/>
    <cellStyle name="Note 2 2 4 2 3 4 2" xfId="26430" xr:uid="{00000000-0005-0000-0000-00004E350000}"/>
    <cellStyle name="Note 2 2 4 2 3 5" xfId="22019" xr:uid="{00000000-0005-0000-0000-00004F350000}"/>
    <cellStyle name="Note 2 2 4 2 4" xfId="3016" xr:uid="{00000000-0005-0000-0000-000050350000}"/>
    <cellStyle name="Note 2 2 4 2 4 2" xfId="7091" xr:uid="{00000000-0005-0000-0000-000051350000}"/>
    <cellStyle name="Note 2 2 4 2 4 2 2" xfId="16889" xr:uid="{00000000-0005-0000-0000-000052350000}"/>
    <cellStyle name="Note 2 2 4 2 4 2 2 2" xfId="31721" xr:uid="{00000000-0005-0000-0000-000053350000}"/>
    <cellStyle name="Note 2 2 4 2 4 2 3" xfId="23232" xr:uid="{00000000-0005-0000-0000-000054350000}"/>
    <cellStyle name="Note 2 2 4 2 4 3" xfId="13354" xr:uid="{00000000-0005-0000-0000-000055350000}"/>
    <cellStyle name="Note 2 2 4 2 4 3 2" xfId="28186" xr:uid="{00000000-0005-0000-0000-000056350000}"/>
    <cellStyle name="Note 2 2 4 2 4 4" xfId="10545" xr:uid="{00000000-0005-0000-0000-000057350000}"/>
    <cellStyle name="Note 2 2 4 2 4 4 2" xfId="25377" xr:uid="{00000000-0005-0000-0000-000058350000}"/>
    <cellStyle name="Note 2 2 4 2 4 5" xfId="20910" xr:uid="{00000000-0005-0000-0000-000059350000}"/>
    <cellStyle name="Note 2 2 4 2 5" xfId="6183" xr:uid="{00000000-0005-0000-0000-00005A350000}"/>
    <cellStyle name="Note 2 2 4 2 5 2" xfId="16369" xr:uid="{00000000-0005-0000-0000-00005B350000}"/>
    <cellStyle name="Note 2 2 4 2 5 2 2" xfId="31201" xr:uid="{00000000-0005-0000-0000-00005C350000}"/>
    <cellStyle name="Note 2 2 4 2 5 3" xfId="22683" xr:uid="{00000000-0005-0000-0000-00005D350000}"/>
    <cellStyle name="Note 2 2 4 2 6" xfId="12439" xr:uid="{00000000-0005-0000-0000-00005E350000}"/>
    <cellStyle name="Note 2 2 4 2 6 2" xfId="27271" xr:uid="{00000000-0005-0000-0000-00005F350000}"/>
    <cellStyle name="Note 2 2 4 2 7" xfId="10021" xr:uid="{00000000-0005-0000-0000-000060350000}"/>
    <cellStyle name="Note 2 2 4 2 7 2" xfId="24853" xr:uid="{00000000-0005-0000-0000-000061350000}"/>
    <cellStyle name="Note 2 2 4 2 8" xfId="20362" xr:uid="{00000000-0005-0000-0000-000062350000}"/>
    <cellStyle name="Note 2 2 4 3" xfId="3328" xr:uid="{00000000-0005-0000-0000-000063350000}"/>
    <cellStyle name="Note 2 2 4 3 2" xfId="7391" xr:uid="{00000000-0005-0000-0000-000064350000}"/>
    <cellStyle name="Note 2 2 4 3 2 2" xfId="17124" xr:uid="{00000000-0005-0000-0000-000065350000}"/>
    <cellStyle name="Note 2 2 4 3 2 2 2" xfId="31956" xr:uid="{00000000-0005-0000-0000-000066350000}"/>
    <cellStyle name="Note 2 2 4 3 2 3" xfId="23401" xr:uid="{00000000-0005-0000-0000-000067350000}"/>
    <cellStyle name="Note 2 2 4 3 3" xfId="13665" xr:uid="{00000000-0005-0000-0000-000068350000}"/>
    <cellStyle name="Note 2 2 4 3 3 2" xfId="28497" xr:uid="{00000000-0005-0000-0000-000069350000}"/>
    <cellStyle name="Note 2 2 4 3 4" xfId="10745" xr:uid="{00000000-0005-0000-0000-00006A350000}"/>
    <cellStyle name="Note 2 2 4 3 4 2" xfId="25577" xr:uid="{00000000-0005-0000-0000-00006B350000}"/>
    <cellStyle name="Note 2 2 4 3 5" xfId="21089" xr:uid="{00000000-0005-0000-0000-00006C350000}"/>
    <cellStyle name="Note 2 2 4 4" xfId="4606" xr:uid="{00000000-0005-0000-0000-00006D350000}"/>
    <cellStyle name="Note 2 2 4 4 2" xfId="8645" xr:uid="{00000000-0005-0000-0000-00006E350000}"/>
    <cellStyle name="Note 2 2 4 4 2 2" xfId="17758" xr:uid="{00000000-0005-0000-0000-00006F350000}"/>
    <cellStyle name="Note 2 2 4 4 2 2 2" xfId="32590" xr:uid="{00000000-0005-0000-0000-000070350000}"/>
    <cellStyle name="Note 2 2 4 4 2 3" xfId="24239" xr:uid="{00000000-0005-0000-0000-000071350000}"/>
    <cellStyle name="Note 2 2 4 4 3" xfId="14932" xr:uid="{00000000-0005-0000-0000-000072350000}"/>
    <cellStyle name="Note 2 2 4 4 3 2" xfId="29764" xr:uid="{00000000-0005-0000-0000-000073350000}"/>
    <cellStyle name="Note 2 2 4 4 4" xfId="11363" xr:uid="{00000000-0005-0000-0000-000074350000}"/>
    <cellStyle name="Note 2 2 4 4 4 2" xfId="26195" xr:uid="{00000000-0005-0000-0000-000075350000}"/>
    <cellStyle name="Note 2 2 4 4 5" xfId="21789" xr:uid="{00000000-0005-0000-0000-000076350000}"/>
    <cellStyle name="Note 2 2 4 5" xfId="2596" xr:uid="{00000000-0005-0000-0000-000077350000}"/>
    <cellStyle name="Note 2 2 4 5 2" xfId="6697" xr:uid="{00000000-0005-0000-0000-000078350000}"/>
    <cellStyle name="Note 2 2 4 5 2 2" xfId="16654" xr:uid="{00000000-0005-0000-0000-000079350000}"/>
    <cellStyle name="Note 2 2 4 5 2 2 2" xfId="31486" xr:uid="{00000000-0005-0000-0000-00007A350000}"/>
    <cellStyle name="Note 2 2 4 5 2 3" xfId="23002" xr:uid="{00000000-0005-0000-0000-00007B350000}"/>
    <cellStyle name="Note 2 2 4 5 3" xfId="12934" xr:uid="{00000000-0005-0000-0000-00007C350000}"/>
    <cellStyle name="Note 2 2 4 5 3 2" xfId="27766" xr:uid="{00000000-0005-0000-0000-00007D350000}"/>
    <cellStyle name="Note 2 2 4 5 4" xfId="10305" xr:uid="{00000000-0005-0000-0000-00007E350000}"/>
    <cellStyle name="Note 2 2 4 5 4 2" xfId="25137" xr:uid="{00000000-0005-0000-0000-00007F350000}"/>
    <cellStyle name="Note 2 2 4 5 5" xfId="20650" xr:uid="{00000000-0005-0000-0000-000080350000}"/>
    <cellStyle name="Note 2 2 4 6" xfId="5713" xr:uid="{00000000-0005-0000-0000-000081350000}"/>
    <cellStyle name="Note 2 2 4 6 2" xfId="15948" xr:uid="{00000000-0005-0000-0000-000082350000}"/>
    <cellStyle name="Note 2 2 4 6 2 2" xfId="30780" xr:uid="{00000000-0005-0000-0000-000083350000}"/>
    <cellStyle name="Note 2 2 4 6 3" xfId="22377" xr:uid="{00000000-0005-0000-0000-000084350000}"/>
    <cellStyle name="Note 2 2 4 7" xfId="11968" xr:uid="{00000000-0005-0000-0000-000085350000}"/>
    <cellStyle name="Note 2 2 4 7 2" xfId="26800" xr:uid="{00000000-0005-0000-0000-000086350000}"/>
    <cellStyle name="Note 2 2 4 8" xfId="9627" xr:uid="{00000000-0005-0000-0000-000087350000}"/>
    <cellStyle name="Note 2 2 4 8 2" xfId="19928" xr:uid="{00000000-0005-0000-0000-000088350000}"/>
    <cellStyle name="Note 2 2 5" xfId="1535" xr:uid="{00000000-0005-0000-0000-000089350000}"/>
    <cellStyle name="Note 2 2 5 2" xfId="2032" xr:uid="{00000000-0005-0000-0000-00008A350000}"/>
    <cellStyle name="Note 2 2 5 2 2" xfId="3428" xr:uid="{00000000-0005-0000-0000-00008B350000}"/>
    <cellStyle name="Note 2 2 5 2 2 2" xfId="7491" xr:uid="{00000000-0005-0000-0000-00008C350000}"/>
    <cellStyle name="Note 2 2 5 2 2 2 2" xfId="17185" xr:uid="{00000000-0005-0000-0000-00008D350000}"/>
    <cellStyle name="Note 2 2 5 2 2 2 2 2" xfId="32017" xr:uid="{00000000-0005-0000-0000-00008E350000}"/>
    <cellStyle name="Note 2 2 5 2 2 2 3" xfId="23469" xr:uid="{00000000-0005-0000-0000-00008F350000}"/>
    <cellStyle name="Note 2 2 5 2 2 3" xfId="13765" xr:uid="{00000000-0005-0000-0000-000090350000}"/>
    <cellStyle name="Note 2 2 5 2 2 3 2" xfId="28597" xr:uid="{00000000-0005-0000-0000-000091350000}"/>
    <cellStyle name="Note 2 2 5 2 2 4" xfId="10804" xr:uid="{00000000-0005-0000-0000-000092350000}"/>
    <cellStyle name="Note 2 2 5 2 2 4 2" xfId="25636" xr:uid="{00000000-0005-0000-0000-000093350000}"/>
    <cellStyle name="Note 2 2 5 2 2 5" xfId="21145" xr:uid="{00000000-0005-0000-0000-000094350000}"/>
    <cellStyle name="Note 2 2 5 2 3" xfId="5000" xr:uid="{00000000-0005-0000-0000-000095350000}"/>
    <cellStyle name="Note 2 2 5 2 3 2" xfId="9039" xr:uid="{00000000-0005-0000-0000-000096350000}"/>
    <cellStyle name="Note 2 2 5 2 3 2 2" xfId="17977" xr:uid="{00000000-0005-0000-0000-000097350000}"/>
    <cellStyle name="Note 2 2 5 2 3 2 2 2" xfId="32809" xr:uid="{00000000-0005-0000-0000-000098350000}"/>
    <cellStyle name="Note 2 2 5 2 3 2 3" xfId="24489" xr:uid="{00000000-0005-0000-0000-000099350000}"/>
    <cellStyle name="Note 2 2 5 2 3 3" xfId="15322" xr:uid="{00000000-0005-0000-0000-00009A350000}"/>
    <cellStyle name="Note 2 2 5 2 3 3 2" xfId="30154" xr:uid="{00000000-0005-0000-0000-00009B350000}"/>
    <cellStyle name="Note 2 2 5 2 3 4" xfId="11578" xr:uid="{00000000-0005-0000-0000-00009C350000}"/>
    <cellStyle name="Note 2 2 5 2 3 4 2" xfId="26410" xr:uid="{00000000-0005-0000-0000-00009D350000}"/>
    <cellStyle name="Note 2 2 5 2 3 5" xfId="22015" xr:uid="{00000000-0005-0000-0000-00009E350000}"/>
    <cellStyle name="Note 2 2 5 2 4" xfId="2990" xr:uid="{00000000-0005-0000-0000-00009F350000}"/>
    <cellStyle name="Note 2 2 5 2 4 2" xfId="7070" xr:uid="{00000000-0005-0000-0000-0000A0350000}"/>
    <cellStyle name="Note 2 2 5 2 4 2 2" xfId="16869" xr:uid="{00000000-0005-0000-0000-0000A1350000}"/>
    <cellStyle name="Note 2 2 5 2 4 2 2 2" xfId="31701" xr:uid="{00000000-0005-0000-0000-0000A2350000}"/>
    <cellStyle name="Note 2 2 5 2 4 2 3" xfId="23228" xr:uid="{00000000-0005-0000-0000-0000A3350000}"/>
    <cellStyle name="Note 2 2 5 2 4 3" xfId="13328" xr:uid="{00000000-0005-0000-0000-0000A4350000}"/>
    <cellStyle name="Note 2 2 5 2 4 3 2" xfId="28160" xr:uid="{00000000-0005-0000-0000-0000A5350000}"/>
    <cellStyle name="Note 2 2 5 2 4 4" xfId="10524" xr:uid="{00000000-0005-0000-0000-0000A6350000}"/>
    <cellStyle name="Note 2 2 5 2 4 4 2" xfId="25356" xr:uid="{00000000-0005-0000-0000-0000A7350000}"/>
    <cellStyle name="Note 2 2 5 2 4 5" xfId="20900" xr:uid="{00000000-0005-0000-0000-0000A8350000}"/>
    <cellStyle name="Note 2 2 5 2 5" xfId="6162" xr:uid="{00000000-0005-0000-0000-0000A9350000}"/>
    <cellStyle name="Note 2 2 5 2 5 2" xfId="16349" xr:uid="{00000000-0005-0000-0000-0000AA350000}"/>
    <cellStyle name="Note 2 2 5 2 5 2 2" xfId="31181" xr:uid="{00000000-0005-0000-0000-0000AB350000}"/>
    <cellStyle name="Note 2 2 5 2 5 3" xfId="22679" xr:uid="{00000000-0005-0000-0000-0000AC350000}"/>
    <cellStyle name="Note 2 2 5 2 6" xfId="12419" xr:uid="{00000000-0005-0000-0000-0000AD350000}"/>
    <cellStyle name="Note 2 2 5 2 6 2" xfId="27251" xr:uid="{00000000-0005-0000-0000-0000AE350000}"/>
    <cellStyle name="Note 2 2 5 2 7" xfId="10001" xr:uid="{00000000-0005-0000-0000-0000AF350000}"/>
    <cellStyle name="Note 2 2 5 2 7 2" xfId="24833" xr:uid="{00000000-0005-0000-0000-0000B0350000}"/>
    <cellStyle name="Note 2 2 5 2 8" xfId="20358" xr:uid="{00000000-0005-0000-0000-0000B1350000}"/>
    <cellStyle name="Note 2 2 5 3" xfId="3271" xr:uid="{00000000-0005-0000-0000-0000B2350000}"/>
    <cellStyle name="Note 2 2 5 3 2" xfId="7335" xr:uid="{00000000-0005-0000-0000-0000B3350000}"/>
    <cellStyle name="Note 2 2 5 3 2 2" xfId="17079" xr:uid="{00000000-0005-0000-0000-0000B4350000}"/>
    <cellStyle name="Note 2 2 5 3 2 2 2" xfId="31911" xr:uid="{00000000-0005-0000-0000-0000B5350000}"/>
    <cellStyle name="Note 2 2 5 3 2 3" xfId="23367" xr:uid="{00000000-0005-0000-0000-0000B6350000}"/>
    <cellStyle name="Note 2 2 5 3 3" xfId="13608" xr:uid="{00000000-0005-0000-0000-0000B7350000}"/>
    <cellStyle name="Note 2 2 5 3 3 2" xfId="28440" xr:uid="{00000000-0005-0000-0000-0000B8350000}"/>
    <cellStyle name="Note 2 2 5 3 4" xfId="10707" xr:uid="{00000000-0005-0000-0000-0000B9350000}"/>
    <cellStyle name="Note 2 2 5 3 4 2" xfId="25539" xr:uid="{00000000-0005-0000-0000-0000BA350000}"/>
    <cellStyle name="Note 2 2 5 3 5" xfId="21054" xr:uid="{00000000-0005-0000-0000-0000BB350000}"/>
    <cellStyle name="Note 2 2 5 4" xfId="4580" xr:uid="{00000000-0005-0000-0000-0000BC350000}"/>
    <cellStyle name="Note 2 2 5 4 2" xfId="8619" xr:uid="{00000000-0005-0000-0000-0000BD350000}"/>
    <cellStyle name="Note 2 2 5 4 2 2" xfId="17737" xr:uid="{00000000-0005-0000-0000-0000BE350000}"/>
    <cellStyle name="Note 2 2 5 4 2 2 2" xfId="32569" xr:uid="{00000000-0005-0000-0000-0000BF350000}"/>
    <cellStyle name="Note 2 2 5 4 2 3" xfId="24229" xr:uid="{00000000-0005-0000-0000-0000C0350000}"/>
    <cellStyle name="Note 2 2 5 4 3" xfId="14907" xr:uid="{00000000-0005-0000-0000-0000C1350000}"/>
    <cellStyle name="Note 2 2 5 4 3 2" xfId="29739" xr:uid="{00000000-0005-0000-0000-0000C2350000}"/>
    <cellStyle name="Note 2 2 5 4 4" xfId="11343" xr:uid="{00000000-0005-0000-0000-0000C3350000}"/>
    <cellStyle name="Note 2 2 5 4 4 2" xfId="26175" xr:uid="{00000000-0005-0000-0000-0000C4350000}"/>
    <cellStyle name="Note 2 2 5 4 5" xfId="21785" xr:uid="{00000000-0005-0000-0000-0000C5350000}"/>
    <cellStyle name="Note 2 2 5 5" xfId="2570" xr:uid="{00000000-0005-0000-0000-0000C6350000}"/>
    <cellStyle name="Note 2 2 5 5 2" xfId="6676" xr:uid="{00000000-0005-0000-0000-0000C7350000}"/>
    <cellStyle name="Note 2 2 5 5 2 2" xfId="16634" xr:uid="{00000000-0005-0000-0000-0000C8350000}"/>
    <cellStyle name="Note 2 2 5 5 2 2 2" xfId="31466" xr:uid="{00000000-0005-0000-0000-0000C9350000}"/>
    <cellStyle name="Note 2 2 5 5 2 3" xfId="22998" xr:uid="{00000000-0005-0000-0000-0000CA350000}"/>
    <cellStyle name="Note 2 2 5 5 3" xfId="12908" xr:uid="{00000000-0005-0000-0000-0000CB350000}"/>
    <cellStyle name="Note 2 2 5 5 3 2" xfId="27740" xr:uid="{00000000-0005-0000-0000-0000CC350000}"/>
    <cellStyle name="Note 2 2 5 5 4" xfId="10284" xr:uid="{00000000-0005-0000-0000-0000CD350000}"/>
    <cellStyle name="Note 2 2 5 5 4 2" xfId="25116" xr:uid="{00000000-0005-0000-0000-0000CE350000}"/>
    <cellStyle name="Note 2 2 5 5 5" xfId="20640" xr:uid="{00000000-0005-0000-0000-0000CF350000}"/>
    <cellStyle name="Note 2 2 5 6" xfId="5693" xr:uid="{00000000-0005-0000-0000-0000D0350000}"/>
    <cellStyle name="Note 2 2 5 6 2" xfId="15928" xr:uid="{00000000-0005-0000-0000-0000D1350000}"/>
    <cellStyle name="Note 2 2 5 6 2 2" xfId="30760" xr:uid="{00000000-0005-0000-0000-0000D2350000}"/>
    <cellStyle name="Note 2 2 5 6 3" xfId="22373" xr:uid="{00000000-0005-0000-0000-0000D3350000}"/>
    <cellStyle name="Note 2 2 5 7" xfId="11948" xr:uid="{00000000-0005-0000-0000-0000D4350000}"/>
    <cellStyle name="Note 2 2 5 7 2" xfId="26780" xr:uid="{00000000-0005-0000-0000-0000D5350000}"/>
    <cellStyle name="Note 2 2 5 8" xfId="9606" xr:uid="{00000000-0005-0000-0000-0000D6350000}"/>
    <cellStyle name="Note 2 2 5 8 2" xfId="19908" xr:uid="{00000000-0005-0000-0000-0000D7350000}"/>
    <cellStyle name="Note 2 2 6" xfId="1762" xr:uid="{00000000-0005-0000-0000-0000D8350000}"/>
    <cellStyle name="Note 2 2 6 2" xfId="3654" xr:uid="{00000000-0005-0000-0000-0000D9350000}"/>
    <cellStyle name="Note 2 2 6 2 2" xfId="7713" xr:uid="{00000000-0005-0000-0000-0000DA350000}"/>
    <cellStyle name="Note 2 2 6 2 2 2" xfId="17303" xr:uid="{00000000-0005-0000-0000-0000DB350000}"/>
    <cellStyle name="Note 2 2 6 2 2 2 2" xfId="32135" xr:uid="{00000000-0005-0000-0000-0000DC350000}"/>
    <cellStyle name="Note 2 2 6 2 2 3" xfId="23610" xr:uid="{00000000-0005-0000-0000-0000DD350000}"/>
    <cellStyle name="Note 2 2 6 2 3" xfId="13989" xr:uid="{00000000-0005-0000-0000-0000DE350000}"/>
    <cellStyle name="Note 2 2 6 2 3 2" xfId="28821" xr:uid="{00000000-0005-0000-0000-0000DF350000}"/>
    <cellStyle name="Note 2 2 6 2 4" xfId="10919" xr:uid="{00000000-0005-0000-0000-0000E0350000}"/>
    <cellStyle name="Note 2 2 6 2 4 2" xfId="25751" xr:uid="{00000000-0005-0000-0000-0000E1350000}"/>
    <cellStyle name="Note 2 2 6 2 5" xfId="21275" xr:uid="{00000000-0005-0000-0000-0000E2350000}"/>
    <cellStyle name="Note 2 2 6 3" xfId="4740" xr:uid="{00000000-0005-0000-0000-0000E3350000}"/>
    <cellStyle name="Note 2 2 6 3 2" xfId="8779" xr:uid="{00000000-0005-0000-0000-0000E4350000}"/>
    <cellStyle name="Note 2 2 6 3 2 2" xfId="17851" xr:uid="{00000000-0005-0000-0000-0000E5350000}"/>
    <cellStyle name="Note 2 2 6 3 2 2 2" xfId="32683" xr:uid="{00000000-0005-0000-0000-0000E6350000}"/>
    <cellStyle name="Note 2 2 6 3 2 3" xfId="24309" xr:uid="{00000000-0005-0000-0000-0000E7350000}"/>
    <cellStyle name="Note 2 2 6 3 3" xfId="15064" xr:uid="{00000000-0005-0000-0000-0000E8350000}"/>
    <cellStyle name="Note 2 2 6 3 3 2" xfId="29896" xr:uid="{00000000-0005-0000-0000-0000E9350000}"/>
    <cellStyle name="Note 2 2 6 3 4" xfId="11454" xr:uid="{00000000-0005-0000-0000-0000EA350000}"/>
    <cellStyle name="Note 2 2 6 3 4 2" xfId="26286" xr:uid="{00000000-0005-0000-0000-0000EB350000}"/>
    <cellStyle name="Note 2 2 6 3 5" xfId="21847" xr:uid="{00000000-0005-0000-0000-0000EC350000}"/>
    <cellStyle name="Note 2 2 6 4" xfId="2730" xr:uid="{00000000-0005-0000-0000-0000ED350000}"/>
    <cellStyle name="Note 2 2 6 4 2" xfId="6821" xr:uid="{00000000-0005-0000-0000-0000EE350000}"/>
    <cellStyle name="Note 2 2 6 4 2 2" xfId="16745" xr:uid="{00000000-0005-0000-0000-0000EF350000}"/>
    <cellStyle name="Note 2 2 6 4 2 2 2" xfId="31577" xr:uid="{00000000-0005-0000-0000-0000F0350000}"/>
    <cellStyle name="Note 2 2 6 4 2 3" xfId="23060" xr:uid="{00000000-0005-0000-0000-0000F1350000}"/>
    <cellStyle name="Note 2 2 6 4 3" xfId="13068" xr:uid="{00000000-0005-0000-0000-0000F2350000}"/>
    <cellStyle name="Note 2 2 6 4 3 2" xfId="27900" xr:uid="{00000000-0005-0000-0000-0000F3350000}"/>
    <cellStyle name="Note 2 2 6 4 4" xfId="10398" xr:uid="{00000000-0005-0000-0000-0000F4350000}"/>
    <cellStyle name="Note 2 2 6 4 4 2" xfId="25230" xr:uid="{00000000-0005-0000-0000-0000F5350000}"/>
    <cellStyle name="Note 2 2 6 4 5" xfId="20720" xr:uid="{00000000-0005-0000-0000-0000F6350000}"/>
    <cellStyle name="Note 2 2 6 5" xfId="5894" xr:uid="{00000000-0005-0000-0000-0000F7350000}"/>
    <cellStyle name="Note 2 2 6 5 2" xfId="16086" xr:uid="{00000000-0005-0000-0000-0000F8350000}"/>
    <cellStyle name="Note 2 2 6 5 2 2" xfId="30918" xr:uid="{00000000-0005-0000-0000-0000F9350000}"/>
    <cellStyle name="Note 2 2 6 5 3" xfId="22491" xr:uid="{00000000-0005-0000-0000-0000FA350000}"/>
    <cellStyle name="Note 2 2 6 6" xfId="12156" xr:uid="{00000000-0005-0000-0000-0000FB350000}"/>
    <cellStyle name="Note 2 2 6 6 2" xfId="26988" xr:uid="{00000000-0005-0000-0000-0000FC350000}"/>
    <cellStyle name="Note 2 2 6 7" xfId="9752" xr:uid="{00000000-0005-0000-0000-0000FD350000}"/>
    <cellStyle name="Note 2 2 6 7 2" xfId="24709" xr:uid="{00000000-0005-0000-0000-0000FE350000}"/>
    <cellStyle name="Note 2 2 6 8" xfId="20299" xr:uid="{00000000-0005-0000-0000-0000FF350000}"/>
    <cellStyle name="Note 2 2 7" xfId="2204" xr:uid="{00000000-0005-0000-0000-000000360000}"/>
    <cellStyle name="Note 2 2 7 2" xfId="4102" xr:uid="{00000000-0005-0000-0000-000001360000}"/>
    <cellStyle name="Note 2 2 7 2 2" xfId="8148" xr:uid="{00000000-0005-0000-0000-000002360000}"/>
    <cellStyle name="Note 2 2 7 2 2 2" xfId="17519" xr:uid="{00000000-0005-0000-0000-000003360000}"/>
    <cellStyle name="Note 2 2 7 2 2 2 2" xfId="32351" xr:uid="{00000000-0005-0000-0000-000004360000}"/>
    <cellStyle name="Note 2 2 7 2 2 3" xfId="23892" xr:uid="{00000000-0005-0000-0000-000005360000}"/>
    <cellStyle name="Note 2 2 7 2 3" xfId="14434" xr:uid="{00000000-0005-0000-0000-000006360000}"/>
    <cellStyle name="Note 2 2 7 2 3 2" xfId="29266" xr:uid="{00000000-0005-0000-0000-000007360000}"/>
    <cellStyle name="Note 2 2 7 2 4" xfId="11136" xr:uid="{00000000-0005-0000-0000-000008360000}"/>
    <cellStyle name="Note 2 2 7 2 4 2" xfId="25968" xr:uid="{00000000-0005-0000-0000-000009360000}"/>
    <cellStyle name="Note 2 2 7 2 5" xfId="21522" xr:uid="{00000000-0005-0000-0000-00000A360000}"/>
    <cellStyle name="Note 2 2 7 3" xfId="5172" xr:uid="{00000000-0005-0000-0000-00000B360000}"/>
    <cellStyle name="Note 2 2 7 3 2" xfId="9211" xr:uid="{00000000-0005-0000-0000-00000C360000}"/>
    <cellStyle name="Note 2 2 7 3 2 2" xfId="18134" xr:uid="{00000000-0005-0000-0000-00000D360000}"/>
    <cellStyle name="Note 2 2 7 3 2 2 2" xfId="32966" xr:uid="{00000000-0005-0000-0000-00000E360000}"/>
    <cellStyle name="Note 2 2 7 3 2 3" xfId="24549" xr:uid="{00000000-0005-0000-0000-00000F360000}"/>
    <cellStyle name="Note 2 2 7 3 3" xfId="15490" xr:uid="{00000000-0005-0000-0000-000010360000}"/>
    <cellStyle name="Note 2 2 7 3 3 2" xfId="30322" xr:uid="{00000000-0005-0000-0000-000011360000}"/>
    <cellStyle name="Note 2 2 7 3 4" xfId="11731" xr:uid="{00000000-0005-0000-0000-000012360000}"/>
    <cellStyle name="Note 2 2 7 3 4 2" xfId="26563" xr:uid="{00000000-0005-0000-0000-000013360000}"/>
    <cellStyle name="Note 2 2 7 3 5" xfId="22056" xr:uid="{00000000-0005-0000-0000-000014360000}"/>
    <cellStyle name="Note 2 2 7 4" xfId="4202" xr:uid="{00000000-0005-0000-0000-000015360000}"/>
    <cellStyle name="Note 2 2 7 4 2" xfId="8243" xr:uid="{00000000-0005-0000-0000-000016360000}"/>
    <cellStyle name="Note 2 2 7 4 2 2" xfId="17590" xr:uid="{00000000-0005-0000-0000-000017360000}"/>
    <cellStyle name="Note 2 2 7 4 2 2 2" xfId="32422" xr:uid="{00000000-0005-0000-0000-000018360000}"/>
    <cellStyle name="Note 2 2 7 4 2 3" xfId="23938" xr:uid="{00000000-0005-0000-0000-000019360000}"/>
    <cellStyle name="Note 2 2 7 4 3" xfId="14534" xr:uid="{00000000-0005-0000-0000-00001A360000}"/>
    <cellStyle name="Note 2 2 7 4 3 2" xfId="29366" xr:uid="{00000000-0005-0000-0000-00001B360000}"/>
    <cellStyle name="Note 2 2 7 4 4" xfId="11210" xr:uid="{00000000-0005-0000-0000-00001C360000}"/>
    <cellStyle name="Note 2 2 7 4 4 2" xfId="26042" xr:uid="{00000000-0005-0000-0000-00001D360000}"/>
    <cellStyle name="Note 2 2 7 4 5" xfId="21563" xr:uid="{00000000-0005-0000-0000-00001E360000}"/>
    <cellStyle name="Note 2 2 7 5" xfId="6318" xr:uid="{00000000-0005-0000-0000-00001F360000}"/>
    <cellStyle name="Note 2 2 7 5 2" xfId="16502" xr:uid="{00000000-0005-0000-0000-000020360000}"/>
    <cellStyle name="Note 2 2 7 5 2 2" xfId="31334" xr:uid="{00000000-0005-0000-0000-000021360000}"/>
    <cellStyle name="Note 2 2 7 5 3" xfId="22720" xr:uid="{00000000-0005-0000-0000-000022360000}"/>
    <cellStyle name="Note 2 2 7 6" xfId="12572" xr:uid="{00000000-0005-0000-0000-000023360000}"/>
    <cellStyle name="Note 2 2 7 6 2" xfId="27404" xr:uid="{00000000-0005-0000-0000-000024360000}"/>
    <cellStyle name="Note 2 2 7 7" xfId="10154" xr:uid="{00000000-0005-0000-0000-000025360000}"/>
    <cellStyle name="Note 2 2 7 7 2" xfId="24986" xr:uid="{00000000-0005-0000-0000-000026360000}"/>
    <cellStyle name="Note 2 2 7 8" xfId="20399" xr:uid="{00000000-0005-0000-0000-000027360000}"/>
    <cellStyle name="Note 2 2 8" xfId="3289" xr:uid="{00000000-0005-0000-0000-000028360000}"/>
    <cellStyle name="Note 2 2 8 2" xfId="7353" xr:uid="{00000000-0005-0000-0000-000029360000}"/>
    <cellStyle name="Note 2 2 8 2 2" xfId="17095" xr:uid="{00000000-0005-0000-0000-00002A360000}"/>
    <cellStyle name="Note 2 2 8 2 2 2" xfId="31927" xr:uid="{00000000-0005-0000-0000-00002B360000}"/>
    <cellStyle name="Note 2 2 8 2 3" xfId="23379" xr:uid="{00000000-0005-0000-0000-00002C360000}"/>
    <cellStyle name="Note 2 2 8 3" xfId="13626" xr:uid="{00000000-0005-0000-0000-00002D360000}"/>
    <cellStyle name="Note 2 2 8 3 2" xfId="28458" xr:uid="{00000000-0005-0000-0000-00002E360000}"/>
    <cellStyle name="Note 2 2 8 4" xfId="10721" xr:uid="{00000000-0005-0000-0000-00002F360000}"/>
    <cellStyle name="Note 2 2 8 4 2" xfId="25553" xr:uid="{00000000-0005-0000-0000-000030360000}"/>
    <cellStyle name="Note 2 2 8 5" xfId="21066" xr:uid="{00000000-0005-0000-0000-000031360000}"/>
    <cellStyle name="Note 2 2 9" xfId="4271" xr:uid="{00000000-0005-0000-0000-000032360000}"/>
    <cellStyle name="Note 2 2 9 2" xfId="8310" xr:uid="{00000000-0005-0000-0000-000033360000}"/>
    <cellStyle name="Note 2 2 9 2 2" xfId="17597" xr:uid="{00000000-0005-0000-0000-000034360000}"/>
    <cellStyle name="Note 2 2 9 2 2 2" xfId="32429" xr:uid="{00000000-0005-0000-0000-000035360000}"/>
    <cellStyle name="Note 2 2 9 2 3" xfId="24004" xr:uid="{00000000-0005-0000-0000-000036360000}"/>
    <cellStyle name="Note 2 2 9 3" xfId="14603" xr:uid="{00000000-0005-0000-0000-000037360000}"/>
    <cellStyle name="Note 2 2 9 3 2" xfId="29435" xr:uid="{00000000-0005-0000-0000-000038360000}"/>
    <cellStyle name="Note 2 2 9 4" xfId="11216" xr:uid="{00000000-0005-0000-0000-000039360000}"/>
    <cellStyle name="Note 2 2 9 4 2" xfId="26048" xr:uid="{00000000-0005-0000-0000-00003A360000}"/>
    <cellStyle name="Note 2 2 9 5" xfId="21604" xr:uid="{00000000-0005-0000-0000-00003B360000}"/>
    <cellStyle name="Note 2 20" xfId="9368" xr:uid="{00000000-0005-0000-0000-00003C360000}"/>
    <cellStyle name="Note 2 20 2" xfId="24674" xr:uid="{00000000-0005-0000-0000-00003D360000}"/>
    <cellStyle name="Note 2 21" xfId="5357" xr:uid="{00000000-0005-0000-0000-00003E360000}"/>
    <cellStyle name="Note 2 21 2" xfId="18231" xr:uid="{00000000-0005-0000-0000-00003F360000}"/>
    <cellStyle name="Note 2 3" xfId="1218" xr:uid="{00000000-0005-0000-0000-000040360000}"/>
    <cellStyle name="Note 2 3 10" xfId="2304" xr:uid="{00000000-0005-0000-0000-000041360000}"/>
    <cellStyle name="Note 2 3 10 2" xfId="6416" xr:uid="{00000000-0005-0000-0000-000042360000}"/>
    <cellStyle name="Note 2 3 10 2 2" xfId="16509" xr:uid="{00000000-0005-0000-0000-000043360000}"/>
    <cellStyle name="Note 2 3 10 2 2 2" xfId="31341" xr:uid="{00000000-0005-0000-0000-000044360000}"/>
    <cellStyle name="Note 2 3 10 2 3" xfId="22818" xr:uid="{00000000-0005-0000-0000-000045360000}"/>
    <cellStyle name="Note 2 3 10 3" xfId="12644" xr:uid="{00000000-0005-0000-0000-000046360000}"/>
    <cellStyle name="Note 2 3 10 3 2" xfId="27476" xr:uid="{00000000-0005-0000-0000-000047360000}"/>
    <cellStyle name="Note 2 3 10 4" xfId="10160" xr:uid="{00000000-0005-0000-0000-000048360000}"/>
    <cellStyle name="Note 2 3 10 4 2" xfId="24992" xr:uid="{00000000-0005-0000-0000-000049360000}"/>
    <cellStyle name="Note 2 3 10 5" xfId="20467" xr:uid="{00000000-0005-0000-0000-00004A360000}"/>
    <cellStyle name="Note 2 3 11" xfId="5267" xr:uid="{00000000-0005-0000-0000-00004B360000}"/>
    <cellStyle name="Note 2 3 11 2" xfId="9275" xr:uid="{00000000-0005-0000-0000-00004C360000}"/>
    <cellStyle name="Note 2 3 11 2 2" xfId="18142" xr:uid="{00000000-0005-0000-0000-00004D360000}"/>
    <cellStyle name="Note 2 3 11 2 2 2" xfId="32974" xr:uid="{00000000-0005-0000-0000-00004E360000}"/>
    <cellStyle name="Note 2 3 11 2 3" xfId="24613" xr:uid="{00000000-0005-0000-0000-00004F360000}"/>
    <cellStyle name="Note 2 3 11 3" xfId="15583" xr:uid="{00000000-0005-0000-0000-000050360000}"/>
    <cellStyle name="Note 2 3 11 3 2" xfId="30415" xr:uid="{00000000-0005-0000-0000-000051360000}"/>
    <cellStyle name="Note 2 3 11 4" xfId="22124" xr:uid="{00000000-0005-0000-0000-000052360000}"/>
    <cellStyle name="Note 2 3 12" xfId="5425" xr:uid="{00000000-0005-0000-0000-000053360000}"/>
    <cellStyle name="Note 2 3 12 2" xfId="15661" xr:uid="{00000000-0005-0000-0000-000054360000}"/>
    <cellStyle name="Note 2 3 12 2 2" xfId="30493" xr:uid="{00000000-0005-0000-0000-000055360000}"/>
    <cellStyle name="Note 2 3 12 3" xfId="22186" xr:uid="{00000000-0005-0000-0000-000056360000}"/>
    <cellStyle name="Note 2 3 13" xfId="9366" xr:uid="{00000000-0005-0000-0000-000057360000}"/>
    <cellStyle name="Note 2 3 13 2" xfId="24672" xr:uid="{00000000-0005-0000-0000-000058360000}"/>
    <cellStyle name="Note 2 3 14" xfId="5355" xr:uid="{00000000-0005-0000-0000-000059360000}"/>
    <cellStyle name="Note 2 3 14 2" xfId="18229" xr:uid="{00000000-0005-0000-0000-00005A360000}"/>
    <cellStyle name="Note 2 3 2" xfId="1337" xr:uid="{00000000-0005-0000-0000-00005B360000}"/>
    <cellStyle name="Note 2 3 2 2" xfId="1841" xr:uid="{00000000-0005-0000-0000-00005C360000}"/>
    <cellStyle name="Note 2 3 2 2 2" xfId="3650" xr:uid="{00000000-0005-0000-0000-00005D360000}"/>
    <cellStyle name="Note 2 3 2 2 2 2" xfId="7709" xr:uid="{00000000-0005-0000-0000-00005E360000}"/>
    <cellStyle name="Note 2 3 2 2 2 2 2" xfId="17300" xr:uid="{00000000-0005-0000-0000-00005F360000}"/>
    <cellStyle name="Note 2 3 2 2 2 2 2 2" xfId="32132" xr:uid="{00000000-0005-0000-0000-000060360000}"/>
    <cellStyle name="Note 2 3 2 2 2 2 3" xfId="23608" xr:uid="{00000000-0005-0000-0000-000061360000}"/>
    <cellStyle name="Note 2 3 2 2 2 3" xfId="13985" xr:uid="{00000000-0005-0000-0000-000062360000}"/>
    <cellStyle name="Note 2 3 2 2 2 3 2" xfId="28817" xr:uid="{00000000-0005-0000-0000-000063360000}"/>
    <cellStyle name="Note 2 3 2 2 2 4" xfId="10916" xr:uid="{00000000-0005-0000-0000-000064360000}"/>
    <cellStyle name="Note 2 3 2 2 2 4 2" xfId="25748" xr:uid="{00000000-0005-0000-0000-000065360000}"/>
    <cellStyle name="Note 2 3 2 2 2 5" xfId="21273" xr:uid="{00000000-0005-0000-0000-000066360000}"/>
    <cellStyle name="Note 2 3 2 2 3" xfId="4819" xr:uid="{00000000-0005-0000-0000-000067360000}"/>
    <cellStyle name="Note 2 3 2 2 3 2" xfId="8858" xr:uid="{00000000-0005-0000-0000-000068360000}"/>
    <cellStyle name="Note 2 3 2 2 3 2 2" xfId="17899" xr:uid="{00000000-0005-0000-0000-000069360000}"/>
    <cellStyle name="Note 2 3 2 2 3 2 2 2" xfId="32731" xr:uid="{00000000-0005-0000-0000-00006A360000}"/>
    <cellStyle name="Note 2 3 2 2 3 2 3" xfId="24356" xr:uid="{00000000-0005-0000-0000-00006B360000}"/>
    <cellStyle name="Note 2 3 2 2 3 3" xfId="15143" xr:uid="{00000000-0005-0000-0000-00006C360000}"/>
    <cellStyle name="Note 2 3 2 2 3 3 2" xfId="29975" xr:uid="{00000000-0005-0000-0000-00006D360000}"/>
    <cellStyle name="Note 2 3 2 2 3 4" xfId="11502" xr:uid="{00000000-0005-0000-0000-00006E360000}"/>
    <cellStyle name="Note 2 3 2 2 3 4 2" xfId="26334" xr:uid="{00000000-0005-0000-0000-00006F360000}"/>
    <cellStyle name="Note 2 3 2 2 3 5" xfId="21894" xr:uid="{00000000-0005-0000-0000-000070360000}"/>
    <cellStyle name="Note 2 3 2 2 4" xfId="2809" xr:uid="{00000000-0005-0000-0000-000071360000}"/>
    <cellStyle name="Note 2 3 2 2 4 2" xfId="6900" xr:uid="{00000000-0005-0000-0000-000072360000}"/>
    <cellStyle name="Note 2 3 2 2 4 2 2" xfId="16793" xr:uid="{00000000-0005-0000-0000-000073360000}"/>
    <cellStyle name="Note 2 3 2 2 4 2 2 2" xfId="31625" xr:uid="{00000000-0005-0000-0000-000074360000}"/>
    <cellStyle name="Note 2 3 2 2 4 2 3" xfId="23107" xr:uid="{00000000-0005-0000-0000-000075360000}"/>
    <cellStyle name="Note 2 3 2 2 4 3" xfId="13147" xr:uid="{00000000-0005-0000-0000-000076360000}"/>
    <cellStyle name="Note 2 3 2 2 4 3 2" xfId="27979" xr:uid="{00000000-0005-0000-0000-000077360000}"/>
    <cellStyle name="Note 2 3 2 2 4 4" xfId="10446" xr:uid="{00000000-0005-0000-0000-000078360000}"/>
    <cellStyle name="Note 2 3 2 2 4 4 2" xfId="25278" xr:uid="{00000000-0005-0000-0000-000079360000}"/>
    <cellStyle name="Note 2 3 2 2 4 5" xfId="20767" xr:uid="{00000000-0005-0000-0000-00007A360000}"/>
    <cellStyle name="Note 2 3 2 2 5" xfId="5973" xr:uid="{00000000-0005-0000-0000-00007B360000}"/>
    <cellStyle name="Note 2 3 2 2 5 2" xfId="16165" xr:uid="{00000000-0005-0000-0000-00007C360000}"/>
    <cellStyle name="Note 2 3 2 2 5 2 2" xfId="30997" xr:uid="{00000000-0005-0000-0000-00007D360000}"/>
    <cellStyle name="Note 2 3 2 2 5 3" xfId="22538" xr:uid="{00000000-0005-0000-0000-00007E360000}"/>
    <cellStyle name="Note 2 3 2 2 6" xfId="12235" xr:uid="{00000000-0005-0000-0000-00007F360000}"/>
    <cellStyle name="Note 2 3 2 2 6 2" xfId="27067" xr:uid="{00000000-0005-0000-0000-000080360000}"/>
    <cellStyle name="Note 2 3 2 2 7" xfId="9831" xr:uid="{00000000-0005-0000-0000-000081360000}"/>
    <cellStyle name="Note 2 3 2 2 7 2" xfId="24757" xr:uid="{00000000-0005-0000-0000-000082360000}"/>
    <cellStyle name="Note 2 3 2 2 8" xfId="20315" xr:uid="{00000000-0005-0000-0000-000083360000}"/>
    <cellStyle name="Note 2 3 2 3" xfId="3644" xr:uid="{00000000-0005-0000-0000-000084360000}"/>
    <cellStyle name="Note 2 3 2 3 2" xfId="7703" xr:uid="{00000000-0005-0000-0000-000085360000}"/>
    <cellStyle name="Note 2 3 2 3 2 2" xfId="17298" xr:uid="{00000000-0005-0000-0000-000086360000}"/>
    <cellStyle name="Note 2 3 2 3 2 2 2" xfId="32130" xr:uid="{00000000-0005-0000-0000-000087360000}"/>
    <cellStyle name="Note 2 3 2 3 2 3" xfId="23603" xr:uid="{00000000-0005-0000-0000-000088360000}"/>
    <cellStyle name="Note 2 3 2 3 3" xfId="13979" xr:uid="{00000000-0005-0000-0000-000089360000}"/>
    <cellStyle name="Note 2 3 2 3 3 2" xfId="28811" xr:uid="{00000000-0005-0000-0000-00008A360000}"/>
    <cellStyle name="Note 2 3 2 3 4" xfId="10914" xr:uid="{00000000-0005-0000-0000-00008B360000}"/>
    <cellStyle name="Note 2 3 2 3 4 2" xfId="25746" xr:uid="{00000000-0005-0000-0000-00008C360000}"/>
    <cellStyle name="Note 2 3 2 3 5" xfId="21268" xr:uid="{00000000-0005-0000-0000-00008D360000}"/>
    <cellStyle name="Note 2 3 2 4" xfId="4399" xr:uid="{00000000-0005-0000-0000-00008E360000}"/>
    <cellStyle name="Note 2 3 2 4 2" xfId="8438" xr:uid="{00000000-0005-0000-0000-00008F360000}"/>
    <cellStyle name="Note 2 3 2 4 2 2" xfId="17659" xr:uid="{00000000-0005-0000-0000-000090360000}"/>
    <cellStyle name="Note 2 3 2 4 2 2 2" xfId="32491" xr:uid="{00000000-0005-0000-0000-000091360000}"/>
    <cellStyle name="Note 2 3 2 4 2 3" xfId="24096" xr:uid="{00000000-0005-0000-0000-000092360000}"/>
    <cellStyle name="Note 2 3 2 4 3" xfId="14728" xr:uid="{00000000-0005-0000-0000-000093360000}"/>
    <cellStyle name="Note 2 3 2 4 3 2" xfId="29560" xr:uid="{00000000-0005-0000-0000-000094360000}"/>
    <cellStyle name="Note 2 3 2 4 4" xfId="11267" xr:uid="{00000000-0005-0000-0000-000095360000}"/>
    <cellStyle name="Note 2 3 2 4 4 2" xfId="26099" xr:uid="{00000000-0005-0000-0000-000096360000}"/>
    <cellStyle name="Note 2 3 2 4 5" xfId="21664" xr:uid="{00000000-0005-0000-0000-000097360000}"/>
    <cellStyle name="Note 2 3 2 5" xfId="2389" xr:uid="{00000000-0005-0000-0000-000098360000}"/>
    <cellStyle name="Note 2 3 2 5 2" xfId="6501" xr:uid="{00000000-0005-0000-0000-000099360000}"/>
    <cellStyle name="Note 2 3 2 5 2 2" xfId="16557" xr:uid="{00000000-0005-0000-0000-00009A360000}"/>
    <cellStyle name="Note 2 3 2 5 2 2 2" xfId="31389" xr:uid="{00000000-0005-0000-0000-00009B360000}"/>
    <cellStyle name="Note 2 3 2 5 2 3" xfId="22871" xr:uid="{00000000-0005-0000-0000-00009C360000}"/>
    <cellStyle name="Note 2 3 2 5 3" xfId="12728" xr:uid="{00000000-0005-0000-0000-00009D360000}"/>
    <cellStyle name="Note 2 3 2 5 3 2" xfId="27560" xr:uid="{00000000-0005-0000-0000-00009E360000}"/>
    <cellStyle name="Note 2 3 2 5 4" xfId="10207" xr:uid="{00000000-0005-0000-0000-00009F360000}"/>
    <cellStyle name="Note 2 3 2 5 4 2" xfId="25039" xr:uid="{00000000-0005-0000-0000-0000A0360000}"/>
    <cellStyle name="Note 2 3 2 5 5" xfId="20513" xr:uid="{00000000-0005-0000-0000-0000A1360000}"/>
    <cellStyle name="Note 2 3 2 6" xfId="5514" xr:uid="{00000000-0005-0000-0000-0000A2360000}"/>
    <cellStyle name="Note 2 3 2 6 2" xfId="15749" xr:uid="{00000000-0005-0000-0000-0000A3360000}"/>
    <cellStyle name="Note 2 3 2 6 2 2" xfId="30581" xr:uid="{00000000-0005-0000-0000-0000A4360000}"/>
    <cellStyle name="Note 2 3 2 6 3" xfId="22242" xr:uid="{00000000-0005-0000-0000-0000A5360000}"/>
    <cellStyle name="Note 2 3 2 7" xfId="11764" xr:uid="{00000000-0005-0000-0000-0000A6360000}"/>
    <cellStyle name="Note 2 3 2 7 2" xfId="26596" xr:uid="{00000000-0005-0000-0000-0000A7360000}"/>
    <cellStyle name="Note 2 3 2 8" xfId="9435" xr:uid="{00000000-0005-0000-0000-0000A8360000}"/>
    <cellStyle name="Note 2 3 2 8 2" xfId="19739" xr:uid="{00000000-0005-0000-0000-0000A9360000}"/>
    <cellStyle name="Note 2 3 3" xfId="1505" xr:uid="{00000000-0005-0000-0000-0000AA360000}"/>
    <cellStyle name="Note 2 3 3 2" xfId="2002" xr:uid="{00000000-0005-0000-0000-0000AB360000}"/>
    <cellStyle name="Note 2 3 3 2 2" xfId="3837" xr:uid="{00000000-0005-0000-0000-0000AC360000}"/>
    <cellStyle name="Note 2 3 3 2 2 2" xfId="7890" xr:uid="{00000000-0005-0000-0000-0000AD360000}"/>
    <cellStyle name="Note 2 3 3 2 2 2 2" xfId="17388" xr:uid="{00000000-0005-0000-0000-0000AE360000}"/>
    <cellStyle name="Note 2 3 3 2 2 2 2 2" xfId="32220" xr:uid="{00000000-0005-0000-0000-0000AF360000}"/>
    <cellStyle name="Note 2 3 3 2 2 2 3" xfId="23729" xr:uid="{00000000-0005-0000-0000-0000B0360000}"/>
    <cellStyle name="Note 2 3 3 2 2 3" xfId="14172" xr:uid="{00000000-0005-0000-0000-0000B1360000}"/>
    <cellStyle name="Note 2 3 3 2 2 3 2" xfId="29004" xr:uid="{00000000-0005-0000-0000-0000B2360000}"/>
    <cellStyle name="Note 2 3 3 2 2 4" xfId="11007" xr:uid="{00000000-0005-0000-0000-0000B3360000}"/>
    <cellStyle name="Note 2 3 3 2 2 4 2" xfId="25839" xr:uid="{00000000-0005-0000-0000-0000B4360000}"/>
    <cellStyle name="Note 2 3 3 2 2 5" xfId="21377" xr:uid="{00000000-0005-0000-0000-0000B5360000}"/>
    <cellStyle name="Note 2 3 3 2 3" xfId="4970" xr:uid="{00000000-0005-0000-0000-0000B6360000}"/>
    <cellStyle name="Note 2 3 3 2 3 2" xfId="9009" xr:uid="{00000000-0005-0000-0000-0000B7360000}"/>
    <cellStyle name="Note 2 3 3 2 3 2 2" xfId="17949" xr:uid="{00000000-0005-0000-0000-0000B8360000}"/>
    <cellStyle name="Note 2 3 3 2 3 2 2 2" xfId="32781" xr:uid="{00000000-0005-0000-0000-0000B9360000}"/>
    <cellStyle name="Note 2 3 3 2 3 2 3" xfId="24475" xr:uid="{00000000-0005-0000-0000-0000BA360000}"/>
    <cellStyle name="Note 2 3 3 2 3 3" xfId="15292" xr:uid="{00000000-0005-0000-0000-0000BB360000}"/>
    <cellStyle name="Note 2 3 3 2 3 3 2" xfId="30124" xr:uid="{00000000-0005-0000-0000-0000BC360000}"/>
    <cellStyle name="Note 2 3 3 2 3 4" xfId="11550" xr:uid="{00000000-0005-0000-0000-0000BD360000}"/>
    <cellStyle name="Note 2 3 3 2 3 4 2" xfId="26382" xr:uid="{00000000-0005-0000-0000-0000BE360000}"/>
    <cellStyle name="Note 2 3 3 2 3 5" xfId="22001" xr:uid="{00000000-0005-0000-0000-0000BF360000}"/>
    <cellStyle name="Note 2 3 3 2 4" xfId="2960" xr:uid="{00000000-0005-0000-0000-0000C0360000}"/>
    <cellStyle name="Note 2 3 3 2 4 2" xfId="7040" xr:uid="{00000000-0005-0000-0000-0000C1360000}"/>
    <cellStyle name="Note 2 3 3 2 4 2 2" xfId="16841" xr:uid="{00000000-0005-0000-0000-0000C2360000}"/>
    <cellStyle name="Note 2 3 3 2 4 2 2 2" xfId="31673" xr:uid="{00000000-0005-0000-0000-0000C3360000}"/>
    <cellStyle name="Note 2 3 3 2 4 2 3" xfId="23214" xr:uid="{00000000-0005-0000-0000-0000C4360000}"/>
    <cellStyle name="Note 2 3 3 2 4 3" xfId="13298" xr:uid="{00000000-0005-0000-0000-0000C5360000}"/>
    <cellStyle name="Note 2 3 3 2 4 3 2" xfId="28130" xr:uid="{00000000-0005-0000-0000-0000C6360000}"/>
    <cellStyle name="Note 2 3 3 2 4 4" xfId="10496" xr:uid="{00000000-0005-0000-0000-0000C7360000}"/>
    <cellStyle name="Note 2 3 3 2 4 4 2" xfId="25328" xr:uid="{00000000-0005-0000-0000-0000C8360000}"/>
    <cellStyle name="Note 2 3 3 2 4 5" xfId="20886" xr:uid="{00000000-0005-0000-0000-0000C9360000}"/>
    <cellStyle name="Note 2 3 3 2 5" xfId="6132" xr:uid="{00000000-0005-0000-0000-0000CA360000}"/>
    <cellStyle name="Note 2 3 3 2 5 2" xfId="16319" xr:uid="{00000000-0005-0000-0000-0000CB360000}"/>
    <cellStyle name="Note 2 3 3 2 5 2 2" xfId="31151" xr:uid="{00000000-0005-0000-0000-0000CC360000}"/>
    <cellStyle name="Note 2 3 3 2 5 3" xfId="22665" xr:uid="{00000000-0005-0000-0000-0000CD360000}"/>
    <cellStyle name="Note 2 3 3 2 6" xfId="12389" xr:uid="{00000000-0005-0000-0000-0000CE360000}"/>
    <cellStyle name="Note 2 3 3 2 6 2" xfId="27221" xr:uid="{00000000-0005-0000-0000-0000CF360000}"/>
    <cellStyle name="Note 2 3 3 2 7" xfId="9971" xr:uid="{00000000-0005-0000-0000-0000D0360000}"/>
    <cellStyle name="Note 2 3 3 2 7 2" xfId="24805" xr:uid="{00000000-0005-0000-0000-0000D1360000}"/>
    <cellStyle name="Note 2 3 3 2 8" xfId="20346" xr:uid="{00000000-0005-0000-0000-0000D2360000}"/>
    <cellStyle name="Note 2 3 3 3" xfId="3225" xr:uid="{00000000-0005-0000-0000-0000D3360000}"/>
    <cellStyle name="Note 2 3 3 3 2" xfId="7289" xr:uid="{00000000-0005-0000-0000-0000D4360000}"/>
    <cellStyle name="Note 2 3 3 3 2 2" xfId="17049" xr:uid="{00000000-0005-0000-0000-0000D5360000}"/>
    <cellStyle name="Note 2 3 3 3 2 2 2" xfId="31881" xr:uid="{00000000-0005-0000-0000-0000D6360000}"/>
    <cellStyle name="Note 2 3 3 3 2 3" xfId="23332" xr:uid="{00000000-0005-0000-0000-0000D7360000}"/>
    <cellStyle name="Note 2 3 3 3 3" xfId="13563" xr:uid="{00000000-0005-0000-0000-0000D8360000}"/>
    <cellStyle name="Note 2 3 3 3 3 2" xfId="28395" xr:uid="{00000000-0005-0000-0000-0000D9360000}"/>
    <cellStyle name="Note 2 3 3 3 4" xfId="10689" xr:uid="{00000000-0005-0000-0000-0000DA360000}"/>
    <cellStyle name="Note 2 3 3 3 4 2" xfId="25521" xr:uid="{00000000-0005-0000-0000-0000DB360000}"/>
    <cellStyle name="Note 2 3 3 3 5" xfId="21021" xr:uid="{00000000-0005-0000-0000-0000DC360000}"/>
    <cellStyle name="Note 2 3 3 4" xfId="4550" xr:uid="{00000000-0005-0000-0000-0000DD360000}"/>
    <cellStyle name="Note 2 3 3 4 2" xfId="8589" xr:uid="{00000000-0005-0000-0000-0000DE360000}"/>
    <cellStyle name="Note 2 3 3 4 2 2" xfId="17709" xr:uid="{00000000-0005-0000-0000-0000DF360000}"/>
    <cellStyle name="Note 2 3 3 4 2 2 2" xfId="32541" xr:uid="{00000000-0005-0000-0000-0000E0360000}"/>
    <cellStyle name="Note 2 3 3 4 2 3" xfId="24215" xr:uid="{00000000-0005-0000-0000-0000E1360000}"/>
    <cellStyle name="Note 2 3 3 4 3" xfId="14877" xr:uid="{00000000-0005-0000-0000-0000E2360000}"/>
    <cellStyle name="Note 2 3 3 4 3 2" xfId="29709" xr:uid="{00000000-0005-0000-0000-0000E3360000}"/>
    <cellStyle name="Note 2 3 3 4 4" xfId="11315" xr:uid="{00000000-0005-0000-0000-0000E4360000}"/>
    <cellStyle name="Note 2 3 3 4 4 2" xfId="26147" xr:uid="{00000000-0005-0000-0000-0000E5360000}"/>
    <cellStyle name="Note 2 3 3 4 5" xfId="21771" xr:uid="{00000000-0005-0000-0000-0000E6360000}"/>
    <cellStyle name="Note 2 3 3 5" xfId="2540" xr:uid="{00000000-0005-0000-0000-0000E7360000}"/>
    <cellStyle name="Note 2 3 3 5 2" xfId="6646" xr:uid="{00000000-0005-0000-0000-0000E8360000}"/>
    <cellStyle name="Note 2 3 3 5 2 2" xfId="16606" xr:uid="{00000000-0005-0000-0000-0000E9360000}"/>
    <cellStyle name="Note 2 3 3 5 2 2 2" xfId="31438" xr:uid="{00000000-0005-0000-0000-0000EA360000}"/>
    <cellStyle name="Note 2 3 3 5 2 3" xfId="22984" xr:uid="{00000000-0005-0000-0000-0000EB360000}"/>
    <cellStyle name="Note 2 3 3 5 3" xfId="12878" xr:uid="{00000000-0005-0000-0000-0000EC360000}"/>
    <cellStyle name="Note 2 3 3 5 3 2" xfId="27710" xr:uid="{00000000-0005-0000-0000-0000ED360000}"/>
    <cellStyle name="Note 2 3 3 5 4" xfId="10256" xr:uid="{00000000-0005-0000-0000-0000EE360000}"/>
    <cellStyle name="Note 2 3 3 5 4 2" xfId="25088" xr:uid="{00000000-0005-0000-0000-0000EF360000}"/>
    <cellStyle name="Note 2 3 3 5 5" xfId="20626" xr:uid="{00000000-0005-0000-0000-0000F0360000}"/>
    <cellStyle name="Note 2 3 3 6" xfId="5663" xr:uid="{00000000-0005-0000-0000-0000F1360000}"/>
    <cellStyle name="Note 2 3 3 6 2" xfId="15898" xr:uid="{00000000-0005-0000-0000-0000F2360000}"/>
    <cellStyle name="Note 2 3 3 6 2 2" xfId="30730" xr:uid="{00000000-0005-0000-0000-0000F3360000}"/>
    <cellStyle name="Note 2 3 3 6 3" xfId="22359" xr:uid="{00000000-0005-0000-0000-0000F4360000}"/>
    <cellStyle name="Note 2 3 3 7" xfId="11918" xr:uid="{00000000-0005-0000-0000-0000F5360000}"/>
    <cellStyle name="Note 2 3 3 7 2" xfId="26750" xr:uid="{00000000-0005-0000-0000-0000F6360000}"/>
    <cellStyle name="Note 2 3 3 8" xfId="9576" xr:uid="{00000000-0005-0000-0000-0000F7360000}"/>
    <cellStyle name="Note 2 3 3 8 2" xfId="19878" xr:uid="{00000000-0005-0000-0000-0000F8360000}"/>
    <cellStyle name="Note 2 3 4" xfId="1562" xr:uid="{00000000-0005-0000-0000-0000F9360000}"/>
    <cellStyle name="Note 2 3 4 2" xfId="2059" xr:uid="{00000000-0005-0000-0000-0000FA360000}"/>
    <cellStyle name="Note 2 3 4 2 2" xfId="3400" xr:uid="{00000000-0005-0000-0000-0000FB360000}"/>
    <cellStyle name="Note 2 3 4 2 2 2" xfId="7463" xr:uid="{00000000-0005-0000-0000-0000FC360000}"/>
    <cellStyle name="Note 2 3 4 2 2 2 2" xfId="17162" xr:uid="{00000000-0005-0000-0000-0000FD360000}"/>
    <cellStyle name="Note 2 3 4 2 2 2 2 2" xfId="31994" xr:uid="{00000000-0005-0000-0000-0000FE360000}"/>
    <cellStyle name="Note 2 3 4 2 2 2 3" xfId="23451" xr:uid="{00000000-0005-0000-0000-0000FF360000}"/>
    <cellStyle name="Note 2 3 4 2 2 3" xfId="13737" xr:uid="{00000000-0005-0000-0000-000000370000}"/>
    <cellStyle name="Note 2 3 4 2 2 3 2" xfId="28569" xr:uid="{00000000-0005-0000-0000-000001370000}"/>
    <cellStyle name="Note 2 3 4 2 2 4" xfId="10781" xr:uid="{00000000-0005-0000-0000-000002370000}"/>
    <cellStyle name="Note 2 3 4 2 2 4 2" xfId="25613" xr:uid="{00000000-0005-0000-0000-000003370000}"/>
    <cellStyle name="Note 2 3 4 2 2 5" xfId="21129" xr:uid="{00000000-0005-0000-0000-000004370000}"/>
    <cellStyle name="Note 2 3 4 2 3" xfId="5027" xr:uid="{00000000-0005-0000-0000-000005370000}"/>
    <cellStyle name="Note 2 3 4 2 3 2" xfId="9066" xr:uid="{00000000-0005-0000-0000-000006370000}"/>
    <cellStyle name="Note 2 3 4 2 3 2 2" xfId="17999" xr:uid="{00000000-0005-0000-0000-000007370000}"/>
    <cellStyle name="Note 2 3 4 2 3 2 2 2" xfId="32831" xr:uid="{00000000-0005-0000-0000-000008370000}"/>
    <cellStyle name="Note 2 3 4 2 3 2 3" xfId="24500" xr:uid="{00000000-0005-0000-0000-000009370000}"/>
    <cellStyle name="Note 2 3 4 2 3 3" xfId="15348" xr:uid="{00000000-0005-0000-0000-00000A370000}"/>
    <cellStyle name="Note 2 3 4 2 3 3 2" xfId="30180" xr:uid="{00000000-0005-0000-0000-00000B370000}"/>
    <cellStyle name="Note 2 3 4 2 3 4" xfId="11599" xr:uid="{00000000-0005-0000-0000-00000C370000}"/>
    <cellStyle name="Note 2 3 4 2 3 4 2" xfId="26431" xr:uid="{00000000-0005-0000-0000-00000D370000}"/>
    <cellStyle name="Note 2 3 4 2 3 5" xfId="22020" xr:uid="{00000000-0005-0000-0000-00000E370000}"/>
    <cellStyle name="Note 2 3 4 2 4" xfId="3017" xr:uid="{00000000-0005-0000-0000-00000F370000}"/>
    <cellStyle name="Note 2 3 4 2 4 2" xfId="7092" xr:uid="{00000000-0005-0000-0000-000010370000}"/>
    <cellStyle name="Note 2 3 4 2 4 2 2" xfId="16890" xr:uid="{00000000-0005-0000-0000-000011370000}"/>
    <cellStyle name="Note 2 3 4 2 4 2 2 2" xfId="31722" xr:uid="{00000000-0005-0000-0000-000012370000}"/>
    <cellStyle name="Note 2 3 4 2 4 2 3" xfId="23233" xr:uid="{00000000-0005-0000-0000-000013370000}"/>
    <cellStyle name="Note 2 3 4 2 4 3" xfId="13355" xr:uid="{00000000-0005-0000-0000-000014370000}"/>
    <cellStyle name="Note 2 3 4 2 4 3 2" xfId="28187" xr:uid="{00000000-0005-0000-0000-000015370000}"/>
    <cellStyle name="Note 2 3 4 2 4 4" xfId="10546" xr:uid="{00000000-0005-0000-0000-000016370000}"/>
    <cellStyle name="Note 2 3 4 2 4 4 2" xfId="25378" xr:uid="{00000000-0005-0000-0000-000017370000}"/>
    <cellStyle name="Note 2 3 4 2 4 5" xfId="20911" xr:uid="{00000000-0005-0000-0000-000018370000}"/>
    <cellStyle name="Note 2 3 4 2 5" xfId="6184" xr:uid="{00000000-0005-0000-0000-000019370000}"/>
    <cellStyle name="Note 2 3 4 2 5 2" xfId="16370" xr:uid="{00000000-0005-0000-0000-00001A370000}"/>
    <cellStyle name="Note 2 3 4 2 5 2 2" xfId="31202" xr:uid="{00000000-0005-0000-0000-00001B370000}"/>
    <cellStyle name="Note 2 3 4 2 5 3" xfId="22684" xr:uid="{00000000-0005-0000-0000-00001C370000}"/>
    <cellStyle name="Note 2 3 4 2 6" xfId="12440" xr:uid="{00000000-0005-0000-0000-00001D370000}"/>
    <cellStyle name="Note 2 3 4 2 6 2" xfId="27272" xr:uid="{00000000-0005-0000-0000-00001E370000}"/>
    <cellStyle name="Note 2 3 4 2 7" xfId="10022" xr:uid="{00000000-0005-0000-0000-00001F370000}"/>
    <cellStyle name="Note 2 3 4 2 7 2" xfId="24854" xr:uid="{00000000-0005-0000-0000-000020370000}"/>
    <cellStyle name="Note 2 3 4 2 8" xfId="20363" xr:uid="{00000000-0005-0000-0000-000021370000}"/>
    <cellStyle name="Note 2 3 4 3" xfId="3370" xr:uid="{00000000-0005-0000-0000-000022370000}"/>
    <cellStyle name="Note 2 3 4 3 2" xfId="7433" xr:uid="{00000000-0005-0000-0000-000023370000}"/>
    <cellStyle name="Note 2 3 4 3 2 2" xfId="17144" xr:uid="{00000000-0005-0000-0000-000024370000}"/>
    <cellStyle name="Note 2 3 4 3 2 2 2" xfId="31976" xr:uid="{00000000-0005-0000-0000-000025370000}"/>
    <cellStyle name="Note 2 3 4 3 2 3" xfId="23431" xr:uid="{00000000-0005-0000-0000-000026370000}"/>
    <cellStyle name="Note 2 3 4 3 3" xfId="13707" xr:uid="{00000000-0005-0000-0000-000027370000}"/>
    <cellStyle name="Note 2 3 4 3 3 2" xfId="28539" xr:uid="{00000000-0005-0000-0000-000028370000}"/>
    <cellStyle name="Note 2 3 4 3 4" xfId="10763" xr:uid="{00000000-0005-0000-0000-000029370000}"/>
    <cellStyle name="Note 2 3 4 3 4 2" xfId="25595" xr:uid="{00000000-0005-0000-0000-00002A370000}"/>
    <cellStyle name="Note 2 3 4 3 5" xfId="21113" xr:uid="{00000000-0005-0000-0000-00002B370000}"/>
    <cellStyle name="Note 2 3 4 4" xfId="4607" xr:uid="{00000000-0005-0000-0000-00002C370000}"/>
    <cellStyle name="Note 2 3 4 4 2" xfId="8646" xr:uid="{00000000-0005-0000-0000-00002D370000}"/>
    <cellStyle name="Note 2 3 4 4 2 2" xfId="17759" xr:uid="{00000000-0005-0000-0000-00002E370000}"/>
    <cellStyle name="Note 2 3 4 4 2 2 2" xfId="32591" xr:uid="{00000000-0005-0000-0000-00002F370000}"/>
    <cellStyle name="Note 2 3 4 4 2 3" xfId="24240" xr:uid="{00000000-0005-0000-0000-000030370000}"/>
    <cellStyle name="Note 2 3 4 4 3" xfId="14933" xr:uid="{00000000-0005-0000-0000-000031370000}"/>
    <cellStyle name="Note 2 3 4 4 3 2" xfId="29765" xr:uid="{00000000-0005-0000-0000-000032370000}"/>
    <cellStyle name="Note 2 3 4 4 4" xfId="11364" xr:uid="{00000000-0005-0000-0000-000033370000}"/>
    <cellStyle name="Note 2 3 4 4 4 2" xfId="26196" xr:uid="{00000000-0005-0000-0000-000034370000}"/>
    <cellStyle name="Note 2 3 4 4 5" xfId="21790" xr:uid="{00000000-0005-0000-0000-000035370000}"/>
    <cellStyle name="Note 2 3 4 5" xfId="2597" xr:uid="{00000000-0005-0000-0000-000036370000}"/>
    <cellStyle name="Note 2 3 4 5 2" xfId="6698" xr:uid="{00000000-0005-0000-0000-000037370000}"/>
    <cellStyle name="Note 2 3 4 5 2 2" xfId="16655" xr:uid="{00000000-0005-0000-0000-000038370000}"/>
    <cellStyle name="Note 2 3 4 5 2 2 2" xfId="31487" xr:uid="{00000000-0005-0000-0000-000039370000}"/>
    <cellStyle name="Note 2 3 4 5 2 3" xfId="23003" xr:uid="{00000000-0005-0000-0000-00003A370000}"/>
    <cellStyle name="Note 2 3 4 5 3" xfId="12935" xr:uid="{00000000-0005-0000-0000-00003B370000}"/>
    <cellStyle name="Note 2 3 4 5 3 2" xfId="27767" xr:uid="{00000000-0005-0000-0000-00003C370000}"/>
    <cellStyle name="Note 2 3 4 5 4" xfId="10306" xr:uid="{00000000-0005-0000-0000-00003D370000}"/>
    <cellStyle name="Note 2 3 4 5 4 2" xfId="25138" xr:uid="{00000000-0005-0000-0000-00003E370000}"/>
    <cellStyle name="Note 2 3 4 5 5" xfId="20651" xr:uid="{00000000-0005-0000-0000-00003F370000}"/>
    <cellStyle name="Note 2 3 4 6" xfId="5714" xr:uid="{00000000-0005-0000-0000-000040370000}"/>
    <cellStyle name="Note 2 3 4 6 2" xfId="15949" xr:uid="{00000000-0005-0000-0000-000041370000}"/>
    <cellStyle name="Note 2 3 4 6 2 2" xfId="30781" xr:uid="{00000000-0005-0000-0000-000042370000}"/>
    <cellStyle name="Note 2 3 4 6 3" xfId="22378" xr:uid="{00000000-0005-0000-0000-000043370000}"/>
    <cellStyle name="Note 2 3 4 7" xfId="11969" xr:uid="{00000000-0005-0000-0000-000044370000}"/>
    <cellStyle name="Note 2 3 4 7 2" xfId="26801" xr:uid="{00000000-0005-0000-0000-000045370000}"/>
    <cellStyle name="Note 2 3 4 8" xfId="9628" xr:uid="{00000000-0005-0000-0000-000046370000}"/>
    <cellStyle name="Note 2 3 4 8 2" xfId="19929" xr:uid="{00000000-0005-0000-0000-000047370000}"/>
    <cellStyle name="Note 2 3 5" xfId="1612" xr:uid="{00000000-0005-0000-0000-000048370000}"/>
    <cellStyle name="Note 2 3 5 2" xfId="2109" xr:uid="{00000000-0005-0000-0000-000049370000}"/>
    <cellStyle name="Note 2 3 5 2 2" xfId="3844" xr:uid="{00000000-0005-0000-0000-00004A370000}"/>
    <cellStyle name="Note 2 3 5 2 2 2" xfId="7897" xr:uid="{00000000-0005-0000-0000-00004B370000}"/>
    <cellStyle name="Note 2 3 5 2 2 2 2" xfId="17391" xr:uid="{00000000-0005-0000-0000-00004C370000}"/>
    <cellStyle name="Note 2 3 5 2 2 2 2 2" xfId="32223" xr:uid="{00000000-0005-0000-0000-00004D370000}"/>
    <cellStyle name="Note 2 3 5 2 2 2 3" xfId="23734" xr:uid="{00000000-0005-0000-0000-00004E370000}"/>
    <cellStyle name="Note 2 3 5 2 2 3" xfId="14179" xr:uid="{00000000-0005-0000-0000-00004F370000}"/>
    <cellStyle name="Note 2 3 5 2 2 3 2" xfId="29011" xr:uid="{00000000-0005-0000-0000-000050370000}"/>
    <cellStyle name="Note 2 3 5 2 2 4" xfId="11010" xr:uid="{00000000-0005-0000-0000-000051370000}"/>
    <cellStyle name="Note 2 3 5 2 2 4 2" xfId="25842" xr:uid="{00000000-0005-0000-0000-000052370000}"/>
    <cellStyle name="Note 2 3 5 2 2 5" xfId="21381" xr:uid="{00000000-0005-0000-0000-000053370000}"/>
    <cellStyle name="Note 2 3 5 2 3" xfId="5077" xr:uid="{00000000-0005-0000-0000-000054370000}"/>
    <cellStyle name="Note 2 3 5 2 3 2" xfId="9116" xr:uid="{00000000-0005-0000-0000-000055370000}"/>
    <cellStyle name="Note 2 3 5 2 3 2 2" xfId="18044" xr:uid="{00000000-0005-0000-0000-000056370000}"/>
    <cellStyle name="Note 2 3 5 2 3 2 2 2" xfId="32876" xr:uid="{00000000-0005-0000-0000-000057370000}"/>
    <cellStyle name="Note 2 3 5 2 3 2 3" xfId="24518" xr:uid="{00000000-0005-0000-0000-000058370000}"/>
    <cellStyle name="Note 2 3 5 2 3 3" xfId="15397" xr:uid="{00000000-0005-0000-0000-000059370000}"/>
    <cellStyle name="Note 2 3 5 2 3 3 2" xfId="30229" xr:uid="{00000000-0005-0000-0000-00005A370000}"/>
    <cellStyle name="Note 2 3 5 2 3 4" xfId="11643" xr:uid="{00000000-0005-0000-0000-00005B370000}"/>
    <cellStyle name="Note 2 3 5 2 3 4 2" xfId="26475" xr:uid="{00000000-0005-0000-0000-00005C370000}"/>
    <cellStyle name="Note 2 3 5 2 3 5" xfId="22032" xr:uid="{00000000-0005-0000-0000-00005D370000}"/>
    <cellStyle name="Note 2 3 5 2 4" xfId="3067" xr:uid="{00000000-0005-0000-0000-00005E370000}"/>
    <cellStyle name="Note 2 3 5 2 4 2" xfId="7137" xr:uid="{00000000-0005-0000-0000-00005F370000}"/>
    <cellStyle name="Note 2 3 5 2 4 2 2" xfId="16934" xr:uid="{00000000-0005-0000-0000-000060370000}"/>
    <cellStyle name="Note 2 3 5 2 4 2 2 2" xfId="31766" xr:uid="{00000000-0005-0000-0000-000061370000}"/>
    <cellStyle name="Note 2 3 5 2 4 2 3" xfId="23245" xr:uid="{00000000-0005-0000-0000-000062370000}"/>
    <cellStyle name="Note 2 3 5 2 4 3" xfId="13405" xr:uid="{00000000-0005-0000-0000-000063370000}"/>
    <cellStyle name="Note 2 3 5 2 4 3 2" xfId="28237" xr:uid="{00000000-0005-0000-0000-000064370000}"/>
    <cellStyle name="Note 2 3 5 2 4 4" xfId="10591" xr:uid="{00000000-0005-0000-0000-000065370000}"/>
    <cellStyle name="Note 2 3 5 2 4 4 2" xfId="25423" xr:uid="{00000000-0005-0000-0000-000066370000}"/>
    <cellStyle name="Note 2 3 5 2 4 5" xfId="20929" xr:uid="{00000000-0005-0000-0000-000067370000}"/>
    <cellStyle name="Note 2 3 5 2 5" xfId="6229" xr:uid="{00000000-0005-0000-0000-000068370000}"/>
    <cellStyle name="Note 2 3 5 2 5 2" xfId="16414" xr:uid="{00000000-0005-0000-0000-000069370000}"/>
    <cellStyle name="Note 2 3 5 2 5 2 2" xfId="31246" xr:uid="{00000000-0005-0000-0000-00006A370000}"/>
    <cellStyle name="Note 2 3 5 2 5 3" xfId="22696" xr:uid="{00000000-0005-0000-0000-00006B370000}"/>
    <cellStyle name="Note 2 3 5 2 6" xfId="12484" xr:uid="{00000000-0005-0000-0000-00006C370000}"/>
    <cellStyle name="Note 2 3 5 2 6 2" xfId="27316" xr:uid="{00000000-0005-0000-0000-00006D370000}"/>
    <cellStyle name="Note 2 3 5 2 7" xfId="10066" xr:uid="{00000000-0005-0000-0000-00006E370000}"/>
    <cellStyle name="Note 2 3 5 2 7 2" xfId="24898" xr:uid="{00000000-0005-0000-0000-00006F370000}"/>
    <cellStyle name="Note 2 3 5 2 8" xfId="20375" xr:uid="{00000000-0005-0000-0000-000070370000}"/>
    <cellStyle name="Note 2 3 5 3" xfId="3448" xr:uid="{00000000-0005-0000-0000-000071370000}"/>
    <cellStyle name="Note 2 3 5 3 2" xfId="7511" xr:uid="{00000000-0005-0000-0000-000072370000}"/>
    <cellStyle name="Note 2 3 5 3 2 2" xfId="17195" xr:uid="{00000000-0005-0000-0000-000073370000}"/>
    <cellStyle name="Note 2 3 5 3 2 2 2" xfId="32027" xr:uid="{00000000-0005-0000-0000-000074370000}"/>
    <cellStyle name="Note 2 3 5 3 2 3" xfId="23482" xr:uid="{00000000-0005-0000-0000-000075370000}"/>
    <cellStyle name="Note 2 3 5 3 3" xfId="13785" xr:uid="{00000000-0005-0000-0000-000076370000}"/>
    <cellStyle name="Note 2 3 5 3 3 2" xfId="28617" xr:uid="{00000000-0005-0000-0000-000077370000}"/>
    <cellStyle name="Note 2 3 5 3 4" xfId="10814" xr:uid="{00000000-0005-0000-0000-000078370000}"/>
    <cellStyle name="Note 2 3 5 3 4 2" xfId="25646" xr:uid="{00000000-0005-0000-0000-000079370000}"/>
    <cellStyle name="Note 2 3 5 3 5" xfId="21158" xr:uid="{00000000-0005-0000-0000-00007A370000}"/>
    <cellStyle name="Note 2 3 5 4" xfId="4657" xr:uid="{00000000-0005-0000-0000-00007B370000}"/>
    <cellStyle name="Note 2 3 5 4 2" xfId="8696" xr:uid="{00000000-0005-0000-0000-00007C370000}"/>
    <cellStyle name="Note 2 3 5 4 2 2" xfId="17804" xr:uid="{00000000-0005-0000-0000-00007D370000}"/>
    <cellStyle name="Note 2 3 5 4 2 2 2" xfId="32636" xr:uid="{00000000-0005-0000-0000-00007E370000}"/>
    <cellStyle name="Note 2 3 5 4 2 3" xfId="24258" xr:uid="{00000000-0005-0000-0000-00007F370000}"/>
    <cellStyle name="Note 2 3 5 4 3" xfId="14982" xr:uid="{00000000-0005-0000-0000-000080370000}"/>
    <cellStyle name="Note 2 3 5 4 3 2" xfId="29814" xr:uid="{00000000-0005-0000-0000-000081370000}"/>
    <cellStyle name="Note 2 3 5 4 4" xfId="11408" xr:uid="{00000000-0005-0000-0000-000082370000}"/>
    <cellStyle name="Note 2 3 5 4 4 2" xfId="26240" xr:uid="{00000000-0005-0000-0000-000083370000}"/>
    <cellStyle name="Note 2 3 5 4 5" xfId="21802" xr:uid="{00000000-0005-0000-0000-000084370000}"/>
    <cellStyle name="Note 2 3 5 5" xfId="2647" xr:uid="{00000000-0005-0000-0000-000085370000}"/>
    <cellStyle name="Note 2 3 5 5 2" xfId="6743" xr:uid="{00000000-0005-0000-0000-000086370000}"/>
    <cellStyle name="Note 2 3 5 5 2 2" xfId="16699" xr:uid="{00000000-0005-0000-0000-000087370000}"/>
    <cellStyle name="Note 2 3 5 5 2 2 2" xfId="31531" xr:uid="{00000000-0005-0000-0000-000088370000}"/>
    <cellStyle name="Note 2 3 5 5 2 3" xfId="23015" xr:uid="{00000000-0005-0000-0000-000089370000}"/>
    <cellStyle name="Note 2 3 5 5 3" xfId="12985" xr:uid="{00000000-0005-0000-0000-00008A370000}"/>
    <cellStyle name="Note 2 3 5 5 3 2" xfId="27817" xr:uid="{00000000-0005-0000-0000-00008B370000}"/>
    <cellStyle name="Note 2 3 5 5 4" xfId="10351" xr:uid="{00000000-0005-0000-0000-00008C370000}"/>
    <cellStyle name="Note 2 3 5 5 4 2" xfId="25183" xr:uid="{00000000-0005-0000-0000-00008D370000}"/>
    <cellStyle name="Note 2 3 5 5 5" xfId="20669" xr:uid="{00000000-0005-0000-0000-00008E370000}"/>
    <cellStyle name="Note 2 3 5 6" xfId="5759" xr:uid="{00000000-0005-0000-0000-00008F370000}"/>
    <cellStyle name="Note 2 3 5 6 2" xfId="15993" xr:uid="{00000000-0005-0000-0000-000090370000}"/>
    <cellStyle name="Note 2 3 5 6 2 2" xfId="30825" xr:uid="{00000000-0005-0000-0000-000091370000}"/>
    <cellStyle name="Note 2 3 5 6 3" xfId="22390" xr:uid="{00000000-0005-0000-0000-000092370000}"/>
    <cellStyle name="Note 2 3 5 7" xfId="12013" xr:uid="{00000000-0005-0000-0000-000093370000}"/>
    <cellStyle name="Note 2 3 5 7 2" xfId="26845" xr:uid="{00000000-0005-0000-0000-000094370000}"/>
    <cellStyle name="Note 2 3 5 8" xfId="9673" xr:uid="{00000000-0005-0000-0000-000095370000}"/>
    <cellStyle name="Note 2 3 5 8 2" xfId="19973" xr:uid="{00000000-0005-0000-0000-000096370000}"/>
    <cellStyle name="Note 2 3 6" xfId="1763" xr:uid="{00000000-0005-0000-0000-000097370000}"/>
    <cellStyle name="Note 2 3 6 2" xfId="3888" xr:uid="{00000000-0005-0000-0000-000098370000}"/>
    <cellStyle name="Note 2 3 6 2 2" xfId="7939" xr:uid="{00000000-0005-0000-0000-000099370000}"/>
    <cellStyle name="Note 2 3 6 2 2 2" xfId="17413" xr:uid="{00000000-0005-0000-0000-00009A370000}"/>
    <cellStyle name="Note 2 3 6 2 2 2 2" xfId="32245" xr:uid="{00000000-0005-0000-0000-00009B370000}"/>
    <cellStyle name="Note 2 3 6 2 2 3" xfId="23761" xr:uid="{00000000-0005-0000-0000-00009C370000}"/>
    <cellStyle name="Note 2 3 6 2 3" xfId="14222" xr:uid="{00000000-0005-0000-0000-00009D370000}"/>
    <cellStyle name="Note 2 3 6 2 3 2" xfId="29054" xr:uid="{00000000-0005-0000-0000-00009E370000}"/>
    <cellStyle name="Note 2 3 6 2 4" xfId="11030" xr:uid="{00000000-0005-0000-0000-00009F370000}"/>
    <cellStyle name="Note 2 3 6 2 4 2" xfId="25862" xr:uid="{00000000-0005-0000-0000-0000A0370000}"/>
    <cellStyle name="Note 2 3 6 2 5" xfId="21403" xr:uid="{00000000-0005-0000-0000-0000A1370000}"/>
    <cellStyle name="Note 2 3 6 3" xfId="4741" xr:uid="{00000000-0005-0000-0000-0000A2370000}"/>
    <cellStyle name="Note 2 3 6 3 2" xfId="8780" xr:uid="{00000000-0005-0000-0000-0000A3370000}"/>
    <cellStyle name="Note 2 3 6 3 2 2" xfId="17852" xr:uid="{00000000-0005-0000-0000-0000A4370000}"/>
    <cellStyle name="Note 2 3 6 3 2 2 2" xfId="32684" xr:uid="{00000000-0005-0000-0000-0000A5370000}"/>
    <cellStyle name="Note 2 3 6 3 2 3" xfId="24310" xr:uid="{00000000-0005-0000-0000-0000A6370000}"/>
    <cellStyle name="Note 2 3 6 3 3" xfId="15065" xr:uid="{00000000-0005-0000-0000-0000A7370000}"/>
    <cellStyle name="Note 2 3 6 3 3 2" xfId="29897" xr:uid="{00000000-0005-0000-0000-0000A8370000}"/>
    <cellStyle name="Note 2 3 6 3 4" xfId="11455" xr:uid="{00000000-0005-0000-0000-0000A9370000}"/>
    <cellStyle name="Note 2 3 6 3 4 2" xfId="26287" xr:uid="{00000000-0005-0000-0000-0000AA370000}"/>
    <cellStyle name="Note 2 3 6 3 5" xfId="21848" xr:uid="{00000000-0005-0000-0000-0000AB370000}"/>
    <cellStyle name="Note 2 3 6 4" xfId="2731" xr:uid="{00000000-0005-0000-0000-0000AC370000}"/>
    <cellStyle name="Note 2 3 6 4 2" xfId="6822" xr:uid="{00000000-0005-0000-0000-0000AD370000}"/>
    <cellStyle name="Note 2 3 6 4 2 2" xfId="16746" xr:uid="{00000000-0005-0000-0000-0000AE370000}"/>
    <cellStyle name="Note 2 3 6 4 2 2 2" xfId="31578" xr:uid="{00000000-0005-0000-0000-0000AF370000}"/>
    <cellStyle name="Note 2 3 6 4 2 3" xfId="23061" xr:uid="{00000000-0005-0000-0000-0000B0370000}"/>
    <cellStyle name="Note 2 3 6 4 3" xfId="13069" xr:uid="{00000000-0005-0000-0000-0000B1370000}"/>
    <cellStyle name="Note 2 3 6 4 3 2" xfId="27901" xr:uid="{00000000-0005-0000-0000-0000B2370000}"/>
    <cellStyle name="Note 2 3 6 4 4" xfId="10399" xr:uid="{00000000-0005-0000-0000-0000B3370000}"/>
    <cellStyle name="Note 2 3 6 4 4 2" xfId="25231" xr:uid="{00000000-0005-0000-0000-0000B4370000}"/>
    <cellStyle name="Note 2 3 6 4 5" xfId="20721" xr:uid="{00000000-0005-0000-0000-0000B5370000}"/>
    <cellStyle name="Note 2 3 6 5" xfId="5895" xr:uid="{00000000-0005-0000-0000-0000B6370000}"/>
    <cellStyle name="Note 2 3 6 5 2" xfId="16087" xr:uid="{00000000-0005-0000-0000-0000B7370000}"/>
    <cellStyle name="Note 2 3 6 5 2 2" xfId="30919" xr:uid="{00000000-0005-0000-0000-0000B8370000}"/>
    <cellStyle name="Note 2 3 6 5 3" xfId="22492" xr:uid="{00000000-0005-0000-0000-0000B9370000}"/>
    <cellStyle name="Note 2 3 6 6" xfId="12157" xr:uid="{00000000-0005-0000-0000-0000BA370000}"/>
    <cellStyle name="Note 2 3 6 6 2" xfId="26989" xr:uid="{00000000-0005-0000-0000-0000BB370000}"/>
    <cellStyle name="Note 2 3 6 7" xfId="9753" xr:uid="{00000000-0005-0000-0000-0000BC370000}"/>
    <cellStyle name="Note 2 3 6 7 2" xfId="24710" xr:uid="{00000000-0005-0000-0000-0000BD370000}"/>
    <cellStyle name="Note 2 3 6 8" xfId="20300" xr:uid="{00000000-0005-0000-0000-0000BE370000}"/>
    <cellStyle name="Note 2 3 7" xfId="2203" xr:uid="{00000000-0005-0000-0000-0000BF370000}"/>
    <cellStyle name="Note 2 3 7 2" xfId="3499" xr:uid="{00000000-0005-0000-0000-0000C0370000}"/>
    <cellStyle name="Note 2 3 7 2 2" xfId="7561" xr:uid="{00000000-0005-0000-0000-0000C1370000}"/>
    <cellStyle name="Note 2 3 7 2 2 2" xfId="17222" xr:uid="{00000000-0005-0000-0000-0000C2370000}"/>
    <cellStyle name="Note 2 3 7 2 2 2 2" xfId="32054" xr:uid="{00000000-0005-0000-0000-0000C3370000}"/>
    <cellStyle name="Note 2 3 7 2 2 3" xfId="23515" xr:uid="{00000000-0005-0000-0000-0000C4370000}"/>
    <cellStyle name="Note 2 3 7 2 3" xfId="13836" xr:uid="{00000000-0005-0000-0000-0000C5370000}"/>
    <cellStyle name="Note 2 3 7 2 3 2" xfId="28668" xr:uid="{00000000-0005-0000-0000-0000C6370000}"/>
    <cellStyle name="Note 2 3 7 2 4" xfId="10840" xr:uid="{00000000-0005-0000-0000-0000C7370000}"/>
    <cellStyle name="Note 2 3 7 2 4 2" xfId="25672" xr:uid="{00000000-0005-0000-0000-0000C8370000}"/>
    <cellStyle name="Note 2 3 7 2 5" xfId="21190" xr:uid="{00000000-0005-0000-0000-0000C9370000}"/>
    <cellStyle name="Note 2 3 7 3" xfId="5171" xr:uid="{00000000-0005-0000-0000-0000CA370000}"/>
    <cellStyle name="Note 2 3 7 3 2" xfId="9210" xr:uid="{00000000-0005-0000-0000-0000CB370000}"/>
    <cellStyle name="Note 2 3 7 3 2 2" xfId="18133" xr:uid="{00000000-0005-0000-0000-0000CC370000}"/>
    <cellStyle name="Note 2 3 7 3 2 2 2" xfId="32965" xr:uid="{00000000-0005-0000-0000-0000CD370000}"/>
    <cellStyle name="Note 2 3 7 3 2 3" xfId="24548" xr:uid="{00000000-0005-0000-0000-0000CE370000}"/>
    <cellStyle name="Note 2 3 7 3 3" xfId="15489" xr:uid="{00000000-0005-0000-0000-0000CF370000}"/>
    <cellStyle name="Note 2 3 7 3 3 2" xfId="30321" xr:uid="{00000000-0005-0000-0000-0000D0370000}"/>
    <cellStyle name="Note 2 3 7 3 4" xfId="11730" xr:uid="{00000000-0005-0000-0000-0000D1370000}"/>
    <cellStyle name="Note 2 3 7 3 4 2" xfId="26562" xr:uid="{00000000-0005-0000-0000-0000D2370000}"/>
    <cellStyle name="Note 2 3 7 3 5" xfId="22055" xr:uid="{00000000-0005-0000-0000-0000D3370000}"/>
    <cellStyle name="Note 2 3 7 4" xfId="4201" xr:uid="{00000000-0005-0000-0000-0000D4370000}"/>
    <cellStyle name="Note 2 3 7 4 2" xfId="8242" xr:uid="{00000000-0005-0000-0000-0000D5370000}"/>
    <cellStyle name="Note 2 3 7 4 2 2" xfId="17589" xr:uid="{00000000-0005-0000-0000-0000D6370000}"/>
    <cellStyle name="Note 2 3 7 4 2 2 2" xfId="32421" xr:uid="{00000000-0005-0000-0000-0000D7370000}"/>
    <cellStyle name="Note 2 3 7 4 2 3" xfId="23937" xr:uid="{00000000-0005-0000-0000-0000D8370000}"/>
    <cellStyle name="Note 2 3 7 4 3" xfId="14533" xr:uid="{00000000-0005-0000-0000-0000D9370000}"/>
    <cellStyle name="Note 2 3 7 4 3 2" xfId="29365" xr:uid="{00000000-0005-0000-0000-0000DA370000}"/>
    <cellStyle name="Note 2 3 7 4 4" xfId="11209" xr:uid="{00000000-0005-0000-0000-0000DB370000}"/>
    <cellStyle name="Note 2 3 7 4 4 2" xfId="26041" xr:uid="{00000000-0005-0000-0000-0000DC370000}"/>
    <cellStyle name="Note 2 3 7 4 5" xfId="21562" xr:uid="{00000000-0005-0000-0000-0000DD370000}"/>
    <cellStyle name="Note 2 3 7 5" xfId="6317" xr:uid="{00000000-0005-0000-0000-0000DE370000}"/>
    <cellStyle name="Note 2 3 7 5 2" xfId="16501" xr:uid="{00000000-0005-0000-0000-0000DF370000}"/>
    <cellStyle name="Note 2 3 7 5 2 2" xfId="31333" xr:uid="{00000000-0005-0000-0000-0000E0370000}"/>
    <cellStyle name="Note 2 3 7 5 3" xfId="22719" xr:uid="{00000000-0005-0000-0000-0000E1370000}"/>
    <cellStyle name="Note 2 3 7 6" xfId="12571" xr:uid="{00000000-0005-0000-0000-0000E2370000}"/>
    <cellStyle name="Note 2 3 7 6 2" xfId="27403" xr:uid="{00000000-0005-0000-0000-0000E3370000}"/>
    <cellStyle name="Note 2 3 7 7" xfId="10153" xr:uid="{00000000-0005-0000-0000-0000E4370000}"/>
    <cellStyle name="Note 2 3 7 7 2" xfId="24985" xr:uid="{00000000-0005-0000-0000-0000E5370000}"/>
    <cellStyle name="Note 2 3 7 8" xfId="20398" xr:uid="{00000000-0005-0000-0000-0000E6370000}"/>
    <cellStyle name="Note 2 3 8" xfId="3158" xr:uid="{00000000-0005-0000-0000-0000E7370000}"/>
    <cellStyle name="Note 2 3 8 2" xfId="7222" xr:uid="{00000000-0005-0000-0000-0000E8370000}"/>
    <cellStyle name="Note 2 3 8 2 2" xfId="17000" xr:uid="{00000000-0005-0000-0000-0000E9370000}"/>
    <cellStyle name="Note 2 3 8 2 2 2" xfId="31832" xr:uid="{00000000-0005-0000-0000-0000EA370000}"/>
    <cellStyle name="Note 2 3 8 2 3" xfId="23287" xr:uid="{00000000-0005-0000-0000-0000EB370000}"/>
    <cellStyle name="Note 2 3 8 3" xfId="13496" xr:uid="{00000000-0005-0000-0000-0000EC370000}"/>
    <cellStyle name="Note 2 3 8 3 2" xfId="28328" xr:uid="{00000000-0005-0000-0000-0000ED370000}"/>
    <cellStyle name="Note 2 3 8 4" xfId="10652" xr:uid="{00000000-0005-0000-0000-0000EE370000}"/>
    <cellStyle name="Note 2 3 8 4 2" xfId="25484" xr:uid="{00000000-0005-0000-0000-0000EF370000}"/>
    <cellStyle name="Note 2 3 8 5" xfId="20978" xr:uid="{00000000-0005-0000-0000-0000F0370000}"/>
    <cellStyle name="Note 2 3 9" xfId="3335" xr:uid="{00000000-0005-0000-0000-0000F1370000}"/>
    <cellStyle name="Note 2 3 9 2" xfId="7398" xr:uid="{00000000-0005-0000-0000-0000F2370000}"/>
    <cellStyle name="Note 2 3 9 2 2" xfId="17131" xr:uid="{00000000-0005-0000-0000-0000F3370000}"/>
    <cellStyle name="Note 2 3 9 2 2 2" xfId="31963" xr:uid="{00000000-0005-0000-0000-0000F4370000}"/>
    <cellStyle name="Note 2 3 9 2 3" xfId="23404" xr:uid="{00000000-0005-0000-0000-0000F5370000}"/>
    <cellStyle name="Note 2 3 9 3" xfId="13672" xr:uid="{00000000-0005-0000-0000-0000F6370000}"/>
    <cellStyle name="Note 2 3 9 3 2" xfId="28504" xr:uid="{00000000-0005-0000-0000-0000F7370000}"/>
    <cellStyle name="Note 2 3 9 4" xfId="10752" xr:uid="{00000000-0005-0000-0000-0000F8370000}"/>
    <cellStyle name="Note 2 3 9 4 2" xfId="25584" xr:uid="{00000000-0005-0000-0000-0000F9370000}"/>
    <cellStyle name="Note 2 3 9 5" xfId="21092" xr:uid="{00000000-0005-0000-0000-0000FA370000}"/>
    <cellStyle name="Note 2 4" xfId="1219" xr:uid="{00000000-0005-0000-0000-0000FB370000}"/>
    <cellStyle name="Note 2 4 10" xfId="2305" xr:uid="{00000000-0005-0000-0000-0000FC370000}"/>
    <cellStyle name="Note 2 4 10 2" xfId="6417" xr:uid="{00000000-0005-0000-0000-0000FD370000}"/>
    <cellStyle name="Note 2 4 10 2 2" xfId="16510" xr:uid="{00000000-0005-0000-0000-0000FE370000}"/>
    <cellStyle name="Note 2 4 10 2 2 2" xfId="31342" xr:uid="{00000000-0005-0000-0000-0000FF370000}"/>
    <cellStyle name="Note 2 4 10 2 3" xfId="22819" xr:uid="{00000000-0005-0000-0000-000000380000}"/>
    <cellStyle name="Note 2 4 10 3" xfId="12645" xr:uid="{00000000-0005-0000-0000-000001380000}"/>
    <cellStyle name="Note 2 4 10 3 2" xfId="27477" xr:uid="{00000000-0005-0000-0000-000002380000}"/>
    <cellStyle name="Note 2 4 10 4" xfId="10161" xr:uid="{00000000-0005-0000-0000-000003380000}"/>
    <cellStyle name="Note 2 4 10 4 2" xfId="24993" xr:uid="{00000000-0005-0000-0000-000004380000}"/>
    <cellStyle name="Note 2 4 10 5" xfId="20468" xr:uid="{00000000-0005-0000-0000-000005380000}"/>
    <cellStyle name="Note 2 4 11" xfId="5268" xr:uid="{00000000-0005-0000-0000-000006380000}"/>
    <cellStyle name="Note 2 4 11 2" xfId="9276" xr:uid="{00000000-0005-0000-0000-000007380000}"/>
    <cellStyle name="Note 2 4 11 2 2" xfId="18143" xr:uid="{00000000-0005-0000-0000-000008380000}"/>
    <cellStyle name="Note 2 4 11 2 2 2" xfId="32975" xr:uid="{00000000-0005-0000-0000-000009380000}"/>
    <cellStyle name="Note 2 4 11 2 3" xfId="24614" xr:uid="{00000000-0005-0000-0000-00000A380000}"/>
    <cellStyle name="Note 2 4 11 3" xfId="15584" xr:uid="{00000000-0005-0000-0000-00000B380000}"/>
    <cellStyle name="Note 2 4 11 3 2" xfId="30416" xr:uid="{00000000-0005-0000-0000-00000C380000}"/>
    <cellStyle name="Note 2 4 11 4" xfId="22125" xr:uid="{00000000-0005-0000-0000-00000D380000}"/>
    <cellStyle name="Note 2 4 12" xfId="5426" xr:uid="{00000000-0005-0000-0000-00000E380000}"/>
    <cellStyle name="Note 2 4 12 2" xfId="15662" xr:uid="{00000000-0005-0000-0000-00000F380000}"/>
    <cellStyle name="Note 2 4 12 2 2" xfId="30494" xr:uid="{00000000-0005-0000-0000-000010380000}"/>
    <cellStyle name="Note 2 4 12 3" xfId="22187" xr:uid="{00000000-0005-0000-0000-000011380000}"/>
    <cellStyle name="Note 2 4 13" xfId="9365" xr:uid="{00000000-0005-0000-0000-000012380000}"/>
    <cellStyle name="Note 2 4 13 2" xfId="24671" xr:uid="{00000000-0005-0000-0000-000013380000}"/>
    <cellStyle name="Note 2 4 14" xfId="5354" xr:uid="{00000000-0005-0000-0000-000014380000}"/>
    <cellStyle name="Note 2 4 14 2" xfId="18228" xr:uid="{00000000-0005-0000-0000-000015380000}"/>
    <cellStyle name="Note 2 4 2" xfId="1338" xr:uid="{00000000-0005-0000-0000-000016380000}"/>
    <cellStyle name="Note 2 4 2 2" xfId="1842" xr:uid="{00000000-0005-0000-0000-000017380000}"/>
    <cellStyle name="Note 2 4 2 2 2" xfId="3636" xr:uid="{00000000-0005-0000-0000-000018380000}"/>
    <cellStyle name="Note 2 4 2 2 2 2" xfId="7695" xr:uid="{00000000-0005-0000-0000-000019380000}"/>
    <cellStyle name="Note 2 4 2 2 2 2 2" xfId="17294" xr:uid="{00000000-0005-0000-0000-00001A380000}"/>
    <cellStyle name="Note 2 4 2 2 2 2 2 2" xfId="32126" xr:uid="{00000000-0005-0000-0000-00001B380000}"/>
    <cellStyle name="Note 2 4 2 2 2 2 3" xfId="23598" xr:uid="{00000000-0005-0000-0000-00001C380000}"/>
    <cellStyle name="Note 2 4 2 2 2 3" xfId="13971" xr:uid="{00000000-0005-0000-0000-00001D380000}"/>
    <cellStyle name="Note 2 4 2 2 2 3 2" xfId="28803" xr:uid="{00000000-0005-0000-0000-00001E380000}"/>
    <cellStyle name="Note 2 4 2 2 2 4" xfId="10910" xr:uid="{00000000-0005-0000-0000-00001F380000}"/>
    <cellStyle name="Note 2 4 2 2 2 4 2" xfId="25742" xr:uid="{00000000-0005-0000-0000-000020380000}"/>
    <cellStyle name="Note 2 4 2 2 2 5" xfId="21263" xr:uid="{00000000-0005-0000-0000-000021380000}"/>
    <cellStyle name="Note 2 4 2 2 3" xfId="4820" xr:uid="{00000000-0005-0000-0000-000022380000}"/>
    <cellStyle name="Note 2 4 2 2 3 2" xfId="8859" xr:uid="{00000000-0005-0000-0000-000023380000}"/>
    <cellStyle name="Note 2 4 2 2 3 2 2" xfId="17900" xr:uid="{00000000-0005-0000-0000-000024380000}"/>
    <cellStyle name="Note 2 4 2 2 3 2 2 2" xfId="32732" xr:uid="{00000000-0005-0000-0000-000025380000}"/>
    <cellStyle name="Note 2 4 2 2 3 2 3" xfId="24357" xr:uid="{00000000-0005-0000-0000-000026380000}"/>
    <cellStyle name="Note 2 4 2 2 3 3" xfId="15144" xr:uid="{00000000-0005-0000-0000-000027380000}"/>
    <cellStyle name="Note 2 4 2 2 3 3 2" xfId="29976" xr:uid="{00000000-0005-0000-0000-000028380000}"/>
    <cellStyle name="Note 2 4 2 2 3 4" xfId="11503" xr:uid="{00000000-0005-0000-0000-000029380000}"/>
    <cellStyle name="Note 2 4 2 2 3 4 2" xfId="26335" xr:uid="{00000000-0005-0000-0000-00002A380000}"/>
    <cellStyle name="Note 2 4 2 2 3 5" xfId="21895" xr:uid="{00000000-0005-0000-0000-00002B380000}"/>
    <cellStyle name="Note 2 4 2 2 4" xfId="2810" xr:uid="{00000000-0005-0000-0000-00002C380000}"/>
    <cellStyle name="Note 2 4 2 2 4 2" xfId="6901" xr:uid="{00000000-0005-0000-0000-00002D380000}"/>
    <cellStyle name="Note 2 4 2 2 4 2 2" xfId="16794" xr:uid="{00000000-0005-0000-0000-00002E380000}"/>
    <cellStyle name="Note 2 4 2 2 4 2 2 2" xfId="31626" xr:uid="{00000000-0005-0000-0000-00002F380000}"/>
    <cellStyle name="Note 2 4 2 2 4 2 3" xfId="23108" xr:uid="{00000000-0005-0000-0000-000030380000}"/>
    <cellStyle name="Note 2 4 2 2 4 3" xfId="13148" xr:uid="{00000000-0005-0000-0000-000031380000}"/>
    <cellStyle name="Note 2 4 2 2 4 3 2" xfId="27980" xr:uid="{00000000-0005-0000-0000-000032380000}"/>
    <cellStyle name="Note 2 4 2 2 4 4" xfId="10447" xr:uid="{00000000-0005-0000-0000-000033380000}"/>
    <cellStyle name="Note 2 4 2 2 4 4 2" xfId="25279" xr:uid="{00000000-0005-0000-0000-000034380000}"/>
    <cellStyle name="Note 2 4 2 2 4 5" xfId="20768" xr:uid="{00000000-0005-0000-0000-000035380000}"/>
    <cellStyle name="Note 2 4 2 2 5" xfId="5974" xr:uid="{00000000-0005-0000-0000-000036380000}"/>
    <cellStyle name="Note 2 4 2 2 5 2" xfId="16166" xr:uid="{00000000-0005-0000-0000-000037380000}"/>
    <cellStyle name="Note 2 4 2 2 5 2 2" xfId="30998" xr:uid="{00000000-0005-0000-0000-000038380000}"/>
    <cellStyle name="Note 2 4 2 2 5 3" xfId="22539" xr:uid="{00000000-0005-0000-0000-000039380000}"/>
    <cellStyle name="Note 2 4 2 2 6" xfId="12236" xr:uid="{00000000-0005-0000-0000-00003A380000}"/>
    <cellStyle name="Note 2 4 2 2 6 2" xfId="27068" xr:uid="{00000000-0005-0000-0000-00003B380000}"/>
    <cellStyle name="Note 2 4 2 2 7" xfId="9832" xr:uid="{00000000-0005-0000-0000-00003C380000}"/>
    <cellStyle name="Note 2 4 2 2 7 2" xfId="24758" xr:uid="{00000000-0005-0000-0000-00003D380000}"/>
    <cellStyle name="Note 2 4 2 2 8" xfId="20316" xr:uid="{00000000-0005-0000-0000-00003E380000}"/>
    <cellStyle name="Note 2 4 2 3" xfId="3240" xr:uid="{00000000-0005-0000-0000-00003F380000}"/>
    <cellStyle name="Note 2 4 2 3 2" xfId="7304" xr:uid="{00000000-0005-0000-0000-000040380000}"/>
    <cellStyle name="Note 2 4 2 3 2 2" xfId="17062" xr:uid="{00000000-0005-0000-0000-000041380000}"/>
    <cellStyle name="Note 2 4 2 3 2 2 2" xfId="31894" xr:uid="{00000000-0005-0000-0000-000042380000}"/>
    <cellStyle name="Note 2 4 2 3 2 3" xfId="23344" xr:uid="{00000000-0005-0000-0000-000043380000}"/>
    <cellStyle name="Note 2 4 2 3 3" xfId="13577" xr:uid="{00000000-0005-0000-0000-000044380000}"/>
    <cellStyle name="Note 2 4 2 3 3 2" xfId="28409" xr:uid="{00000000-0005-0000-0000-000045380000}"/>
    <cellStyle name="Note 2 4 2 3 4" xfId="10696" xr:uid="{00000000-0005-0000-0000-000046380000}"/>
    <cellStyle name="Note 2 4 2 3 4 2" xfId="25528" xr:uid="{00000000-0005-0000-0000-000047380000}"/>
    <cellStyle name="Note 2 4 2 3 5" xfId="21031" xr:uid="{00000000-0005-0000-0000-000048380000}"/>
    <cellStyle name="Note 2 4 2 4" xfId="4400" xr:uid="{00000000-0005-0000-0000-000049380000}"/>
    <cellStyle name="Note 2 4 2 4 2" xfId="8439" xr:uid="{00000000-0005-0000-0000-00004A380000}"/>
    <cellStyle name="Note 2 4 2 4 2 2" xfId="17660" xr:uid="{00000000-0005-0000-0000-00004B380000}"/>
    <cellStyle name="Note 2 4 2 4 2 2 2" xfId="32492" xr:uid="{00000000-0005-0000-0000-00004C380000}"/>
    <cellStyle name="Note 2 4 2 4 2 3" xfId="24097" xr:uid="{00000000-0005-0000-0000-00004D380000}"/>
    <cellStyle name="Note 2 4 2 4 3" xfId="14729" xr:uid="{00000000-0005-0000-0000-00004E380000}"/>
    <cellStyle name="Note 2 4 2 4 3 2" xfId="29561" xr:uid="{00000000-0005-0000-0000-00004F380000}"/>
    <cellStyle name="Note 2 4 2 4 4" xfId="11268" xr:uid="{00000000-0005-0000-0000-000050380000}"/>
    <cellStyle name="Note 2 4 2 4 4 2" xfId="26100" xr:uid="{00000000-0005-0000-0000-000051380000}"/>
    <cellStyle name="Note 2 4 2 4 5" xfId="21665" xr:uid="{00000000-0005-0000-0000-000052380000}"/>
    <cellStyle name="Note 2 4 2 5" xfId="2390" xr:uid="{00000000-0005-0000-0000-000053380000}"/>
    <cellStyle name="Note 2 4 2 5 2" xfId="6502" xr:uid="{00000000-0005-0000-0000-000054380000}"/>
    <cellStyle name="Note 2 4 2 5 2 2" xfId="16558" xr:uid="{00000000-0005-0000-0000-000055380000}"/>
    <cellStyle name="Note 2 4 2 5 2 2 2" xfId="31390" xr:uid="{00000000-0005-0000-0000-000056380000}"/>
    <cellStyle name="Note 2 4 2 5 2 3" xfId="22872" xr:uid="{00000000-0005-0000-0000-000057380000}"/>
    <cellStyle name="Note 2 4 2 5 3" xfId="12729" xr:uid="{00000000-0005-0000-0000-000058380000}"/>
    <cellStyle name="Note 2 4 2 5 3 2" xfId="27561" xr:uid="{00000000-0005-0000-0000-000059380000}"/>
    <cellStyle name="Note 2 4 2 5 4" xfId="10208" xr:uid="{00000000-0005-0000-0000-00005A380000}"/>
    <cellStyle name="Note 2 4 2 5 4 2" xfId="25040" xr:uid="{00000000-0005-0000-0000-00005B380000}"/>
    <cellStyle name="Note 2 4 2 5 5" xfId="20514" xr:uid="{00000000-0005-0000-0000-00005C380000}"/>
    <cellStyle name="Note 2 4 2 6" xfId="5515" xr:uid="{00000000-0005-0000-0000-00005D380000}"/>
    <cellStyle name="Note 2 4 2 6 2" xfId="15750" xr:uid="{00000000-0005-0000-0000-00005E380000}"/>
    <cellStyle name="Note 2 4 2 6 2 2" xfId="30582" xr:uid="{00000000-0005-0000-0000-00005F380000}"/>
    <cellStyle name="Note 2 4 2 6 3" xfId="22243" xr:uid="{00000000-0005-0000-0000-000060380000}"/>
    <cellStyle name="Note 2 4 2 7" xfId="11765" xr:uid="{00000000-0005-0000-0000-000061380000}"/>
    <cellStyle name="Note 2 4 2 7 2" xfId="26597" xr:uid="{00000000-0005-0000-0000-000062380000}"/>
    <cellStyle name="Note 2 4 2 8" xfId="9436" xr:uid="{00000000-0005-0000-0000-000063380000}"/>
    <cellStyle name="Note 2 4 2 8 2" xfId="19740" xr:uid="{00000000-0005-0000-0000-000064380000}"/>
    <cellStyle name="Note 2 4 3" xfId="1508" xr:uid="{00000000-0005-0000-0000-000065380000}"/>
    <cellStyle name="Note 2 4 3 2" xfId="2005" xr:uid="{00000000-0005-0000-0000-000066380000}"/>
    <cellStyle name="Note 2 4 3 2 2" xfId="3527" xr:uid="{00000000-0005-0000-0000-000067380000}"/>
    <cellStyle name="Note 2 4 3 2 2 2" xfId="7589" xr:uid="{00000000-0005-0000-0000-000068380000}"/>
    <cellStyle name="Note 2 4 3 2 2 2 2" xfId="17234" xr:uid="{00000000-0005-0000-0000-000069380000}"/>
    <cellStyle name="Note 2 4 3 2 2 2 2 2" xfId="32066" xr:uid="{00000000-0005-0000-0000-00006A380000}"/>
    <cellStyle name="Note 2 4 3 2 2 2 3" xfId="23537" xr:uid="{00000000-0005-0000-0000-00006B380000}"/>
    <cellStyle name="Note 2 4 3 2 2 3" xfId="13864" xr:uid="{00000000-0005-0000-0000-00006C380000}"/>
    <cellStyle name="Note 2 4 3 2 2 3 2" xfId="28696" xr:uid="{00000000-0005-0000-0000-00006D380000}"/>
    <cellStyle name="Note 2 4 3 2 2 4" xfId="10852" xr:uid="{00000000-0005-0000-0000-00006E380000}"/>
    <cellStyle name="Note 2 4 3 2 2 4 2" xfId="25684" xr:uid="{00000000-0005-0000-0000-00006F380000}"/>
    <cellStyle name="Note 2 4 3 2 2 5" xfId="21212" xr:uid="{00000000-0005-0000-0000-000070380000}"/>
    <cellStyle name="Note 2 4 3 2 3" xfId="4973" xr:uid="{00000000-0005-0000-0000-000071380000}"/>
    <cellStyle name="Note 2 4 3 2 3 2" xfId="9012" xr:uid="{00000000-0005-0000-0000-000072380000}"/>
    <cellStyle name="Note 2 4 3 2 3 2 2" xfId="17950" xr:uid="{00000000-0005-0000-0000-000073380000}"/>
    <cellStyle name="Note 2 4 3 2 3 2 2 2" xfId="32782" xr:uid="{00000000-0005-0000-0000-000074380000}"/>
    <cellStyle name="Note 2 4 3 2 3 2 3" xfId="24478" xr:uid="{00000000-0005-0000-0000-000075380000}"/>
    <cellStyle name="Note 2 4 3 2 3 3" xfId="15295" xr:uid="{00000000-0005-0000-0000-000076380000}"/>
    <cellStyle name="Note 2 4 3 2 3 3 2" xfId="30127" xr:uid="{00000000-0005-0000-0000-000077380000}"/>
    <cellStyle name="Note 2 4 3 2 3 4" xfId="11551" xr:uid="{00000000-0005-0000-0000-000078380000}"/>
    <cellStyle name="Note 2 4 3 2 3 4 2" xfId="26383" xr:uid="{00000000-0005-0000-0000-000079380000}"/>
    <cellStyle name="Note 2 4 3 2 3 5" xfId="22004" xr:uid="{00000000-0005-0000-0000-00007A380000}"/>
    <cellStyle name="Note 2 4 3 2 4" xfId="2963" xr:uid="{00000000-0005-0000-0000-00007B380000}"/>
    <cellStyle name="Note 2 4 3 2 4 2" xfId="7043" xr:uid="{00000000-0005-0000-0000-00007C380000}"/>
    <cellStyle name="Note 2 4 3 2 4 2 2" xfId="16842" xr:uid="{00000000-0005-0000-0000-00007D380000}"/>
    <cellStyle name="Note 2 4 3 2 4 2 2 2" xfId="31674" xr:uid="{00000000-0005-0000-0000-00007E380000}"/>
    <cellStyle name="Note 2 4 3 2 4 2 3" xfId="23217" xr:uid="{00000000-0005-0000-0000-00007F380000}"/>
    <cellStyle name="Note 2 4 3 2 4 3" xfId="13301" xr:uid="{00000000-0005-0000-0000-000080380000}"/>
    <cellStyle name="Note 2 4 3 2 4 3 2" xfId="28133" xr:uid="{00000000-0005-0000-0000-000081380000}"/>
    <cellStyle name="Note 2 4 3 2 4 4" xfId="10497" xr:uid="{00000000-0005-0000-0000-000082380000}"/>
    <cellStyle name="Note 2 4 3 2 4 4 2" xfId="25329" xr:uid="{00000000-0005-0000-0000-000083380000}"/>
    <cellStyle name="Note 2 4 3 2 4 5" xfId="20889" xr:uid="{00000000-0005-0000-0000-000084380000}"/>
    <cellStyle name="Note 2 4 3 2 5" xfId="6135" xr:uid="{00000000-0005-0000-0000-000085380000}"/>
    <cellStyle name="Note 2 4 3 2 5 2" xfId="16322" xr:uid="{00000000-0005-0000-0000-000086380000}"/>
    <cellStyle name="Note 2 4 3 2 5 2 2" xfId="31154" xr:uid="{00000000-0005-0000-0000-000087380000}"/>
    <cellStyle name="Note 2 4 3 2 5 3" xfId="22668" xr:uid="{00000000-0005-0000-0000-000088380000}"/>
    <cellStyle name="Note 2 4 3 2 6" xfId="12392" xr:uid="{00000000-0005-0000-0000-000089380000}"/>
    <cellStyle name="Note 2 4 3 2 6 2" xfId="27224" xr:uid="{00000000-0005-0000-0000-00008A380000}"/>
    <cellStyle name="Note 2 4 3 2 7" xfId="9974" xr:uid="{00000000-0005-0000-0000-00008B380000}"/>
    <cellStyle name="Note 2 4 3 2 7 2" xfId="24806" xr:uid="{00000000-0005-0000-0000-00008C380000}"/>
    <cellStyle name="Note 2 4 3 2 8" xfId="20347" xr:uid="{00000000-0005-0000-0000-00008D380000}"/>
    <cellStyle name="Note 2 4 3 3" xfId="3294" xr:uid="{00000000-0005-0000-0000-00008E380000}"/>
    <cellStyle name="Note 2 4 3 3 2" xfId="7358" xr:uid="{00000000-0005-0000-0000-00008F380000}"/>
    <cellStyle name="Note 2 4 3 3 2 2" xfId="17100" xr:uid="{00000000-0005-0000-0000-000090380000}"/>
    <cellStyle name="Note 2 4 3 3 2 2 2" xfId="31932" xr:uid="{00000000-0005-0000-0000-000091380000}"/>
    <cellStyle name="Note 2 4 3 3 2 3" xfId="23381" xr:uid="{00000000-0005-0000-0000-000092380000}"/>
    <cellStyle name="Note 2 4 3 3 3" xfId="13631" xr:uid="{00000000-0005-0000-0000-000093380000}"/>
    <cellStyle name="Note 2 4 3 3 3 2" xfId="28463" xr:uid="{00000000-0005-0000-0000-000094380000}"/>
    <cellStyle name="Note 2 4 3 3 4" xfId="10726" xr:uid="{00000000-0005-0000-0000-000095380000}"/>
    <cellStyle name="Note 2 4 3 3 4 2" xfId="25558" xr:uid="{00000000-0005-0000-0000-000096380000}"/>
    <cellStyle name="Note 2 4 3 3 5" xfId="21068" xr:uid="{00000000-0005-0000-0000-000097380000}"/>
    <cellStyle name="Note 2 4 3 4" xfId="4553" xr:uid="{00000000-0005-0000-0000-000098380000}"/>
    <cellStyle name="Note 2 4 3 4 2" xfId="8592" xr:uid="{00000000-0005-0000-0000-000099380000}"/>
    <cellStyle name="Note 2 4 3 4 2 2" xfId="17710" xr:uid="{00000000-0005-0000-0000-00009A380000}"/>
    <cellStyle name="Note 2 4 3 4 2 2 2" xfId="32542" xr:uid="{00000000-0005-0000-0000-00009B380000}"/>
    <cellStyle name="Note 2 4 3 4 2 3" xfId="24218" xr:uid="{00000000-0005-0000-0000-00009C380000}"/>
    <cellStyle name="Note 2 4 3 4 3" xfId="14880" xr:uid="{00000000-0005-0000-0000-00009D380000}"/>
    <cellStyle name="Note 2 4 3 4 3 2" xfId="29712" xr:uid="{00000000-0005-0000-0000-00009E380000}"/>
    <cellStyle name="Note 2 4 3 4 4" xfId="11316" xr:uid="{00000000-0005-0000-0000-00009F380000}"/>
    <cellStyle name="Note 2 4 3 4 4 2" xfId="26148" xr:uid="{00000000-0005-0000-0000-0000A0380000}"/>
    <cellStyle name="Note 2 4 3 4 5" xfId="21774" xr:uid="{00000000-0005-0000-0000-0000A1380000}"/>
    <cellStyle name="Note 2 4 3 5" xfId="2543" xr:uid="{00000000-0005-0000-0000-0000A2380000}"/>
    <cellStyle name="Note 2 4 3 5 2" xfId="6649" xr:uid="{00000000-0005-0000-0000-0000A3380000}"/>
    <cellStyle name="Note 2 4 3 5 2 2" xfId="16607" xr:uid="{00000000-0005-0000-0000-0000A4380000}"/>
    <cellStyle name="Note 2 4 3 5 2 2 2" xfId="31439" xr:uid="{00000000-0005-0000-0000-0000A5380000}"/>
    <cellStyle name="Note 2 4 3 5 2 3" xfId="22987" xr:uid="{00000000-0005-0000-0000-0000A6380000}"/>
    <cellStyle name="Note 2 4 3 5 3" xfId="12881" xr:uid="{00000000-0005-0000-0000-0000A7380000}"/>
    <cellStyle name="Note 2 4 3 5 3 2" xfId="27713" xr:uid="{00000000-0005-0000-0000-0000A8380000}"/>
    <cellStyle name="Note 2 4 3 5 4" xfId="10257" xr:uid="{00000000-0005-0000-0000-0000A9380000}"/>
    <cellStyle name="Note 2 4 3 5 4 2" xfId="25089" xr:uid="{00000000-0005-0000-0000-0000AA380000}"/>
    <cellStyle name="Note 2 4 3 5 5" xfId="20629" xr:uid="{00000000-0005-0000-0000-0000AB380000}"/>
    <cellStyle name="Note 2 4 3 6" xfId="5666" xr:uid="{00000000-0005-0000-0000-0000AC380000}"/>
    <cellStyle name="Note 2 4 3 6 2" xfId="15901" xr:uid="{00000000-0005-0000-0000-0000AD380000}"/>
    <cellStyle name="Note 2 4 3 6 2 2" xfId="30733" xr:uid="{00000000-0005-0000-0000-0000AE380000}"/>
    <cellStyle name="Note 2 4 3 6 3" xfId="22362" xr:uid="{00000000-0005-0000-0000-0000AF380000}"/>
    <cellStyle name="Note 2 4 3 7" xfId="11921" xr:uid="{00000000-0005-0000-0000-0000B0380000}"/>
    <cellStyle name="Note 2 4 3 7 2" xfId="26753" xr:uid="{00000000-0005-0000-0000-0000B1380000}"/>
    <cellStyle name="Note 2 4 3 8" xfId="9579" xr:uid="{00000000-0005-0000-0000-0000B2380000}"/>
    <cellStyle name="Note 2 4 3 8 2" xfId="19881" xr:uid="{00000000-0005-0000-0000-0000B3380000}"/>
    <cellStyle name="Note 2 4 4" xfId="1563" xr:uid="{00000000-0005-0000-0000-0000B4380000}"/>
    <cellStyle name="Note 2 4 4 2" xfId="2060" xr:uid="{00000000-0005-0000-0000-0000B5380000}"/>
    <cellStyle name="Note 2 4 4 2 2" xfId="3401" xr:uid="{00000000-0005-0000-0000-0000B6380000}"/>
    <cellStyle name="Note 2 4 4 2 2 2" xfId="7464" xr:uid="{00000000-0005-0000-0000-0000B7380000}"/>
    <cellStyle name="Note 2 4 4 2 2 2 2" xfId="17163" xr:uid="{00000000-0005-0000-0000-0000B8380000}"/>
    <cellStyle name="Note 2 4 4 2 2 2 2 2" xfId="31995" xr:uid="{00000000-0005-0000-0000-0000B9380000}"/>
    <cellStyle name="Note 2 4 4 2 2 2 3" xfId="23452" xr:uid="{00000000-0005-0000-0000-0000BA380000}"/>
    <cellStyle name="Note 2 4 4 2 2 3" xfId="13738" xr:uid="{00000000-0005-0000-0000-0000BB380000}"/>
    <cellStyle name="Note 2 4 4 2 2 3 2" xfId="28570" xr:uid="{00000000-0005-0000-0000-0000BC380000}"/>
    <cellStyle name="Note 2 4 4 2 2 4" xfId="10782" xr:uid="{00000000-0005-0000-0000-0000BD380000}"/>
    <cellStyle name="Note 2 4 4 2 2 4 2" xfId="25614" xr:uid="{00000000-0005-0000-0000-0000BE380000}"/>
    <cellStyle name="Note 2 4 4 2 2 5" xfId="21130" xr:uid="{00000000-0005-0000-0000-0000BF380000}"/>
    <cellStyle name="Note 2 4 4 2 3" xfId="5028" xr:uid="{00000000-0005-0000-0000-0000C0380000}"/>
    <cellStyle name="Note 2 4 4 2 3 2" xfId="9067" xr:uid="{00000000-0005-0000-0000-0000C1380000}"/>
    <cellStyle name="Note 2 4 4 2 3 2 2" xfId="18000" xr:uid="{00000000-0005-0000-0000-0000C2380000}"/>
    <cellStyle name="Note 2 4 4 2 3 2 2 2" xfId="32832" xr:uid="{00000000-0005-0000-0000-0000C3380000}"/>
    <cellStyle name="Note 2 4 4 2 3 2 3" xfId="24501" xr:uid="{00000000-0005-0000-0000-0000C4380000}"/>
    <cellStyle name="Note 2 4 4 2 3 3" xfId="15349" xr:uid="{00000000-0005-0000-0000-0000C5380000}"/>
    <cellStyle name="Note 2 4 4 2 3 3 2" xfId="30181" xr:uid="{00000000-0005-0000-0000-0000C6380000}"/>
    <cellStyle name="Note 2 4 4 2 3 4" xfId="11600" xr:uid="{00000000-0005-0000-0000-0000C7380000}"/>
    <cellStyle name="Note 2 4 4 2 3 4 2" xfId="26432" xr:uid="{00000000-0005-0000-0000-0000C8380000}"/>
    <cellStyle name="Note 2 4 4 2 3 5" xfId="22021" xr:uid="{00000000-0005-0000-0000-0000C9380000}"/>
    <cellStyle name="Note 2 4 4 2 4" xfId="3018" xr:uid="{00000000-0005-0000-0000-0000CA380000}"/>
    <cellStyle name="Note 2 4 4 2 4 2" xfId="7093" xr:uid="{00000000-0005-0000-0000-0000CB380000}"/>
    <cellStyle name="Note 2 4 4 2 4 2 2" xfId="16891" xr:uid="{00000000-0005-0000-0000-0000CC380000}"/>
    <cellStyle name="Note 2 4 4 2 4 2 2 2" xfId="31723" xr:uid="{00000000-0005-0000-0000-0000CD380000}"/>
    <cellStyle name="Note 2 4 4 2 4 2 3" xfId="23234" xr:uid="{00000000-0005-0000-0000-0000CE380000}"/>
    <cellStyle name="Note 2 4 4 2 4 3" xfId="13356" xr:uid="{00000000-0005-0000-0000-0000CF380000}"/>
    <cellStyle name="Note 2 4 4 2 4 3 2" xfId="28188" xr:uid="{00000000-0005-0000-0000-0000D0380000}"/>
    <cellStyle name="Note 2 4 4 2 4 4" xfId="10547" xr:uid="{00000000-0005-0000-0000-0000D1380000}"/>
    <cellStyle name="Note 2 4 4 2 4 4 2" xfId="25379" xr:uid="{00000000-0005-0000-0000-0000D2380000}"/>
    <cellStyle name="Note 2 4 4 2 4 5" xfId="20912" xr:uid="{00000000-0005-0000-0000-0000D3380000}"/>
    <cellStyle name="Note 2 4 4 2 5" xfId="6185" xr:uid="{00000000-0005-0000-0000-0000D4380000}"/>
    <cellStyle name="Note 2 4 4 2 5 2" xfId="16371" xr:uid="{00000000-0005-0000-0000-0000D5380000}"/>
    <cellStyle name="Note 2 4 4 2 5 2 2" xfId="31203" xr:uid="{00000000-0005-0000-0000-0000D6380000}"/>
    <cellStyle name="Note 2 4 4 2 5 3" xfId="22685" xr:uid="{00000000-0005-0000-0000-0000D7380000}"/>
    <cellStyle name="Note 2 4 4 2 6" xfId="12441" xr:uid="{00000000-0005-0000-0000-0000D8380000}"/>
    <cellStyle name="Note 2 4 4 2 6 2" xfId="27273" xr:uid="{00000000-0005-0000-0000-0000D9380000}"/>
    <cellStyle name="Note 2 4 4 2 7" xfId="10023" xr:uid="{00000000-0005-0000-0000-0000DA380000}"/>
    <cellStyle name="Note 2 4 4 2 7 2" xfId="24855" xr:uid="{00000000-0005-0000-0000-0000DB380000}"/>
    <cellStyle name="Note 2 4 4 2 8" xfId="20364" xr:uid="{00000000-0005-0000-0000-0000DC380000}"/>
    <cellStyle name="Note 2 4 4 3" xfId="4305" xr:uid="{00000000-0005-0000-0000-0000DD380000}"/>
    <cellStyle name="Note 2 4 4 3 2" xfId="8344" xr:uid="{00000000-0005-0000-0000-0000DE380000}"/>
    <cellStyle name="Note 2 4 4 3 2 2" xfId="17623" xr:uid="{00000000-0005-0000-0000-0000DF380000}"/>
    <cellStyle name="Note 2 4 4 3 2 2 2" xfId="32455" xr:uid="{00000000-0005-0000-0000-0000E0380000}"/>
    <cellStyle name="Note 2 4 4 3 2 3" xfId="24026" xr:uid="{00000000-0005-0000-0000-0000E1380000}"/>
    <cellStyle name="Note 2 4 4 3 3" xfId="14636" xr:uid="{00000000-0005-0000-0000-0000E2380000}"/>
    <cellStyle name="Note 2 4 4 3 3 2" xfId="29468" xr:uid="{00000000-0005-0000-0000-0000E3380000}"/>
    <cellStyle name="Note 2 4 4 3 4" xfId="11235" xr:uid="{00000000-0005-0000-0000-0000E4380000}"/>
    <cellStyle name="Note 2 4 4 3 4 2" xfId="26067" xr:uid="{00000000-0005-0000-0000-0000E5380000}"/>
    <cellStyle name="Note 2 4 4 3 5" xfId="21623" xr:uid="{00000000-0005-0000-0000-0000E6380000}"/>
    <cellStyle name="Note 2 4 4 4" xfId="4608" xr:uid="{00000000-0005-0000-0000-0000E7380000}"/>
    <cellStyle name="Note 2 4 4 4 2" xfId="8647" xr:uid="{00000000-0005-0000-0000-0000E8380000}"/>
    <cellStyle name="Note 2 4 4 4 2 2" xfId="17760" xr:uid="{00000000-0005-0000-0000-0000E9380000}"/>
    <cellStyle name="Note 2 4 4 4 2 2 2" xfId="32592" xr:uid="{00000000-0005-0000-0000-0000EA380000}"/>
    <cellStyle name="Note 2 4 4 4 2 3" xfId="24241" xr:uid="{00000000-0005-0000-0000-0000EB380000}"/>
    <cellStyle name="Note 2 4 4 4 3" xfId="14934" xr:uid="{00000000-0005-0000-0000-0000EC380000}"/>
    <cellStyle name="Note 2 4 4 4 3 2" xfId="29766" xr:uid="{00000000-0005-0000-0000-0000ED380000}"/>
    <cellStyle name="Note 2 4 4 4 4" xfId="11365" xr:uid="{00000000-0005-0000-0000-0000EE380000}"/>
    <cellStyle name="Note 2 4 4 4 4 2" xfId="26197" xr:uid="{00000000-0005-0000-0000-0000EF380000}"/>
    <cellStyle name="Note 2 4 4 4 5" xfId="21791" xr:uid="{00000000-0005-0000-0000-0000F0380000}"/>
    <cellStyle name="Note 2 4 4 5" xfId="2598" xr:uid="{00000000-0005-0000-0000-0000F1380000}"/>
    <cellStyle name="Note 2 4 4 5 2" xfId="6699" xr:uid="{00000000-0005-0000-0000-0000F2380000}"/>
    <cellStyle name="Note 2 4 4 5 2 2" xfId="16656" xr:uid="{00000000-0005-0000-0000-0000F3380000}"/>
    <cellStyle name="Note 2 4 4 5 2 2 2" xfId="31488" xr:uid="{00000000-0005-0000-0000-0000F4380000}"/>
    <cellStyle name="Note 2 4 4 5 2 3" xfId="23004" xr:uid="{00000000-0005-0000-0000-0000F5380000}"/>
    <cellStyle name="Note 2 4 4 5 3" xfId="12936" xr:uid="{00000000-0005-0000-0000-0000F6380000}"/>
    <cellStyle name="Note 2 4 4 5 3 2" xfId="27768" xr:uid="{00000000-0005-0000-0000-0000F7380000}"/>
    <cellStyle name="Note 2 4 4 5 4" xfId="10307" xr:uid="{00000000-0005-0000-0000-0000F8380000}"/>
    <cellStyle name="Note 2 4 4 5 4 2" xfId="25139" xr:uid="{00000000-0005-0000-0000-0000F9380000}"/>
    <cellStyle name="Note 2 4 4 5 5" xfId="20652" xr:uid="{00000000-0005-0000-0000-0000FA380000}"/>
    <cellStyle name="Note 2 4 4 6" xfId="5715" xr:uid="{00000000-0005-0000-0000-0000FB380000}"/>
    <cellStyle name="Note 2 4 4 6 2" xfId="15950" xr:uid="{00000000-0005-0000-0000-0000FC380000}"/>
    <cellStyle name="Note 2 4 4 6 2 2" xfId="30782" xr:uid="{00000000-0005-0000-0000-0000FD380000}"/>
    <cellStyle name="Note 2 4 4 6 3" xfId="22379" xr:uid="{00000000-0005-0000-0000-0000FE380000}"/>
    <cellStyle name="Note 2 4 4 7" xfId="11970" xr:uid="{00000000-0005-0000-0000-0000FF380000}"/>
    <cellStyle name="Note 2 4 4 7 2" xfId="26802" xr:uid="{00000000-0005-0000-0000-000000390000}"/>
    <cellStyle name="Note 2 4 4 8" xfId="9629" xr:uid="{00000000-0005-0000-0000-000001390000}"/>
    <cellStyle name="Note 2 4 4 8 2" xfId="19930" xr:uid="{00000000-0005-0000-0000-000002390000}"/>
    <cellStyle name="Note 2 4 5" xfId="1613" xr:uid="{00000000-0005-0000-0000-000003390000}"/>
    <cellStyle name="Note 2 4 5 2" xfId="2110" xr:uid="{00000000-0005-0000-0000-000004390000}"/>
    <cellStyle name="Note 2 4 5 2 2" xfId="3786" xr:uid="{00000000-0005-0000-0000-000005390000}"/>
    <cellStyle name="Note 2 4 5 2 2 2" xfId="7841" xr:uid="{00000000-0005-0000-0000-000006390000}"/>
    <cellStyle name="Note 2 4 5 2 2 2 2" xfId="17363" xr:uid="{00000000-0005-0000-0000-000007390000}"/>
    <cellStyle name="Note 2 4 5 2 2 2 2 2" xfId="32195" xr:uid="{00000000-0005-0000-0000-000008390000}"/>
    <cellStyle name="Note 2 4 5 2 2 2 3" xfId="23697" xr:uid="{00000000-0005-0000-0000-000009390000}"/>
    <cellStyle name="Note 2 4 5 2 2 3" xfId="14121" xr:uid="{00000000-0005-0000-0000-00000A390000}"/>
    <cellStyle name="Note 2 4 5 2 2 3 2" xfId="28953" xr:uid="{00000000-0005-0000-0000-00000B390000}"/>
    <cellStyle name="Note 2 4 5 2 2 4" xfId="10980" xr:uid="{00000000-0005-0000-0000-00000C390000}"/>
    <cellStyle name="Note 2 4 5 2 2 4 2" xfId="25812" xr:uid="{00000000-0005-0000-0000-00000D390000}"/>
    <cellStyle name="Note 2 4 5 2 2 5" xfId="21349" xr:uid="{00000000-0005-0000-0000-00000E390000}"/>
    <cellStyle name="Note 2 4 5 2 3" xfId="5078" xr:uid="{00000000-0005-0000-0000-00000F390000}"/>
    <cellStyle name="Note 2 4 5 2 3 2" xfId="9117" xr:uid="{00000000-0005-0000-0000-000010390000}"/>
    <cellStyle name="Note 2 4 5 2 3 2 2" xfId="18045" xr:uid="{00000000-0005-0000-0000-000011390000}"/>
    <cellStyle name="Note 2 4 5 2 3 2 2 2" xfId="32877" xr:uid="{00000000-0005-0000-0000-000012390000}"/>
    <cellStyle name="Note 2 4 5 2 3 2 3" xfId="24519" xr:uid="{00000000-0005-0000-0000-000013390000}"/>
    <cellStyle name="Note 2 4 5 2 3 3" xfId="15398" xr:uid="{00000000-0005-0000-0000-000014390000}"/>
    <cellStyle name="Note 2 4 5 2 3 3 2" xfId="30230" xr:uid="{00000000-0005-0000-0000-000015390000}"/>
    <cellStyle name="Note 2 4 5 2 3 4" xfId="11644" xr:uid="{00000000-0005-0000-0000-000016390000}"/>
    <cellStyle name="Note 2 4 5 2 3 4 2" xfId="26476" xr:uid="{00000000-0005-0000-0000-000017390000}"/>
    <cellStyle name="Note 2 4 5 2 3 5" xfId="22033" xr:uid="{00000000-0005-0000-0000-000018390000}"/>
    <cellStyle name="Note 2 4 5 2 4" xfId="3068" xr:uid="{00000000-0005-0000-0000-000019390000}"/>
    <cellStyle name="Note 2 4 5 2 4 2" xfId="7138" xr:uid="{00000000-0005-0000-0000-00001A390000}"/>
    <cellStyle name="Note 2 4 5 2 4 2 2" xfId="16935" xr:uid="{00000000-0005-0000-0000-00001B390000}"/>
    <cellStyle name="Note 2 4 5 2 4 2 2 2" xfId="31767" xr:uid="{00000000-0005-0000-0000-00001C390000}"/>
    <cellStyle name="Note 2 4 5 2 4 2 3" xfId="23246" xr:uid="{00000000-0005-0000-0000-00001D390000}"/>
    <cellStyle name="Note 2 4 5 2 4 3" xfId="13406" xr:uid="{00000000-0005-0000-0000-00001E390000}"/>
    <cellStyle name="Note 2 4 5 2 4 3 2" xfId="28238" xr:uid="{00000000-0005-0000-0000-00001F390000}"/>
    <cellStyle name="Note 2 4 5 2 4 4" xfId="10592" xr:uid="{00000000-0005-0000-0000-000020390000}"/>
    <cellStyle name="Note 2 4 5 2 4 4 2" xfId="25424" xr:uid="{00000000-0005-0000-0000-000021390000}"/>
    <cellStyle name="Note 2 4 5 2 4 5" xfId="20930" xr:uid="{00000000-0005-0000-0000-000022390000}"/>
    <cellStyle name="Note 2 4 5 2 5" xfId="6230" xr:uid="{00000000-0005-0000-0000-000023390000}"/>
    <cellStyle name="Note 2 4 5 2 5 2" xfId="16415" xr:uid="{00000000-0005-0000-0000-000024390000}"/>
    <cellStyle name="Note 2 4 5 2 5 2 2" xfId="31247" xr:uid="{00000000-0005-0000-0000-000025390000}"/>
    <cellStyle name="Note 2 4 5 2 5 3" xfId="22697" xr:uid="{00000000-0005-0000-0000-000026390000}"/>
    <cellStyle name="Note 2 4 5 2 6" xfId="12485" xr:uid="{00000000-0005-0000-0000-000027390000}"/>
    <cellStyle name="Note 2 4 5 2 6 2" xfId="27317" xr:uid="{00000000-0005-0000-0000-000028390000}"/>
    <cellStyle name="Note 2 4 5 2 7" xfId="10067" xr:uid="{00000000-0005-0000-0000-000029390000}"/>
    <cellStyle name="Note 2 4 5 2 7 2" xfId="24899" xr:uid="{00000000-0005-0000-0000-00002A390000}"/>
    <cellStyle name="Note 2 4 5 2 8" xfId="20376" xr:uid="{00000000-0005-0000-0000-00002B390000}"/>
    <cellStyle name="Note 2 4 5 3" xfId="3332" xr:uid="{00000000-0005-0000-0000-00002C390000}"/>
    <cellStyle name="Note 2 4 5 3 2" xfId="7395" xr:uid="{00000000-0005-0000-0000-00002D390000}"/>
    <cellStyle name="Note 2 4 5 3 2 2" xfId="17128" xr:uid="{00000000-0005-0000-0000-00002E390000}"/>
    <cellStyle name="Note 2 4 5 3 2 2 2" xfId="31960" xr:uid="{00000000-0005-0000-0000-00002F390000}"/>
    <cellStyle name="Note 2 4 5 3 2 3" xfId="23403" xr:uid="{00000000-0005-0000-0000-000030390000}"/>
    <cellStyle name="Note 2 4 5 3 3" xfId="13669" xr:uid="{00000000-0005-0000-0000-000031390000}"/>
    <cellStyle name="Note 2 4 5 3 3 2" xfId="28501" xr:uid="{00000000-0005-0000-0000-000032390000}"/>
    <cellStyle name="Note 2 4 5 3 4" xfId="10749" xr:uid="{00000000-0005-0000-0000-000033390000}"/>
    <cellStyle name="Note 2 4 5 3 4 2" xfId="25581" xr:uid="{00000000-0005-0000-0000-000034390000}"/>
    <cellStyle name="Note 2 4 5 3 5" xfId="21091" xr:uid="{00000000-0005-0000-0000-000035390000}"/>
    <cellStyle name="Note 2 4 5 4" xfId="4658" xr:uid="{00000000-0005-0000-0000-000036390000}"/>
    <cellStyle name="Note 2 4 5 4 2" xfId="8697" xr:uid="{00000000-0005-0000-0000-000037390000}"/>
    <cellStyle name="Note 2 4 5 4 2 2" xfId="17805" xr:uid="{00000000-0005-0000-0000-000038390000}"/>
    <cellStyle name="Note 2 4 5 4 2 2 2" xfId="32637" xr:uid="{00000000-0005-0000-0000-000039390000}"/>
    <cellStyle name="Note 2 4 5 4 2 3" xfId="24259" xr:uid="{00000000-0005-0000-0000-00003A390000}"/>
    <cellStyle name="Note 2 4 5 4 3" xfId="14983" xr:uid="{00000000-0005-0000-0000-00003B390000}"/>
    <cellStyle name="Note 2 4 5 4 3 2" xfId="29815" xr:uid="{00000000-0005-0000-0000-00003C390000}"/>
    <cellStyle name="Note 2 4 5 4 4" xfId="11409" xr:uid="{00000000-0005-0000-0000-00003D390000}"/>
    <cellStyle name="Note 2 4 5 4 4 2" xfId="26241" xr:uid="{00000000-0005-0000-0000-00003E390000}"/>
    <cellStyle name="Note 2 4 5 4 5" xfId="21803" xr:uid="{00000000-0005-0000-0000-00003F390000}"/>
    <cellStyle name="Note 2 4 5 5" xfId="2648" xr:uid="{00000000-0005-0000-0000-000040390000}"/>
    <cellStyle name="Note 2 4 5 5 2" xfId="6744" xr:uid="{00000000-0005-0000-0000-000041390000}"/>
    <cellStyle name="Note 2 4 5 5 2 2" xfId="16700" xr:uid="{00000000-0005-0000-0000-000042390000}"/>
    <cellStyle name="Note 2 4 5 5 2 2 2" xfId="31532" xr:uid="{00000000-0005-0000-0000-000043390000}"/>
    <cellStyle name="Note 2 4 5 5 2 3" xfId="23016" xr:uid="{00000000-0005-0000-0000-000044390000}"/>
    <cellStyle name="Note 2 4 5 5 3" xfId="12986" xr:uid="{00000000-0005-0000-0000-000045390000}"/>
    <cellStyle name="Note 2 4 5 5 3 2" xfId="27818" xr:uid="{00000000-0005-0000-0000-000046390000}"/>
    <cellStyle name="Note 2 4 5 5 4" xfId="10352" xr:uid="{00000000-0005-0000-0000-000047390000}"/>
    <cellStyle name="Note 2 4 5 5 4 2" xfId="25184" xr:uid="{00000000-0005-0000-0000-000048390000}"/>
    <cellStyle name="Note 2 4 5 5 5" xfId="20670" xr:uid="{00000000-0005-0000-0000-000049390000}"/>
    <cellStyle name="Note 2 4 5 6" xfId="5760" xr:uid="{00000000-0005-0000-0000-00004A390000}"/>
    <cellStyle name="Note 2 4 5 6 2" xfId="15994" xr:uid="{00000000-0005-0000-0000-00004B390000}"/>
    <cellStyle name="Note 2 4 5 6 2 2" xfId="30826" xr:uid="{00000000-0005-0000-0000-00004C390000}"/>
    <cellStyle name="Note 2 4 5 6 3" xfId="22391" xr:uid="{00000000-0005-0000-0000-00004D390000}"/>
    <cellStyle name="Note 2 4 5 7" xfId="12014" xr:uid="{00000000-0005-0000-0000-00004E390000}"/>
    <cellStyle name="Note 2 4 5 7 2" xfId="26846" xr:uid="{00000000-0005-0000-0000-00004F390000}"/>
    <cellStyle name="Note 2 4 5 8" xfId="9674" xr:uid="{00000000-0005-0000-0000-000050390000}"/>
    <cellStyle name="Note 2 4 5 8 2" xfId="19974" xr:uid="{00000000-0005-0000-0000-000051390000}"/>
    <cellStyle name="Note 2 4 6" xfId="1764" xr:uid="{00000000-0005-0000-0000-000052390000}"/>
    <cellStyle name="Note 2 4 6 2" xfId="3849" xr:uid="{00000000-0005-0000-0000-000053390000}"/>
    <cellStyle name="Note 2 4 6 2 2" xfId="7902" xr:uid="{00000000-0005-0000-0000-000054390000}"/>
    <cellStyle name="Note 2 4 6 2 2 2" xfId="17393" xr:uid="{00000000-0005-0000-0000-000055390000}"/>
    <cellStyle name="Note 2 4 6 2 2 2 2" xfId="32225" xr:uid="{00000000-0005-0000-0000-000056390000}"/>
    <cellStyle name="Note 2 4 6 2 2 3" xfId="23739" xr:uid="{00000000-0005-0000-0000-000057390000}"/>
    <cellStyle name="Note 2 4 6 2 3" xfId="14184" xr:uid="{00000000-0005-0000-0000-000058390000}"/>
    <cellStyle name="Note 2 4 6 2 3 2" xfId="29016" xr:uid="{00000000-0005-0000-0000-000059390000}"/>
    <cellStyle name="Note 2 4 6 2 4" xfId="11012" xr:uid="{00000000-0005-0000-0000-00005A390000}"/>
    <cellStyle name="Note 2 4 6 2 4 2" xfId="25844" xr:uid="{00000000-0005-0000-0000-00005B390000}"/>
    <cellStyle name="Note 2 4 6 2 5" xfId="21385" xr:uid="{00000000-0005-0000-0000-00005C390000}"/>
    <cellStyle name="Note 2 4 6 3" xfId="4742" xr:uid="{00000000-0005-0000-0000-00005D390000}"/>
    <cellStyle name="Note 2 4 6 3 2" xfId="8781" xr:uid="{00000000-0005-0000-0000-00005E390000}"/>
    <cellStyle name="Note 2 4 6 3 2 2" xfId="17853" xr:uid="{00000000-0005-0000-0000-00005F390000}"/>
    <cellStyle name="Note 2 4 6 3 2 2 2" xfId="32685" xr:uid="{00000000-0005-0000-0000-000060390000}"/>
    <cellStyle name="Note 2 4 6 3 2 3" xfId="24311" xr:uid="{00000000-0005-0000-0000-000061390000}"/>
    <cellStyle name="Note 2 4 6 3 3" xfId="15066" xr:uid="{00000000-0005-0000-0000-000062390000}"/>
    <cellStyle name="Note 2 4 6 3 3 2" xfId="29898" xr:uid="{00000000-0005-0000-0000-000063390000}"/>
    <cellStyle name="Note 2 4 6 3 4" xfId="11456" xr:uid="{00000000-0005-0000-0000-000064390000}"/>
    <cellStyle name="Note 2 4 6 3 4 2" xfId="26288" xr:uid="{00000000-0005-0000-0000-000065390000}"/>
    <cellStyle name="Note 2 4 6 3 5" xfId="21849" xr:uid="{00000000-0005-0000-0000-000066390000}"/>
    <cellStyle name="Note 2 4 6 4" xfId="2732" xr:uid="{00000000-0005-0000-0000-000067390000}"/>
    <cellStyle name="Note 2 4 6 4 2" xfId="6823" xr:uid="{00000000-0005-0000-0000-000068390000}"/>
    <cellStyle name="Note 2 4 6 4 2 2" xfId="16747" xr:uid="{00000000-0005-0000-0000-000069390000}"/>
    <cellStyle name="Note 2 4 6 4 2 2 2" xfId="31579" xr:uid="{00000000-0005-0000-0000-00006A390000}"/>
    <cellStyle name="Note 2 4 6 4 2 3" xfId="23062" xr:uid="{00000000-0005-0000-0000-00006B390000}"/>
    <cellStyle name="Note 2 4 6 4 3" xfId="13070" xr:uid="{00000000-0005-0000-0000-00006C390000}"/>
    <cellStyle name="Note 2 4 6 4 3 2" xfId="27902" xr:uid="{00000000-0005-0000-0000-00006D390000}"/>
    <cellStyle name="Note 2 4 6 4 4" xfId="10400" xr:uid="{00000000-0005-0000-0000-00006E390000}"/>
    <cellStyle name="Note 2 4 6 4 4 2" xfId="25232" xr:uid="{00000000-0005-0000-0000-00006F390000}"/>
    <cellStyle name="Note 2 4 6 4 5" xfId="20722" xr:uid="{00000000-0005-0000-0000-000070390000}"/>
    <cellStyle name="Note 2 4 6 5" xfId="5896" xr:uid="{00000000-0005-0000-0000-000071390000}"/>
    <cellStyle name="Note 2 4 6 5 2" xfId="16088" xr:uid="{00000000-0005-0000-0000-000072390000}"/>
    <cellStyle name="Note 2 4 6 5 2 2" xfId="30920" xr:uid="{00000000-0005-0000-0000-000073390000}"/>
    <cellStyle name="Note 2 4 6 5 3" xfId="22493" xr:uid="{00000000-0005-0000-0000-000074390000}"/>
    <cellStyle name="Note 2 4 6 6" xfId="12158" xr:uid="{00000000-0005-0000-0000-000075390000}"/>
    <cellStyle name="Note 2 4 6 6 2" xfId="26990" xr:uid="{00000000-0005-0000-0000-000076390000}"/>
    <cellStyle name="Note 2 4 6 7" xfId="9754" xr:uid="{00000000-0005-0000-0000-000077390000}"/>
    <cellStyle name="Note 2 4 6 7 2" xfId="24711" xr:uid="{00000000-0005-0000-0000-000078390000}"/>
    <cellStyle name="Note 2 4 6 8" xfId="20301" xr:uid="{00000000-0005-0000-0000-000079390000}"/>
    <cellStyle name="Note 2 4 7" xfId="2202" xr:uid="{00000000-0005-0000-0000-00007A390000}"/>
    <cellStyle name="Note 2 4 7 2" xfId="3124" xr:uid="{00000000-0005-0000-0000-00007B390000}"/>
    <cellStyle name="Note 2 4 7 2 2" xfId="7188" xr:uid="{00000000-0005-0000-0000-00007C390000}"/>
    <cellStyle name="Note 2 4 7 2 2 2" xfId="16981" xr:uid="{00000000-0005-0000-0000-00007D390000}"/>
    <cellStyle name="Note 2 4 7 2 2 2 2" xfId="31813" xr:uid="{00000000-0005-0000-0000-00007E390000}"/>
    <cellStyle name="Note 2 4 7 2 2 3" xfId="23261" xr:uid="{00000000-0005-0000-0000-00007F390000}"/>
    <cellStyle name="Note 2 4 7 2 3" xfId="13462" xr:uid="{00000000-0005-0000-0000-000080390000}"/>
    <cellStyle name="Note 2 4 7 2 3 2" xfId="28294" xr:uid="{00000000-0005-0000-0000-000081390000}"/>
    <cellStyle name="Note 2 4 7 2 4" xfId="10639" xr:uid="{00000000-0005-0000-0000-000082390000}"/>
    <cellStyle name="Note 2 4 7 2 4 2" xfId="25471" xr:uid="{00000000-0005-0000-0000-000083390000}"/>
    <cellStyle name="Note 2 4 7 2 5" xfId="20952" xr:uid="{00000000-0005-0000-0000-000084390000}"/>
    <cellStyle name="Note 2 4 7 3" xfId="5170" xr:uid="{00000000-0005-0000-0000-000085390000}"/>
    <cellStyle name="Note 2 4 7 3 2" xfId="9209" xr:uid="{00000000-0005-0000-0000-000086390000}"/>
    <cellStyle name="Note 2 4 7 3 2 2" xfId="18132" xr:uid="{00000000-0005-0000-0000-000087390000}"/>
    <cellStyle name="Note 2 4 7 3 2 2 2" xfId="32964" xr:uid="{00000000-0005-0000-0000-000088390000}"/>
    <cellStyle name="Note 2 4 7 3 2 3" xfId="24547" xr:uid="{00000000-0005-0000-0000-000089390000}"/>
    <cellStyle name="Note 2 4 7 3 3" xfId="15488" xr:uid="{00000000-0005-0000-0000-00008A390000}"/>
    <cellStyle name="Note 2 4 7 3 3 2" xfId="30320" xr:uid="{00000000-0005-0000-0000-00008B390000}"/>
    <cellStyle name="Note 2 4 7 3 4" xfId="11729" xr:uid="{00000000-0005-0000-0000-00008C390000}"/>
    <cellStyle name="Note 2 4 7 3 4 2" xfId="26561" xr:uid="{00000000-0005-0000-0000-00008D390000}"/>
    <cellStyle name="Note 2 4 7 3 5" xfId="22054" xr:uid="{00000000-0005-0000-0000-00008E390000}"/>
    <cellStyle name="Note 2 4 7 4" xfId="4200" xr:uid="{00000000-0005-0000-0000-00008F390000}"/>
    <cellStyle name="Note 2 4 7 4 2" xfId="8241" xr:uid="{00000000-0005-0000-0000-000090390000}"/>
    <cellStyle name="Note 2 4 7 4 2 2" xfId="17588" xr:uid="{00000000-0005-0000-0000-000091390000}"/>
    <cellStyle name="Note 2 4 7 4 2 2 2" xfId="32420" xr:uid="{00000000-0005-0000-0000-000092390000}"/>
    <cellStyle name="Note 2 4 7 4 2 3" xfId="23936" xr:uid="{00000000-0005-0000-0000-000093390000}"/>
    <cellStyle name="Note 2 4 7 4 3" xfId="14532" xr:uid="{00000000-0005-0000-0000-000094390000}"/>
    <cellStyle name="Note 2 4 7 4 3 2" xfId="29364" xr:uid="{00000000-0005-0000-0000-000095390000}"/>
    <cellStyle name="Note 2 4 7 4 4" xfId="11208" xr:uid="{00000000-0005-0000-0000-000096390000}"/>
    <cellStyle name="Note 2 4 7 4 4 2" xfId="26040" xr:uid="{00000000-0005-0000-0000-000097390000}"/>
    <cellStyle name="Note 2 4 7 4 5" xfId="21561" xr:uid="{00000000-0005-0000-0000-000098390000}"/>
    <cellStyle name="Note 2 4 7 5" xfId="6316" xr:uid="{00000000-0005-0000-0000-000099390000}"/>
    <cellStyle name="Note 2 4 7 5 2" xfId="16500" xr:uid="{00000000-0005-0000-0000-00009A390000}"/>
    <cellStyle name="Note 2 4 7 5 2 2" xfId="31332" xr:uid="{00000000-0005-0000-0000-00009B390000}"/>
    <cellStyle name="Note 2 4 7 5 3" xfId="22718" xr:uid="{00000000-0005-0000-0000-00009C390000}"/>
    <cellStyle name="Note 2 4 7 6" xfId="12570" xr:uid="{00000000-0005-0000-0000-00009D390000}"/>
    <cellStyle name="Note 2 4 7 6 2" xfId="27402" xr:uid="{00000000-0005-0000-0000-00009E390000}"/>
    <cellStyle name="Note 2 4 7 7" xfId="10152" xr:uid="{00000000-0005-0000-0000-00009F390000}"/>
    <cellStyle name="Note 2 4 7 7 2" xfId="24984" xr:uid="{00000000-0005-0000-0000-0000A0390000}"/>
    <cellStyle name="Note 2 4 7 8" xfId="20397" xr:uid="{00000000-0005-0000-0000-0000A1390000}"/>
    <cellStyle name="Note 2 4 8" xfId="3275" xr:uid="{00000000-0005-0000-0000-0000A2390000}"/>
    <cellStyle name="Note 2 4 8 2" xfId="7339" xr:uid="{00000000-0005-0000-0000-0000A3390000}"/>
    <cellStyle name="Note 2 4 8 2 2" xfId="17083" xr:uid="{00000000-0005-0000-0000-0000A4390000}"/>
    <cellStyle name="Note 2 4 8 2 2 2" xfId="31915" xr:uid="{00000000-0005-0000-0000-0000A5390000}"/>
    <cellStyle name="Note 2 4 8 2 3" xfId="23370" xr:uid="{00000000-0005-0000-0000-0000A6390000}"/>
    <cellStyle name="Note 2 4 8 3" xfId="13612" xr:uid="{00000000-0005-0000-0000-0000A7390000}"/>
    <cellStyle name="Note 2 4 8 3 2" xfId="28444" xr:uid="{00000000-0005-0000-0000-0000A8390000}"/>
    <cellStyle name="Note 2 4 8 4" xfId="10711" xr:uid="{00000000-0005-0000-0000-0000A9390000}"/>
    <cellStyle name="Note 2 4 8 4 2" xfId="25543" xr:uid="{00000000-0005-0000-0000-0000AA390000}"/>
    <cellStyle name="Note 2 4 8 5" xfId="21057" xr:uid="{00000000-0005-0000-0000-0000AB390000}"/>
    <cellStyle name="Note 2 4 9" xfId="3193" xr:uid="{00000000-0005-0000-0000-0000AC390000}"/>
    <cellStyle name="Note 2 4 9 2" xfId="7257" xr:uid="{00000000-0005-0000-0000-0000AD390000}"/>
    <cellStyle name="Note 2 4 9 2 2" xfId="17027" xr:uid="{00000000-0005-0000-0000-0000AE390000}"/>
    <cellStyle name="Note 2 4 9 2 2 2" xfId="31859" xr:uid="{00000000-0005-0000-0000-0000AF390000}"/>
    <cellStyle name="Note 2 4 9 2 3" xfId="23310" xr:uid="{00000000-0005-0000-0000-0000B0390000}"/>
    <cellStyle name="Note 2 4 9 3" xfId="13531" xr:uid="{00000000-0005-0000-0000-0000B1390000}"/>
    <cellStyle name="Note 2 4 9 3 2" xfId="28363" xr:uid="{00000000-0005-0000-0000-0000B2390000}"/>
    <cellStyle name="Note 2 4 9 4" xfId="10672" xr:uid="{00000000-0005-0000-0000-0000B3390000}"/>
    <cellStyle name="Note 2 4 9 4 2" xfId="25504" xr:uid="{00000000-0005-0000-0000-0000B4390000}"/>
    <cellStyle name="Note 2 4 9 5" xfId="21000" xr:uid="{00000000-0005-0000-0000-0000B5390000}"/>
    <cellStyle name="Note 2 5" xfId="1220" xr:uid="{00000000-0005-0000-0000-0000B6390000}"/>
    <cellStyle name="Note 2 5 10" xfId="2306" xr:uid="{00000000-0005-0000-0000-0000B7390000}"/>
    <cellStyle name="Note 2 5 10 2" xfId="6418" xr:uid="{00000000-0005-0000-0000-0000B8390000}"/>
    <cellStyle name="Note 2 5 10 2 2" xfId="16511" xr:uid="{00000000-0005-0000-0000-0000B9390000}"/>
    <cellStyle name="Note 2 5 10 2 2 2" xfId="31343" xr:uid="{00000000-0005-0000-0000-0000BA390000}"/>
    <cellStyle name="Note 2 5 10 2 3" xfId="22820" xr:uid="{00000000-0005-0000-0000-0000BB390000}"/>
    <cellStyle name="Note 2 5 10 3" xfId="12646" xr:uid="{00000000-0005-0000-0000-0000BC390000}"/>
    <cellStyle name="Note 2 5 10 3 2" xfId="27478" xr:uid="{00000000-0005-0000-0000-0000BD390000}"/>
    <cellStyle name="Note 2 5 10 4" xfId="10162" xr:uid="{00000000-0005-0000-0000-0000BE390000}"/>
    <cellStyle name="Note 2 5 10 4 2" xfId="24994" xr:uid="{00000000-0005-0000-0000-0000BF390000}"/>
    <cellStyle name="Note 2 5 10 5" xfId="20469" xr:uid="{00000000-0005-0000-0000-0000C0390000}"/>
    <cellStyle name="Note 2 5 11" xfId="5269" xr:uid="{00000000-0005-0000-0000-0000C1390000}"/>
    <cellStyle name="Note 2 5 11 2" xfId="9277" xr:uid="{00000000-0005-0000-0000-0000C2390000}"/>
    <cellStyle name="Note 2 5 11 2 2" xfId="18144" xr:uid="{00000000-0005-0000-0000-0000C3390000}"/>
    <cellStyle name="Note 2 5 11 2 2 2" xfId="32976" xr:uid="{00000000-0005-0000-0000-0000C4390000}"/>
    <cellStyle name="Note 2 5 11 2 3" xfId="24615" xr:uid="{00000000-0005-0000-0000-0000C5390000}"/>
    <cellStyle name="Note 2 5 11 3" xfId="15585" xr:uid="{00000000-0005-0000-0000-0000C6390000}"/>
    <cellStyle name="Note 2 5 11 3 2" xfId="30417" xr:uid="{00000000-0005-0000-0000-0000C7390000}"/>
    <cellStyle name="Note 2 5 11 4" xfId="22126" xr:uid="{00000000-0005-0000-0000-0000C8390000}"/>
    <cellStyle name="Note 2 5 12" xfId="5427" xr:uid="{00000000-0005-0000-0000-0000C9390000}"/>
    <cellStyle name="Note 2 5 12 2" xfId="15663" xr:uid="{00000000-0005-0000-0000-0000CA390000}"/>
    <cellStyle name="Note 2 5 12 2 2" xfId="30495" xr:uid="{00000000-0005-0000-0000-0000CB390000}"/>
    <cellStyle name="Note 2 5 12 3" xfId="22188" xr:uid="{00000000-0005-0000-0000-0000CC390000}"/>
    <cellStyle name="Note 2 5 13" xfId="9364" xr:uid="{00000000-0005-0000-0000-0000CD390000}"/>
    <cellStyle name="Note 2 5 13 2" xfId="24670" xr:uid="{00000000-0005-0000-0000-0000CE390000}"/>
    <cellStyle name="Note 2 5 14" xfId="5353" xr:uid="{00000000-0005-0000-0000-0000CF390000}"/>
    <cellStyle name="Note 2 5 14 2" xfId="18227" xr:uid="{00000000-0005-0000-0000-0000D0390000}"/>
    <cellStyle name="Note 2 5 2" xfId="1339" xr:uid="{00000000-0005-0000-0000-0000D1390000}"/>
    <cellStyle name="Note 2 5 2 2" xfId="1843" xr:uid="{00000000-0005-0000-0000-0000D2390000}"/>
    <cellStyle name="Note 2 5 2 2 2" xfId="3811" xr:uid="{00000000-0005-0000-0000-0000D3390000}"/>
    <cellStyle name="Note 2 5 2 2 2 2" xfId="7865" xr:uid="{00000000-0005-0000-0000-0000D4390000}"/>
    <cellStyle name="Note 2 5 2 2 2 2 2" xfId="17378" xr:uid="{00000000-0005-0000-0000-0000D5390000}"/>
    <cellStyle name="Note 2 5 2 2 2 2 2 2" xfId="32210" xr:uid="{00000000-0005-0000-0000-0000D6390000}"/>
    <cellStyle name="Note 2 5 2 2 2 2 3" xfId="23713" xr:uid="{00000000-0005-0000-0000-0000D7390000}"/>
    <cellStyle name="Note 2 5 2 2 2 3" xfId="14146" xr:uid="{00000000-0005-0000-0000-0000D8390000}"/>
    <cellStyle name="Note 2 5 2 2 2 3 2" xfId="28978" xr:uid="{00000000-0005-0000-0000-0000D9390000}"/>
    <cellStyle name="Note 2 5 2 2 2 4" xfId="10996" xr:uid="{00000000-0005-0000-0000-0000DA390000}"/>
    <cellStyle name="Note 2 5 2 2 2 4 2" xfId="25828" xr:uid="{00000000-0005-0000-0000-0000DB390000}"/>
    <cellStyle name="Note 2 5 2 2 2 5" xfId="21365" xr:uid="{00000000-0005-0000-0000-0000DC390000}"/>
    <cellStyle name="Note 2 5 2 2 3" xfId="4821" xr:uid="{00000000-0005-0000-0000-0000DD390000}"/>
    <cellStyle name="Note 2 5 2 2 3 2" xfId="8860" xr:uid="{00000000-0005-0000-0000-0000DE390000}"/>
    <cellStyle name="Note 2 5 2 2 3 2 2" xfId="17901" xr:uid="{00000000-0005-0000-0000-0000DF390000}"/>
    <cellStyle name="Note 2 5 2 2 3 2 2 2" xfId="32733" xr:uid="{00000000-0005-0000-0000-0000E0390000}"/>
    <cellStyle name="Note 2 5 2 2 3 2 3" xfId="24358" xr:uid="{00000000-0005-0000-0000-0000E1390000}"/>
    <cellStyle name="Note 2 5 2 2 3 3" xfId="15145" xr:uid="{00000000-0005-0000-0000-0000E2390000}"/>
    <cellStyle name="Note 2 5 2 2 3 3 2" xfId="29977" xr:uid="{00000000-0005-0000-0000-0000E3390000}"/>
    <cellStyle name="Note 2 5 2 2 3 4" xfId="11504" xr:uid="{00000000-0005-0000-0000-0000E4390000}"/>
    <cellStyle name="Note 2 5 2 2 3 4 2" xfId="26336" xr:uid="{00000000-0005-0000-0000-0000E5390000}"/>
    <cellStyle name="Note 2 5 2 2 3 5" xfId="21896" xr:uid="{00000000-0005-0000-0000-0000E6390000}"/>
    <cellStyle name="Note 2 5 2 2 4" xfId="2811" xr:uid="{00000000-0005-0000-0000-0000E7390000}"/>
    <cellStyle name="Note 2 5 2 2 4 2" xfId="6902" xr:uid="{00000000-0005-0000-0000-0000E8390000}"/>
    <cellStyle name="Note 2 5 2 2 4 2 2" xfId="16795" xr:uid="{00000000-0005-0000-0000-0000E9390000}"/>
    <cellStyle name="Note 2 5 2 2 4 2 2 2" xfId="31627" xr:uid="{00000000-0005-0000-0000-0000EA390000}"/>
    <cellStyle name="Note 2 5 2 2 4 2 3" xfId="23109" xr:uid="{00000000-0005-0000-0000-0000EB390000}"/>
    <cellStyle name="Note 2 5 2 2 4 3" xfId="13149" xr:uid="{00000000-0005-0000-0000-0000EC390000}"/>
    <cellStyle name="Note 2 5 2 2 4 3 2" xfId="27981" xr:uid="{00000000-0005-0000-0000-0000ED390000}"/>
    <cellStyle name="Note 2 5 2 2 4 4" xfId="10448" xr:uid="{00000000-0005-0000-0000-0000EE390000}"/>
    <cellStyle name="Note 2 5 2 2 4 4 2" xfId="25280" xr:uid="{00000000-0005-0000-0000-0000EF390000}"/>
    <cellStyle name="Note 2 5 2 2 4 5" xfId="20769" xr:uid="{00000000-0005-0000-0000-0000F0390000}"/>
    <cellStyle name="Note 2 5 2 2 5" xfId="5975" xr:uid="{00000000-0005-0000-0000-0000F1390000}"/>
    <cellStyle name="Note 2 5 2 2 5 2" xfId="16167" xr:uid="{00000000-0005-0000-0000-0000F2390000}"/>
    <cellStyle name="Note 2 5 2 2 5 2 2" xfId="30999" xr:uid="{00000000-0005-0000-0000-0000F3390000}"/>
    <cellStyle name="Note 2 5 2 2 5 3" xfId="22540" xr:uid="{00000000-0005-0000-0000-0000F4390000}"/>
    <cellStyle name="Note 2 5 2 2 6" xfId="12237" xr:uid="{00000000-0005-0000-0000-0000F5390000}"/>
    <cellStyle name="Note 2 5 2 2 6 2" xfId="27069" xr:uid="{00000000-0005-0000-0000-0000F6390000}"/>
    <cellStyle name="Note 2 5 2 2 7" xfId="9833" xr:uid="{00000000-0005-0000-0000-0000F7390000}"/>
    <cellStyle name="Note 2 5 2 2 7 2" xfId="24759" xr:uid="{00000000-0005-0000-0000-0000F8390000}"/>
    <cellStyle name="Note 2 5 2 2 8" xfId="20317" xr:uid="{00000000-0005-0000-0000-0000F9390000}"/>
    <cellStyle name="Note 2 5 2 3" xfId="4051" xr:uid="{00000000-0005-0000-0000-0000FA390000}"/>
    <cellStyle name="Note 2 5 2 3 2" xfId="8098" xr:uid="{00000000-0005-0000-0000-0000FB390000}"/>
    <cellStyle name="Note 2 5 2 3 2 2" xfId="17493" xr:uid="{00000000-0005-0000-0000-0000FC390000}"/>
    <cellStyle name="Note 2 5 2 3 2 2 2" xfId="32325" xr:uid="{00000000-0005-0000-0000-0000FD390000}"/>
    <cellStyle name="Note 2 5 2 3 2 3" xfId="23860" xr:uid="{00000000-0005-0000-0000-0000FE390000}"/>
    <cellStyle name="Note 2 5 2 3 3" xfId="14383" xr:uid="{00000000-0005-0000-0000-0000FF390000}"/>
    <cellStyle name="Note 2 5 2 3 3 2" xfId="29215" xr:uid="{00000000-0005-0000-0000-0000003A0000}"/>
    <cellStyle name="Note 2 5 2 3 4" xfId="11109" xr:uid="{00000000-0005-0000-0000-0000013A0000}"/>
    <cellStyle name="Note 2 5 2 3 4 2" xfId="25941" xr:uid="{00000000-0005-0000-0000-0000023A0000}"/>
    <cellStyle name="Note 2 5 2 3 5" xfId="21494" xr:uid="{00000000-0005-0000-0000-0000033A0000}"/>
    <cellStyle name="Note 2 5 2 4" xfId="4401" xr:uid="{00000000-0005-0000-0000-0000043A0000}"/>
    <cellStyle name="Note 2 5 2 4 2" xfId="8440" xr:uid="{00000000-0005-0000-0000-0000053A0000}"/>
    <cellStyle name="Note 2 5 2 4 2 2" xfId="17661" xr:uid="{00000000-0005-0000-0000-0000063A0000}"/>
    <cellStyle name="Note 2 5 2 4 2 2 2" xfId="32493" xr:uid="{00000000-0005-0000-0000-0000073A0000}"/>
    <cellStyle name="Note 2 5 2 4 2 3" xfId="24098" xr:uid="{00000000-0005-0000-0000-0000083A0000}"/>
    <cellStyle name="Note 2 5 2 4 3" xfId="14730" xr:uid="{00000000-0005-0000-0000-0000093A0000}"/>
    <cellStyle name="Note 2 5 2 4 3 2" xfId="29562" xr:uid="{00000000-0005-0000-0000-00000A3A0000}"/>
    <cellStyle name="Note 2 5 2 4 4" xfId="11269" xr:uid="{00000000-0005-0000-0000-00000B3A0000}"/>
    <cellStyle name="Note 2 5 2 4 4 2" xfId="26101" xr:uid="{00000000-0005-0000-0000-00000C3A0000}"/>
    <cellStyle name="Note 2 5 2 4 5" xfId="21666" xr:uid="{00000000-0005-0000-0000-00000D3A0000}"/>
    <cellStyle name="Note 2 5 2 5" xfId="2391" xr:uid="{00000000-0005-0000-0000-00000E3A0000}"/>
    <cellStyle name="Note 2 5 2 5 2" xfId="6503" xr:uid="{00000000-0005-0000-0000-00000F3A0000}"/>
    <cellStyle name="Note 2 5 2 5 2 2" xfId="16559" xr:uid="{00000000-0005-0000-0000-0000103A0000}"/>
    <cellStyle name="Note 2 5 2 5 2 2 2" xfId="31391" xr:uid="{00000000-0005-0000-0000-0000113A0000}"/>
    <cellStyle name="Note 2 5 2 5 2 3" xfId="22873" xr:uid="{00000000-0005-0000-0000-0000123A0000}"/>
    <cellStyle name="Note 2 5 2 5 3" xfId="12730" xr:uid="{00000000-0005-0000-0000-0000133A0000}"/>
    <cellStyle name="Note 2 5 2 5 3 2" xfId="27562" xr:uid="{00000000-0005-0000-0000-0000143A0000}"/>
    <cellStyle name="Note 2 5 2 5 4" xfId="10209" xr:uid="{00000000-0005-0000-0000-0000153A0000}"/>
    <cellStyle name="Note 2 5 2 5 4 2" xfId="25041" xr:uid="{00000000-0005-0000-0000-0000163A0000}"/>
    <cellStyle name="Note 2 5 2 5 5" xfId="20515" xr:uid="{00000000-0005-0000-0000-0000173A0000}"/>
    <cellStyle name="Note 2 5 2 6" xfId="5516" xr:uid="{00000000-0005-0000-0000-0000183A0000}"/>
    <cellStyle name="Note 2 5 2 6 2" xfId="15751" xr:uid="{00000000-0005-0000-0000-0000193A0000}"/>
    <cellStyle name="Note 2 5 2 6 2 2" xfId="30583" xr:uid="{00000000-0005-0000-0000-00001A3A0000}"/>
    <cellStyle name="Note 2 5 2 6 3" xfId="22244" xr:uid="{00000000-0005-0000-0000-00001B3A0000}"/>
    <cellStyle name="Note 2 5 2 7" xfId="11766" xr:uid="{00000000-0005-0000-0000-00001C3A0000}"/>
    <cellStyle name="Note 2 5 2 7 2" xfId="26598" xr:uid="{00000000-0005-0000-0000-00001D3A0000}"/>
    <cellStyle name="Note 2 5 2 8" xfId="9437" xr:uid="{00000000-0005-0000-0000-00001E3A0000}"/>
    <cellStyle name="Note 2 5 2 8 2" xfId="19741" xr:uid="{00000000-0005-0000-0000-00001F3A0000}"/>
    <cellStyle name="Note 2 5 3" xfId="1509" xr:uid="{00000000-0005-0000-0000-0000203A0000}"/>
    <cellStyle name="Note 2 5 3 2" xfId="2006" xr:uid="{00000000-0005-0000-0000-0000213A0000}"/>
    <cellStyle name="Note 2 5 3 2 2" xfId="3656" xr:uid="{00000000-0005-0000-0000-0000223A0000}"/>
    <cellStyle name="Note 2 5 3 2 2 2" xfId="7715" xr:uid="{00000000-0005-0000-0000-0000233A0000}"/>
    <cellStyle name="Note 2 5 3 2 2 2 2" xfId="17304" xr:uid="{00000000-0005-0000-0000-0000243A0000}"/>
    <cellStyle name="Note 2 5 3 2 2 2 2 2" xfId="32136" xr:uid="{00000000-0005-0000-0000-0000253A0000}"/>
    <cellStyle name="Note 2 5 3 2 2 2 3" xfId="23612" xr:uid="{00000000-0005-0000-0000-0000263A0000}"/>
    <cellStyle name="Note 2 5 3 2 2 3" xfId="13991" xr:uid="{00000000-0005-0000-0000-0000273A0000}"/>
    <cellStyle name="Note 2 5 3 2 2 3 2" xfId="28823" xr:uid="{00000000-0005-0000-0000-0000283A0000}"/>
    <cellStyle name="Note 2 5 3 2 2 4" xfId="10920" xr:uid="{00000000-0005-0000-0000-0000293A0000}"/>
    <cellStyle name="Note 2 5 3 2 2 4 2" xfId="25752" xr:uid="{00000000-0005-0000-0000-00002A3A0000}"/>
    <cellStyle name="Note 2 5 3 2 2 5" xfId="21277" xr:uid="{00000000-0005-0000-0000-00002B3A0000}"/>
    <cellStyle name="Note 2 5 3 2 3" xfId="4974" xr:uid="{00000000-0005-0000-0000-00002C3A0000}"/>
    <cellStyle name="Note 2 5 3 2 3 2" xfId="9013" xr:uid="{00000000-0005-0000-0000-00002D3A0000}"/>
    <cellStyle name="Note 2 5 3 2 3 2 2" xfId="17951" xr:uid="{00000000-0005-0000-0000-00002E3A0000}"/>
    <cellStyle name="Note 2 5 3 2 3 2 2 2" xfId="32783" xr:uid="{00000000-0005-0000-0000-00002F3A0000}"/>
    <cellStyle name="Note 2 5 3 2 3 2 3" xfId="24479" xr:uid="{00000000-0005-0000-0000-0000303A0000}"/>
    <cellStyle name="Note 2 5 3 2 3 3" xfId="15296" xr:uid="{00000000-0005-0000-0000-0000313A0000}"/>
    <cellStyle name="Note 2 5 3 2 3 3 2" xfId="30128" xr:uid="{00000000-0005-0000-0000-0000323A0000}"/>
    <cellStyle name="Note 2 5 3 2 3 4" xfId="11552" xr:uid="{00000000-0005-0000-0000-0000333A0000}"/>
    <cellStyle name="Note 2 5 3 2 3 4 2" xfId="26384" xr:uid="{00000000-0005-0000-0000-0000343A0000}"/>
    <cellStyle name="Note 2 5 3 2 3 5" xfId="22005" xr:uid="{00000000-0005-0000-0000-0000353A0000}"/>
    <cellStyle name="Note 2 5 3 2 4" xfId="2964" xr:uid="{00000000-0005-0000-0000-0000363A0000}"/>
    <cellStyle name="Note 2 5 3 2 4 2" xfId="7044" xr:uid="{00000000-0005-0000-0000-0000373A0000}"/>
    <cellStyle name="Note 2 5 3 2 4 2 2" xfId="16843" xr:uid="{00000000-0005-0000-0000-0000383A0000}"/>
    <cellStyle name="Note 2 5 3 2 4 2 2 2" xfId="31675" xr:uid="{00000000-0005-0000-0000-0000393A0000}"/>
    <cellStyle name="Note 2 5 3 2 4 2 3" xfId="23218" xr:uid="{00000000-0005-0000-0000-00003A3A0000}"/>
    <cellStyle name="Note 2 5 3 2 4 3" xfId="13302" xr:uid="{00000000-0005-0000-0000-00003B3A0000}"/>
    <cellStyle name="Note 2 5 3 2 4 3 2" xfId="28134" xr:uid="{00000000-0005-0000-0000-00003C3A0000}"/>
    <cellStyle name="Note 2 5 3 2 4 4" xfId="10498" xr:uid="{00000000-0005-0000-0000-00003D3A0000}"/>
    <cellStyle name="Note 2 5 3 2 4 4 2" xfId="25330" xr:uid="{00000000-0005-0000-0000-00003E3A0000}"/>
    <cellStyle name="Note 2 5 3 2 4 5" xfId="20890" xr:uid="{00000000-0005-0000-0000-00003F3A0000}"/>
    <cellStyle name="Note 2 5 3 2 5" xfId="6136" xr:uid="{00000000-0005-0000-0000-0000403A0000}"/>
    <cellStyle name="Note 2 5 3 2 5 2" xfId="16323" xr:uid="{00000000-0005-0000-0000-0000413A0000}"/>
    <cellStyle name="Note 2 5 3 2 5 2 2" xfId="31155" xr:uid="{00000000-0005-0000-0000-0000423A0000}"/>
    <cellStyle name="Note 2 5 3 2 5 3" xfId="22669" xr:uid="{00000000-0005-0000-0000-0000433A0000}"/>
    <cellStyle name="Note 2 5 3 2 6" xfId="12393" xr:uid="{00000000-0005-0000-0000-0000443A0000}"/>
    <cellStyle name="Note 2 5 3 2 6 2" xfId="27225" xr:uid="{00000000-0005-0000-0000-0000453A0000}"/>
    <cellStyle name="Note 2 5 3 2 7" xfId="9975" xr:uid="{00000000-0005-0000-0000-0000463A0000}"/>
    <cellStyle name="Note 2 5 3 2 7 2" xfId="24807" xr:uid="{00000000-0005-0000-0000-0000473A0000}"/>
    <cellStyle name="Note 2 5 3 2 8" xfId="20348" xr:uid="{00000000-0005-0000-0000-0000483A0000}"/>
    <cellStyle name="Note 2 5 3 3" xfId="3153" xr:uid="{00000000-0005-0000-0000-0000493A0000}"/>
    <cellStyle name="Note 2 5 3 3 2" xfId="7217" xr:uid="{00000000-0005-0000-0000-00004A3A0000}"/>
    <cellStyle name="Note 2 5 3 3 2 2" xfId="16995" xr:uid="{00000000-0005-0000-0000-00004B3A0000}"/>
    <cellStyle name="Note 2 5 3 3 2 2 2" xfId="31827" xr:uid="{00000000-0005-0000-0000-00004C3A0000}"/>
    <cellStyle name="Note 2 5 3 3 2 3" xfId="23285" xr:uid="{00000000-0005-0000-0000-00004D3A0000}"/>
    <cellStyle name="Note 2 5 3 3 3" xfId="13491" xr:uid="{00000000-0005-0000-0000-00004E3A0000}"/>
    <cellStyle name="Note 2 5 3 3 3 2" xfId="28323" xr:uid="{00000000-0005-0000-0000-00004F3A0000}"/>
    <cellStyle name="Note 2 5 3 3 4" xfId="10647" xr:uid="{00000000-0005-0000-0000-0000503A0000}"/>
    <cellStyle name="Note 2 5 3 3 4 2" xfId="25479" xr:uid="{00000000-0005-0000-0000-0000513A0000}"/>
    <cellStyle name="Note 2 5 3 3 5" xfId="20976" xr:uid="{00000000-0005-0000-0000-0000523A0000}"/>
    <cellStyle name="Note 2 5 3 4" xfId="4554" xr:uid="{00000000-0005-0000-0000-0000533A0000}"/>
    <cellStyle name="Note 2 5 3 4 2" xfId="8593" xr:uid="{00000000-0005-0000-0000-0000543A0000}"/>
    <cellStyle name="Note 2 5 3 4 2 2" xfId="17711" xr:uid="{00000000-0005-0000-0000-0000553A0000}"/>
    <cellStyle name="Note 2 5 3 4 2 2 2" xfId="32543" xr:uid="{00000000-0005-0000-0000-0000563A0000}"/>
    <cellStyle name="Note 2 5 3 4 2 3" xfId="24219" xr:uid="{00000000-0005-0000-0000-0000573A0000}"/>
    <cellStyle name="Note 2 5 3 4 3" xfId="14881" xr:uid="{00000000-0005-0000-0000-0000583A0000}"/>
    <cellStyle name="Note 2 5 3 4 3 2" xfId="29713" xr:uid="{00000000-0005-0000-0000-0000593A0000}"/>
    <cellStyle name="Note 2 5 3 4 4" xfId="11317" xr:uid="{00000000-0005-0000-0000-00005A3A0000}"/>
    <cellStyle name="Note 2 5 3 4 4 2" xfId="26149" xr:uid="{00000000-0005-0000-0000-00005B3A0000}"/>
    <cellStyle name="Note 2 5 3 4 5" xfId="21775" xr:uid="{00000000-0005-0000-0000-00005C3A0000}"/>
    <cellStyle name="Note 2 5 3 5" xfId="2544" xr:uid="{00000000-0005-0000-0000-00005D3A0000}"/>
    <cellStyle name="Note 2 5 3 5 2" xfId="6650" xr:uid="{00000000-0005-0000-0000-00005E3A0000}"/>
    <cellStyle name="Note 2 5 3 5 2 2" xfId="16608" xr:uid="{00000000-0005-0000-0000-00005F3A0000}"/>
    <cellStyle name="Note 2 5 3 5 2 2 2" xfId="31440" xr:uid="{00000000-0005-0000-0000-0000603A0000}"/>
    <cellStyle name="Note 2 5 3 5 2 3" xfId="22988" xr:uid="{00000000-0005-0000-0000-0000613A0000}"/>
    <cellStyle name="Note 2 5 3 5 3" xfId="12882" xr:uid="{00000000-0005-0000-0000-0000623A0000}"/>
    <cellStyle name="Note 2 5 3 5 3 2" xfId="27714" xr:uid="{00000000-0005-0000-0000-0000633A0000}"/>
    <cellStyle name="Note 2 5 3 5 4" xfId="10258" xr:uid="{00000000-0005-0000-0000-0000643A0000}"/>
    <cellStyle name="Note 2 5 3 5 4 2" xfId="25090" xr:uid="{00000000-0005-0000-0000-0000653A0000}"/>
    <cellStyle name="Note 2 5 3 5 5" xfId="20630" xr:uid="{00000000-0005-0000-0000-0000663A0000}"/>
    <cellStyle name="Note 2 5 3 6" xfId="5667" xr:uid="{00000000-0005-0000-0000-0000673A0000}"/>
    <cellStyle name="Note 2 5 3 6 2" xfId="15902" xr:uid="{00000000-0005-0000-0000-0000683A0000}"/>
    <cellStyle name="Note 2 5 3 6 2 2" xfId="30734" xr:uid="{00000000-0005-0000-0000-0000693A0000}"/>
    <cellStyle name="Note 2 5 3 6 3" xfId="22363" xr:uid="{00000000-0005-0000-0000-00006A3A0000}"/>
    <cellStyle name="Note 2 5 3 7" xfId="11922" xr:uid="{00000000-0005-0000-0000-00006B3A0000}"/>
    <cellStyle name="Note 2 5 3 7 2" xfId="26754" xr:uid="{00000000-0005-0000-0000-00006C3A0000}"/>
    <cellStyle name="Note 2 5 3 8" xfId="9580" xr:uid="{00000000-0005-0000-0000-00006D3A0000}"/>
    <cellStyle name="Note 2 5 3 8 2" xfId="19882" xr:uid="{00000000-0005-0000-0000-00006E3A0000}"/>
    <cellStyle name="Note 2 5 4" xfId="1564" xr:uid="{00000000-0005-0000-0000-00006F3A0000}"/>
    <cellStyle name="Note 2 5 4 2" xfId="2061" xr:uid="{00000000-0005-0000-0000-0000703A0000}"/>
    <cellStyle name="Note 2 5 4 2 2" xfId="3402" xr:uid="{00000000-0005-0000-0000-0000713A0000}"/>
    <cellStyle name="Note 2 5 4 2 2 2" xfId="7465" xr:uid="{00000000-0005-0000-0000-0000723A0000}"/>
    <cellStyle name="Note 2 5 4 2 2 2 2" xfId="17164" xr:uid="{00000000-0005-0000-0000-0000733A0000}"/>
    <cellStyle name="Note 2 5 4 2 2 2 2 2" xfId="31996" xr:uid="{00000000-0005-0000-0000-0000743A0000}"/>
    <cellStyle name="Note 2 5 4 2 2 2 3" xfId="23453" xr:uid="{00000000-0005-0000-0000-0000753A0000}"/>
    <cellStyle name="Note 2 5 4 2 2 3" xfId="13739" xr:uid="{00000000-0005-0000-0000-0000763A0000}"/>
    <cellStyle name="Note 2 5 4 2 2 3 2" xfId="28571" xr:uid="{00000000-0005-0000-0000-0000773A0000}"/>
    <cellStyle name="Note 2 5 4 2 2 4" xfId="10783" xr:uid="{00000000-0005-0000-0000-0000783A0000}"/>
    <cellStyle name="Note 2 5 4 2 2 4 2" xfId="25615" xr:uid="{00000000-0005-0000-0000-0000793A0000}"/>
    <cellStyle name="Note 2 5 4 2 2 5" xfId="21131" xr:uid="{00000000-0005-0000-0000-00007A3A0000}"/>
    <cellStyle name="Note 2 5 4 2 3" xfId="5029" xr:uid="{00000000-0005-0000-0000-00007B3A0000}"/>
    <cellStyle name="Note 2 5 4 2 3 2" xfId="9068" xr:uid="{00000000-0005-0000-0000-00007C3A0000}"/>
    <cellStyle name="Note 2 5 4 2 3 2 2" xfId="18001" xr:uid="{00000000-0005-0000-0000-00007D3A0000}"/>
    <cellStyle name="Note 2 5 4 2 3 2 2 2" xfId="32833" xr:uid="{00000000-0005-0000-0000-00007E3A0000}"/>
    <cellStyle name="Note 2 5 4 2 3 2 3" xfId="24502" xr:uid="{00000000-0005-0000-0000-00007F3A0000}"/>
    <cellStyle name="Note 2 5 4 2 3 3" xfId="15350" xr:uid="{00000000-0005-0000-0000-0000803A0000}"/>
    <cellStyle name="Note 2 5 4 2 3 3 2" xfId="30182" xr:uid="{00000000-0005-0000-0000-0000813A0000}"/>
    <cellStyle name="Note 2 5 4 2 3 4" xfId="11601" xr:uid="{00000000-0005-0000-0000-0000823A0000}"/>
    <cellStyle name="Note 2 5 4 2 3 4 2" xfId="26433" xr:uid="{00000000-0005-0000-0000-0000833A0000}"/>
    <cellStyle name="Note 2 5 4 2 3 5" xfId="22022" xr:uid="{00000000-0005-0000-0000-0000843A0000}"/>
    <cellStyle name="Note 2 5 4 2 4" xfId="3019" xr:uid="{00000000-0005-0000-0000-0000853A0000}"/>
    <cellStyle name="Note 2 5 4 2 4 2" xfId="7094" xr:uid="{00000000-0005-0000-0000-0000863A0000}"/>
    <cellStyle name="Note 2 5 4 2 4 2 2" xfId="16892" xr:uid="{00000000-0005-0000-0000-0000873A0000}"/>
    <cellStyle name="Note 2 5 4 2 4 2 2 2" xfId="31724" xr:uid="{00000000-0005-0000-0000-0000883A0000}"/>
    <cellStyle name="Note 2 5 4 2 4 2 3" xfId="23235" xr:uid="{00000000-0005-0000-0000-0000893A0000}"/>
    <cellStyle name="Note 2 5 4 2 4 3" xfId="13357" xr:uid="{00000000-0005-0000-0000-00008A3A0000}"/>
    <cellStyle name="Note 2 5 4 2 4 3 2" xfId="28189" xr:uid="{00000000-0005-0000-0000-00008B3A0000}"/>
    <cellStyle name="Note 2 5 4 2 4 4" xfId="10548" xr:uid="{00000000-0005-0000-0000-00008C3A0000}"/>
    <cellStyle name="Note 2 5 4 2 4 4 2" xfId="25380" xr:uid="{00000000-0005-0000-0000-00008D3A0000}"/>
    <cellStyle name="Note 2 5 4 2 4 5" xfId="20913" xr:uid="{00000000-0005-0000-0000-00008E3A0000}"/>
    <cellStyle name="Note 2 5 4 2 5" xfId="6186" xr:uid="{00000000-0005-0000-0000-00008F3A0000}"/>
    <cellStyle name="Note 2 5 4 2 5 2" xfId="16372" xr:uid="{00000000-0005-0000-0000-0000903A0000}"/>
    <cellStyle name="Note 2 5 4 2 5 2 2" xfId="31204" xr:uid="{00000000-0005-0000-0000-0000913A0000}"/>
    <cellStyle name="Note 2 5 4 2 5 3" xfId="22686" xr:uid="{00000000-0005-0000-0000-0000923A0000}"/>
    <cellStyle name="Note 2 5 4 2 6" xfId="12442" xr:uid="{00000000-0005-0000-0000-0000933A0000}"/>
    <cellStyle name="Note 2 5 4 2 6 2" xfId="27274" xr:uid="{00000000-0005-0000-0000-0000943A0000}"/>
    <cellStyle name="Note 2 5 4 2 7" xfId="10024" xr:uid="{00000000-0005-0000-0000-0000953A0000}"/>
    <cellStyle name="Note 2 5 4 2 7 2" xfId="24856" xr:uid="{00000000-0005-0000-0000-0000963A0000}"/>
    <cellStyle name="Note 2 5 4 2 8" xfId="20365" xr:uid="{00000000-0005-0000-0000-0000973A0000}"/>
    <cellStyle name="Note 2 5 4 3" xfId="3229" xr:uid="{00000000-0005-0000-0000-0000983A0000}"/>
    <cellStyle name="Note 2 5 4 3 2" xfId="7293" xr:uid="{00000000-0005-0000-0000-0000993A0000}"/>
    <cellStyle name="Note 2 5 4 3 2 2" xfId="17053" xr:uid="{00000000-0005-0000-0000-00009A3A0000}"/>
    <cellStyle name="Note 2 5 4 3 2 2 2" xfId="31885" xr:uid="{00000000-0005-0000-0000-00009B3A0000}"/>
    <cellStyle name="Note 2 5 4 3 2 3" xfId="23334" xr:uid="{00000000-0005-0000-0000-00009C3A0000}"/>
    <cellStyle name="Note 2 5 4 3 3" xfId="13567" xr:uid="{00000000-0005-0000-0000-00009D3A0000}"/>
    <cellStyle name="Note 2 5 4 3 3 2" xfId="28399" xr:uid="{00000000-0005-0000-0000-00009E3A0000}"/>
    <cellStyle name="Note 2 5 4 3 4" xfId="10693" xr:uid="{00000000-0005-0000-0000-00009F3A0000}"/>
    <cellStyle name="Note 2 5 4 3 4 2" xfId="25525" xr:uid="{00000000-0005-0000-0000-0000A03A0000}"/>
    <cellStyle name="Note 2 5 4 3 5" xfId="21023" xr:uid="{00000000-0005-0000-0000-0000A13A0000}"/>
    <cellStyle name="Note 2 5 4 4" xfId="4609" xr:uid="{00000000-0005-0000-0000-0000A23A0000}"/>
    <cellStyle name="Note 2 5 4 4 2" xfId="8648" xr:uid="{00000000-0005-0000-0000-0000A33A0000}"/>
    <cellStyle name="Note 2 5 4 4 2 2" xfId="17761" xr:uid="{00000000-0005-0000-0000-0000A43A0000}"/>
    <cellStyle name="Note 2 5 4 4 2 2 2" xfId="32593" xr:uid="{00000000-0005-0000-0000-0000A53A0000}"/>
    <cellStyle name="Note 2 5 4 4 2 3" xfId="24242" xr:uid="{00000000-0005-0000-0000-0000A63A0000}"/>
    <cellStyle name="Note 2 5 4 4 3" xfId="14935" xr:uid="{00000000-0005-0000-0000-0000A73A0000}"/>
    <cellStyle name="Note 2 5 4 4 3 2" xfId="29767" xr:uid="{00000000-0005-0000-0000-0000A83A0000}"/>
    <cellStyle name="Note 2 5 4 4 4" xfId="11366" xr:uid="{00000000-0005-0000-0000-0000A93A0000}"/>
    <cellStyle name="Note 2 5 4 4 4 2" xfId="26198" xr:uid="{00000000-0005-0000-0000-0000AA3A0000}"/>
    <cellStyle name="Note 2 5 4 4 5" xfId="21792" xr:uid="{00000000-0005-0000-0000-0000AB3A0000}"/>
    <cellStyle name="Note 2 5 4 5" xfId="2599" xr:uid="{00000000-0005-0000-0000-0000AC3A0000}"/>
    <cellStyle name="Note 2 5 4 5 2" xfId="6700" xr:uid="{00000000-0005-0000-0000-0000AD3A0000}"/>
    <cellStyle name="Note 2 5 4 5 2 2" xfId="16657" xr:uid="{00000000-0005-0000-0000-0000AE3A0000}"/>
    <cellStyle name="Note 2 5 4 5 2 2 2" xfId="31489" xr:uid="{00000000-0005-0000-0000-0000AF3A0000}"/>
    <cellStyle name="Note 2 5 4 5 2 3" xfId="23005" xr:uid="{00000000-0005-0000-0000-0000B03A0000}"/>
    <cellStyle name="Note 2 5 4 5 3" xfId="12937" xr:uid="{00000000-0005-0000-0000-0000B13A0000}"/>
    <cellStyle name="Note 2 5 4 5 3 2" xfId="27769" xr:uid="{00000000-0005-0000-0000-0000B23A0000}"/>
    <cellStyle name="Note 2 5 4 5 4" xfId="10308" xr:uid="{00000000-0005-0000-0000-0000B33A0000}"/>
    <cellStyle name="Note 2 5 4 5 4 2" xfId="25140" xr:uid="{00000000-0005-0000-0000-0000B43A0000}"/>
    <cellStyle name="Note 2 5 4 5 5" xfId="20653" xr:uid="{00000000-0005-0000-0000-0000B53A0000}"/>
    <cellStyle name="Note 2 5 4 6" xfId="5716" xr:uid="{00000000-0005-0000-0000-0000B63A0000}"/>
    <cellStyle name="Note 2 5 4 6 2" xfId="15951" xr:uid="{00000000-0005-0000-0000-0000B73A0000}"/>
    <cellStyle name="Note 2 5 4 6 2 2" xfId="30783" xr:uid="{00000000-0005-0000-0000-0000B83A0000}"/>
    <cellStyle name="Note 2 5 4 6 3" xfId="22380" xr:uid="{00000000-0005-0000-0000-0000B93A0000}"/>
    <cellStyle name="Note 2 5 4 7" xfId="11971" xr:uid="{00000000-0005-0000-0000-0000BA3A0000}"/>
    <cellStyle name="Note 2 5 4 7 2" xfId="26803" xr:uid="{00000000-0005-0000-0000-0000BB3A0000}"/>
    <cellStyle name="Note 2 5 4 8" xfId="9630" xr:uid="{00000000-0005-0000-0000-0000BC3A0000}"/>
    <cellStyle name="Note 2 5 4 8 2" xfId="19931" xr:uid="{00000000-0005-0000-0000-0000BD3A0000}"/>
    <cellStyle name="Note 2 5 5" xfId="1614" xr:uid="{00000000-0005-0000-0000-0000BE3A0000}"/>
    <cellStyle name="Note 2 5 5 2" xfId="2111" xr:uid="{00000000-0005-0000-0000-0000BF3A0000}"/>
    <cellStyle name="Note 2 5 5 2 2" xfId="3660" xr:uid="{00000000-0005-0000-0000-0000C03A0000}"/>
    <cellStyle name="Note 2 5 5 2 2 2" xfId="7719" xr:uid="{00000000-0005-0000-0000-0000C13A0000}"/>
    <cellStyle name="Note 2 5 5 2 2 2 2" xfId="17306" xr:uid="{00000000-0005-0000-0000-0000C23A0000}"/>
    <cellStyle name="Note 2 5 5 2 2 2 2 2" xfId="32138" xr:uid="{00000000-0005-0000-0000-0000C33A0000}"/>
    <cellStyle name="Note 2 5 5 2 2 2 3" xfId="23615" xr:uid="{00000000-0005-0000-0000-0000C43A0000}"/>
    <cellStyle name="Note 2 5 5 2 2 3" xfId="13995" xr:uid="{00000000-0005-0000-0000-0000C53A0000}"/>
    <cellStyle name="Note 2 5 5 2 2 3 2" xfId="28827" xr:uid="{00000000-0005-0000-0000-0000C63A0000}"/>
    <cellStyle name="Note 2 5 5 2 2 4" xfId="10922" xr:uid="{00000000-0005-0000-0000-0000C73A0000}"/>
    <cellStyle name="Note 2 5 5 2 2 4 2" xfId="25754" xr:uid="{00000000-0005-0000-0000-0000C83A0000}"/>
    <cellStyle name="Note 2 5 5 2 2 5" xfId="21279" xr:uid="{00000000-0005-0000-0000-0000C93A0000}"/>
    <cellStyle name="Note 2 5 5 2 3" xfId="5079" xr:uid="{00000000-0005-0000-0000-0000CA3A0000}"/>
    <cellStyle name="Note 2 5 5 2 3 2" xfId="9118" xr:uid="{00000000-0005-0000-0000-0000CB3A0000}"/>
    <cellStyle name="Note 2 5 5 2 3 2 2" xfId="18046" xr:uid="{00000000-0005-0000-0000-0000CC3A0000}"/>
    <cellStyle name="Note 2 5 5 2 3 2 2 2" xfId="32878" xr:uid="{00000000-0005-0000-0000-0000CD3A0000}"/>
    <cellStyle name="Note 2 5 5 2 3 2 3" xfId="24520" xr:uid="{00000000-0005-0000-0000-0000CE3A0000}"/>
    <cellStyle name="Note 2 5 5 2 3 3" xfId="15399" xr:uid="{00000000-0005-0000-0000-0000CF3A0000}"/>
    <cellStyle name="Note 2 5 5 2 3 3 2" xfId="30231" xr:uid="{00000000-0005-0000-0000-0000D03A0000}"/>
    <cellStyle name="Note 2 5 5 2 3 4" xfId="11645" xr:uid="{00000000-0005-0000-0000-0000D13A0000}"/>
    <cellStyle name="Note 2 5 5 2 3 4 2" xfId="26477" xr:uid="{00000000-0005-0000-0000-0000D23A0000}"/>
    <cellStyle name="Note 2 5 5 2 3 5" xfId="22034" xr:uid="{00000000-0005-0000-0000-0000D33A0000}"/>
    <cellStyle name="Note 2 5 5 2 4" xfId="3069" xr:uid="{00000000-0005-0000-0000-0000D43A0000}"/>
    <cellStyle name="Note 2 5 5 2 4 2" xfId="7139" xr:uid="{00000000-0005-0000-0000-0000D53A0000}"/>
    <cellStyle name="Note 2 5 5 2 4 2 2" xfId="16936" xr:uid="{00000000-0005-0000-0000-0000D63A0000}"/>
    <cellStyle name="Note 2 5 5 2 4 2 2 2" xfId="31768" xr:uid="{00000000-0005-0000-0000-0000D73A0000}"/>
    <cellStyle name="Note 2 5 5 2 4 2 3" xfId="23247" xr:uid="{00000000-0005-0000-0000-0000D83A0000}"/>
    <cellStyle name="Note 2 5 5 2 4 3" xfId="13407" xr:uid="{00000000-0005-0000-0000-0000D93A0000}"/>
    <cellStyle name="Note 2 5 5 2 4 3 2" xfId="28239" xr:uid="{00000000-0005-0000-0000-0000DA3A0000}"/>
    <cellStyle name="Note 2 5 5 2 4 4" xfId="10593" xr:uid="{00000000-0005-0000-0000-0000DB3A0000}"/>
    <cellStyle name="Note 2 5 5 2 4 4 2" xfId="25425" xr:uid="{00000000-0005-0000-0000-0000DC3A0000}"/>
    <cellStyle name="Note 2 5 5 2 4 5" xfId="20931" xr:uid="{00000000-0005-0000-0000-0000DD3A0000}"/>
    <cellStyle name="Note 2 5 5 2 5" xfId="6231" xr:uid="{00000000-0005-0000-0000-0000DE3A0000}"/>
    <cellStyle name="Note 2 5 5 2 5 2" xfId="16416" xr:uid="{00000000-0005-0000-0000-0000DF3A0000}"/>
    <cellStyle name="Note 2 5 5 2 5 2 2" xfId="31248" xr:uid="{00000000-0005-0000-0000-0000E03A0000}"/>
    <cellStyle name="Note 2 5 5 2 5 3" xfId="22698" xr:uid="{00000000-0005-0000-0000-0000E13A0000}"/>
    <cellStyle name="Note 2 5 5 2 6" xfId="12486" xr:uid="{00000000-0005-0000-0000-0000E23A0000}"/>
    <cellStyle name="Note 2 5 5 2 6 2" xfId="27318" xr:uid="{00000000-0005-0000-0000-0000E33A0000}"/>
    <cellStyle name="Note 2 5 5 2 7" xfId="10068" xr:uid="{00000000-0005-0000-0000-0000E43A0000}"/>
    <cellStyle name="Note 2 5 5 2 7 2" xfId="24900" xr:uid="{00000000-0005-0000-0000-0000E53A0000}"/>
    <cellStyle name="Note 2 5 5 2 8" xfId="20377" xr:uid="{00000000-0005-0000-0000-0000E63A0000}"/>
    <cellStyle name="Note 2 5 5 3" xfId="4331" xr:uid="{00000000-0005-0000-0000-0000E73A0000}"/>
    <cellStyle name="Note 2 5 5 3 2" xfId="8370" xr:uid="{00000000-0005-0000-0000-0000E83A0000}"/>
    <cellStyle name="Note 2 5 5 3 2 2" xfId="17648" xr:uid="{00000000-0005-0000-0000-0000E93A0000}"/>
    <cellStyle name="Note 2 5 5 3 2 2 2" xfId="32480" xr:uid="{00000000-0005-0000-0000-0000EA3A0000}"/>
    <cellStyle name="Note 2 5 5 3 2 3" xfId="24033" xr:uid="{00000000-0005-0000-0000-0000EB3A0000}"/>
    <cellStyle name="Note 2 5 5 3 3" xfId="14662" xr:uid="{00000000-0005-0000-0000-0000EC3A0000}"/>
    <cellStyle name="Note 2 5 5 3 3 2" xfId="29494" xr:uid="{00000000-0005-0000-0000-0000ED3A0000}"/>
    <cellStyle name="Note 2 5 5 3 4" xfId="11258" xr:uid="{00000000-0005-0000-0000-0000EE3A0000}"/>
    <cellStyle name="Note 2 5 5 3 4 2" xfId="26090" xr:uid="{00000000-0005-0000-0000-0000EF3A0000}"/>
    <cellStyle name="Note 2 5 5 3 5" xfId="21629" xr:uid="{00000000-0005-0000-0000-0000F03A0000}"/>
    <cellStyle name="Note 2 5 5 4" xfId="4659" xr:uid="{00000000-0005-0000-0000-0000F13A0000}"/>
    <cellStyle name="Note 2 5 5 4 2" xfId="8698" xr:uid="{00000000-0005-0000-0000-0000F23A0000}"/>
    <cellStyle name="Note 2 5 5 4 2 2" xfId="17806" xr:uid="{00000000-0005-0000-0000-0000F33A0000}"/>
    <cellStyle name="Note 2 5 5 4 2 2 2" xfId="32638" xr:uid="{00000000-0005-0000-0000-0000F43A0000}"/>
    <cellStyle name="Note 2 5 5 4 2 3" xfId="24260" xr:uid="{00000000-0005-0000-0000-0000F53A0000}"/>
    <cellStyle name="Note 2 5 5 4 3" xfId="14984" xr:uid="{00000000-0005-0000-0000-0000F63A0000}"/>
    <cellStyle name="Note 2 5 5 4 3 2" xfId="29816" xr:uid="{00000000-0005-0000-0000-0000F73A0000}"/>
    <cellStyle name="Note 2 5 5 4 4" xfId="11410" xr:uid="{00000000-0005-0000-0000-0000F83A0000}"/>
    <cellStyle name="Note 2 5 5 4 4 2" xfId="26242" xr:uid="{00000000-0005-0000-0000-0000F93A0000}"/>
    <cellStyle name="Note 2 5 5 4 5" xfId="21804" xr:uid="{00000000-0005-0000-0000-0000FA3A0000}"/>
    <cellStyle name="Note 2 5 5 5" xfId="2649" xr:uid="{00000000-0005-0000-0000-0000FB3A0000}"/>
    <cellStyle name="Note 2 5 5 5 2" xfId="6745" xr:uid="{00000000-0005-0000-0000-0000FC3A0000}"/>
    <cellStyle name="Note 2 5 5 5 2 2" xfId="16701" xr:uid="{00000000-0005-0000-0000-0000FD3A0000}"/>
    <cellStyle name="Note 2 5 5 5 2 2 2" xfId="31533" xr:uid="{00000000-0005-0000-0000-0000FE3A0000}"/>
    <cellStyle name="Note 2 5 5 5 2 3" xfId="23017" xr:uid="{00000000-0005-0000-0000-0000FF3A0000}"/>
    <cellStyle name="Note 2 5 5 5 3" xfId="12987" xr:uid="{00000000-0005-0000-0000-0000003B0000}"/>
    <cellStyle name="Note 2 5 5 5 3 2" xfId="27819" xr:uid="{00000000-0005-0000-0000-0000013B0000}"/>
    <cellStyle name="Note 2 5 5 5 4" xfId="10353" xr:uid="{00000000-0005-0000-0000-0000023B0000}"/>
    <cellStyle name="Note 2 5 5 5 4 2" xfId="25185" xr:uid="{00000000-0005-0000-0000-0000033B0000}"/>
    <cellStyle name="Note 2 5 5 5 5" xfId="20671" xr:uid="{00000000-0005-0000-0000-0000043B0000}"/>
    <cellStyle name="Note 2 5 5 6" xfId="5761" xr:uid="{00000000-0005-0000-0000-0000053B0000}"/>
    <cellStyle name="Note 2 5 5 6 2" xfId="15995" xr:uid="{00000000-0005-0000-0000-0000063B0000}"/>
    <cellStyle name="Note 2 5 5 6 2 2" xfId="30827" xr:uid="{00000000-0005-0000-0000-0000073B0000}"/>
    <cellStyle name="Note 2 5 5 6 3" xfId="22392" xr:uid="{00000000-0005-0000-0000-0000083B0000}"/>
    <cellStyle name="Note 2 5 5 7" xfId="12015" xr:uid="{00000000-0005-0000-0000-0000093B0000}"/>
    <cellStyle name="Note 2 5 5 7 2" xfId="26847" xr:uid="{00000000-0005-0000-0000-00000A3B0000}"/>
    <cellStyle name="Note 2 5 5 8" xfId="9675" xr:uid="{00000000-0005-0000-0000-00000B3B0000}"/>
    <cellStyle name="Note 2 5 5 8 2" xfId="19975" xr:uid="{00000000-0005-0000-0000-00000C3B0000}"/>
    <cellStyle name="Note 2 5 6" xfId="1765" xr:uid="{00000000-0005-0000-0000-00000D3B0000}"/>
    <cellStyle name="Note 2 5 6 2" xfId="3706" xr:uid="{00000000-0005-0000-0000-00000E3B0000}"/>
    <cellStyle name="Note 2 5 6 2 2" xfId="7762" xr:uid="{00000000-0005-0000-0000-00000F3B0000}"/>
    <cellStyle name="Note 2 5 6 2 2 2" xfId="17327" xr:uid="{00000000-0005-0000-0000-0000103B0000}"/>
    <cellStyle name="Note 2 5 6 2 2 2 2" xfId="32159" xr:uid="{00000000-0005-0000-0000-0000113B0000}"/>
    <cellStyle name="Note 2 5 6 2 2 3" xfId="23644" xr:uid="{00000000-0005-0000-0000-0000123B0000}"/>
    <cellStyle name="Note 2 5 6 2 3" xfId="14041" xr:uid="{00000000-0005-0000-0000-0000133B0000}"/>
    <cellStyle name="Note 2 5 6 2 3 2" xfId="28873" xr:uid="{00000000-0005-0000-0000-0000143B0000}"/>
    <cellStyle name="Note 2 5 6 2 4" xfId="10945" xr:uid="{00000000-0005-0000-0000-0000153B0000}"/>
    <cellStyle name="Note 2 5 6 2 4 2" xfId="25777" xr:uid="{00000000-0005-0000-0000-0000163B0000}"/>
    <cellStyle name="Note 2 5 6 2 5" xfId="21304" xr:uid="{00000000-0005-0000-0000-0000173B0000}"/>
    <cellStyle name="Note 2 5 6 3" xfId="4743" xr:uid="{00000000-0005-0000-0000-0000183B0000}"/>
    <cellStyle name="Note 2 5 6 3 2" xfId="8782" xr:uid="{00000000-0005-0000-0000-0000193B0000}"/>
    <cellStyle name="Note 2 5 6 3 2 2" xfId="17854" xr:uid="{00000000-0005-0000-0000-00001A3B0000}"/>
    <cellStyle name="Note 2 5 6 3 2 2 2" xfId="32686" xr:uid="{00000000-0005-0000-0000-00001B3B0000}"/>
    <cellStyle name="Note 2 5 6 3 2 3" xfId="24312" xr:uid="{00000000-0005-0000-0000-00001C3B0000}"/>
    <cellStyle name="Note 2 5 6 3 3" xfId="15067" xr:uid="{00000000-0005-0000-0000-00001D3B0000}"/>
    <cellStyle name="Note 2 5 6 3 3 2" xfId="29899" xr:uid="{00000000-0005-0000-0000-00001E3B0000}"/>
    <cellStyle name="Note 2 5 6 3 4" xfId="11457" xr:uid="{00000000-0005-0000-0000-00001F3B0000}"/>
    <cellStyle name="Note 2 5 6 3 4 2" xfId="26289" xr:uid="{00000000-0005-0000-0000-0000203B0000}"/>
    <cellStyle name="Note 2 5 6 3 5" xfId="21850" xr:uid="{00000000-0005-0000-0000-0000213B0000}"/>
    <cellStyle name="Note 2 5 6 4" xfId="2733" xr:uid="{00000000-0005-0000-0000-0000223B0000}"/>
    <cellStyle name="Note 2 5 6 4 2" xfId="6824" xr:uid="{00000000-0005-0000-0000-0000233B0000}"/>
    <cellStyle name="Note 2 5 6 4 2 2" xfId="16748" xr:uid="{00000000-0005-0000-0000-0000243B0000}"/>
    <cellStyle name="Note 2 5 6 4 2 2 2" xfId="31580" xr:uid="{00000000-0005-0000-0000-0000253B0000}"/>
    <cellStyle name="Note 2 5 6 4 2 3" xfId="23063" xr:uid="{00000000-0005-0000-0000-0000263B0000}"/>
    <cellStyle name="Note 2 5 6 4 3" xfId="13071" xr:uid="{00000000-0005-0000-0000-0000273B0000}"/>
    <cellStyle name="Note 2 5 6 4 3 2" xfId="27903" xr:uid="{00000000-0005-0000-0000-0000283B0000}"/>
    <cellStyle name="Note 2 5 6 4 4" xfId="10401" xr:uid="{00000000-0005-0000-0000-0000293B0000}"/>
    <cellStyle name="Note 2 5 6 4 4 2" xfId="25233" xr:uid="{00000000-0005-0000-0000-00002A3B0000}"/>
    <cellStyle name="Note 2 5 6 4 5" xfId="20723" xr:uid="{00000000-0005-0000-0000-00002B3B0000}"/>
    <cellStyle name="Note 2 5 6 5" xfId="5897" xr:uid="{00000000-0005-0000-0000-00002C3B0000}"/>
    <cellStyle name="Note 2 5 6 5 2" xfId="16089" xr:uid="{00000000-0005-0000-0000-00002D3B0000}"/>
    <cellStyle name="Note 2 5 6 5 2 2" xfId="30921" xr:uid="{00000000-0005-0000-0000-00002E3B0000}"/>
    <cellStyle name="Note 2 5 6 5 3" xfId="22494" xr:uid="{00000000-0005-0000-0000-00002F3B0000}"/>
    <cellStyle name="Note 2 5 6 6" xfId="12159" xr:uid="{00000000-0005-0000-0000-0000303B0000}"/>
    <cellStyle name="Note 2 5 6 6 2" xfId="26991" xr:uid="{00000000-0005-0000-0000-0000313B0000}"/>
    <cellStyle name="Note 2 5 6 7" xfId="9755" xr:uid="{00000000-0005-0000-0000-0000323B0000}"/>
    <cellStyle name="Note 2 5 6 7 2" xfId="24712" xr:uid="{00000000-0005-0000-0000-0000333B0000}"/>
    <cellStyle name="Note 2 5 6 8" xfId="20302" xr:uid="{00000000-0005-0000-0000-0000343B0000}"/>
    <cellStyle name="Note 2 5 7" xfId="2201" xr:uid="{00000000-0005-0000-0000-0000353B0000}"/>
    <cellStyle name="Note 2 5 7 2" xfId="4026" xr:uid="{00000000-0005-0000-0000-0000363B0000}"/>
    <cellStyle name="Note 2 5 7 2 2" xfId="8073" xr:uid="{00000000-0005-0000-0000-0000373B0000}"/>
    <cellStyle name="Note 2 5 7 2 2 2" xfId="17483" xr:uid="{00000000-0005-0000-0000-0000383B0000}"/>
    <cellStyle name="Note 2 5 7 2 2 2 2" xfId="32315" xr:uid="{00000000-0005-0000-0000-0000393B0000}"/>
    <cellStyle name="Note 2 5 7 2 2 3" xfId="23843" xr:uid="{00000000-0005-0000-0000-00003A3B0000}"/>
    <cellStyle name="Note 2 5 7 2 3" xfId="14358" xr:uid="{00000000-0005-0000-0000-00003B3B0000}"/>
    <cellStyle name="Note 2 5 7 2 3 2" xfId="29190" xr:uid="{00000000-0005-0000-0000-00003C3B0000}"/>
    <cellStyle name="Note 2 5 7 2 4" xfId="11099" xr:uid="{00000000-0005-0000-0000-00003D3B0000}"/>
    <cellStyle name="Note 2 5 7 2 4 2" xfId="25931" xr:uid="{00000000-0005-0000-0000-00003E3B0000}"/>
    <cellStyle name="Note 2 5 7 2 5" xfId="21481" xr:uid="{00000000-0005-0000-0000-00003F3B0000}"/>
    <cellStyle name="Note 2 5 7 3" xfId="5169" xr:uid="{00000000-0005-0000-0000-0000403B0000}"/>
    <cellStyle name="Note 2 5 7 3 2" xfId="9208" xr:uid="{00000000-0005-0000-0000-0000413B0000}"/>
    <cellStyle name="Note 2 5 7 3 2 2" xfId="18131" xr:uid="{00000000-0005-0000-0000-0000423B0000}"/>
    <cellStyle name="Note 2 5 7 3 2 2 2" xfId="32963" xr:uid="{00000000-0005-0000-0000-0000433B0000}"/>
    <cellStyle name="Note 2 5 7 3 2 3" xfId="24546" xr:uid="{00000000-0005-0000-0000-0000443B0000}"/>
    <cellStyle name="Note 2 5 7 3 3" xfId="15487" xr:uid="{00000000-0005-0000-0000-0000453B0000}"/>
    <cellStyle name="Note 2 5 7 3 3 2" xfId="30319" xr:uid="{00000000-0005-0000-0000-0000463B0000}"/>
    <cellStyle name="Note 2 5 7 3 4" xfId="11728" xr:uid="{00000000-0005-0000-0000-0000473B0000}"/>
    <cellStyle name="Note 2 5 7 3 4 2" xfId="26560" xr:uid="{00000000-0005-0000-0000-0000483B0000}"/>
    <cellStyle name="Note 2 5 7 3 5" xfId="22053" xr:uid="{00000000-0005-0000-0000-0000493B0000}"/>
    <cellStyle name="Note 2 5 7 4" xfId="4199" xr:uid="{00000000-0005-0000-0000-00004A3B0000}"/>
    <cellStyle name="Note 2 5 7 4 2" xfId="8240" xr:uid="{00000000-0005-0000-0000-00004B3B0000}"/>
    <cellStyle name="Note 2 5 7 4 2 2" xfId="17587" xr:uid="{00000000-0005-0000-0000-00004C3B0000}"/>
    <cellStyle name="Note 2 5 7 4 2 2 2" xfId="32419" xr:uid="{00000000-0005-0000-0000-00004D3B0000}"/>
    <cellStyle name="Note 2 5 7 4 2 3" xfId="23935" xr:uid="{00000000-0005-0000-0000-00004E3B0000}"/>
    <cellStyle name="Note 2 5 7 4 3" xfId="14531" xr:uid="{00000000-0005-0000-0000-00004F3B0000}"/>
    <cellStyle name="Note 2 5 7 4 3 2" xfId="29363" xr:uid="{00000000-0005-0000-0000-0000503B0000}"/>
    <cellStyle name="Note 2 5 7 4 4" xfId="11207" xr:uid="{00000000-0005-0000-0000-0000513B0000}"/>
    <cellStyle name="Note 2 5 7 4 4 2" xfId="26039" xr:uid="{00000000-0005-0000-0000-0000523B0000}"/>
    <cellStyle name="Note 2 5 7 4 5" xfId="21560" xr:uid="{00000000-0005-0000-0000-0000533B0000}"/>
    <cellStyle name="Note 2 5 7 5" xfId="6315" xr:uid="{00000000-0005-0000-0000-0000543B0000}"/>
    <cellStyle name="Note 2 5 7 5 2" xfId="16499" xr:uid="{00000000-0005-0000-0000-0000553B0000}"/>
    <cellStyle name="Note 2 5 7 5 2 2" xfId="31331" xr:uid="{00000000-0005-0000-0000-0000563B0000}"/>
    <cellStyle name="Note 2 5 7 5 3" xfId="22717" xr:uid="{00000000-0005-0000-0000-0000573B0000}"/>
    <cellStyle name="Note 2 5 7 6" xfId="12569" xr:uid="{00000000-0005-0000-0000-0000583B0000}"/>
    <cellStyle name="Note 2 5 7 6 2" xfId="27401" xr:uid="{00000000-0005-0000-0000-0000593B0000}"/>
    <cellStyle name="Note 2 5 7 7" xfId="10151" xr:uid="{00000000-0005-0000-0000-00005A3B0000}"/>
    <cellStyle name="Note 2 5 7 7 2" xfId="24983" xr:uid="{00000000-0005-0000-0000-00005B3B0000}"/>
    <cellStyle name="Note 2 5 7 8" xfId="20396" xr:uid="{00000000-0005-0000-0000-00005C3B0000}"/>
    <cellStyle name="Note 2 5 8" xfId="3206" xr:uid="{00000000-0005-0000-0000-00005D3B0000}"/>
    <cellStyle name="Note 2 5 8 2" xfId="7270" xr:uid="{00000000-0005-0000-0000-00005E3B0000}"/>
    <cellStyle name="Note 2 5 8 2 2" xfId="17037" xr:uid="{00000000-0005-0000-0000-00005F3B0000}"/>
    <cellStyle name="Note 2 5 8 2 2 2" xfId="31869" xr:uid="{00000000-0005-0000-0000-0000603B0000}"/>
    <cellStyle name="Note 2 5 8 2 3" xfId="23318" xr:uid="{00000000-0005-0000-0000-0000613B0000}"/>
    <cellStyle name="Note 2 5 8 3" xfId="13544" xr:uid="{00000000-0005-0000-0000-0000623B0000}"/>
    <cellStyle name="Note 2 5 8 3 2" xfId="28376" xr:uid="{00000000-0005-0000-0000-0000633B0000}"/>
    <cellStyle name="Note 2 5 8 4" xfId="10681" xr:uid="{00000000-0005-0000-0000-0000643B0000}"/>
    <cellStyle name="Note 2 5 8 4 2" xfId="25513" xr:uid="{00000000-0005-0000-0000-0000653B0000}"/>
    <cellStyle name="Note 2 5 8 5" xfId="21008" xr:uid="{00000000-0005-0000-0000-0000663B0000}"/>
    <cellStyle name="Note 2 5 9" xfId="3503" xr:uid="{00000000-0005-0000-0000-0000673B0000}"/>
    <cellStyle name="Note 2 5 9 2" xfId="7565" xr:uid="{00000000-0005-0000-0000-0000683B0000}"/>
    <cellStyle name="Note 2 5 9 2 2" xfId="17223" xr:uid="{00000000-0005-0000-0000-0000693B0000}"/>
    <cellStyle name="Note 2 5 9 2 2 2" xfId="32055" xr:uid="{00000000-0005-0000-0000-00006A3B0000}"/>
    <cellStyle name="Note 2 5 9 2 3" xfId="23519" xr:uid="{00000000-0005-0000-0000-00006B3B0000}"/>
    <cellStyle name="Note 2 5 9 3" xfId="13840" xr:uid="{00000000-0005-0000-0000-00006C3B0000}"/>
    <cellStyle name="Note 2 5 9 3 2" xfId="28672" xr:uid="{00000000-0005-0000-0000-00006D3B0000}"/>
    <cellStyle name="Note 2 5 9 4" xfId="10841" xr:uid="{00000000-0005-0000-0000-00006E3B0000}"/>
    <cellStyle name="Note 2 5 9 4 2" xfId="25673" xr:uid="{00000000-0005-0000-0000-00006F3B0000}"/>
    <cellStyle name="Note 2 5 9 5" xfId="21194" xr:uid="{00000000-0005-0000-0000-0000703B0000}"/>
    <cellStyle name="Note 2 6" xfId="1221" xr:uid="{00000000-0005-0000-0000-0000713B0000}"/>
    <cellStyle name="Note 2 6 10" xfId="2307" xr:uid="{00000000-0005-0000-0000-0000723B0000}"/>
    <cellStyle name="Note 2 6 10 2" xfId="6419" xr:uid="{00000000-0005-0000-0000-0000733B0000}"/>
    <cellStyle name="Note 2 6 10 2 2" xfId="16512" xr:uid="{00000000-0005-0000-0000-0000743B0000}"/>
    <cellStyle name="Note 2 6 10 2 2 2" xfId="31344" xr:uid="{00000000-0005-0000-0000-0000753B0000}"/>
    <cellStyle name="Note 2 6 10 2 3" xfId="22821" xr:uid="{00000000-0005-0000-0000-0000763B0000}"/>
    <cellStyle name="Note 2 6 10 3" xfId="12647" xr:uid="{00000000-0005-0000-0000-0000773B0000}"/>
    <cellStyle name="Note 2 6 10 3 2" xfId="27479" xr:uid="{00000000-0005-0000-0000-0000783B0000}"/>
    <cellStyle name="Note 2 6 10 4" xfId="10163" xr:uid="{00000000-0005-0000-0000-0000793B0000}"/>
    <cellStyle name="Note 2 6 10 4 2" xfId="24995" xr:uid="{00000000-0005-0000-0000-00007A3B0000}"/>
    <cellStyle name="Note 2 6 10 5" xfId="20470" xr:uid="{00000000-0005-0000-0000-00007B3B0000}"/>
    <cellStyle name="Note 2 6 11" xfId="5270" xr:uid="{00000000-0005-0000-0000-00007C3B0000}"/>
    <cellStyle name="Note 2 6 11 2" xfId="9278" xr:uid="{00000000-0005-0000-0000-00007D3B0000}"/>
    <cellStyle name="Note 2 6 11 2 2" xfId="18145" xr:uid="{00000000-0005-0000-0000-00007E3B0000}"/>
    <cellStyle name="Note 2 6 11 2 2 2" xfId="32977" xr:uid="{00000000-0005-0000-0000-00007F3B0000}"/>
    <cellStyle name="Note 2 6 11 2 3" xfId="24616" xr:uid="{00000000-0005-0000-0000-0000803B0000}"/>
    <cellStyle name="Note 2 6 11 3" xfId="15586" xr:uid="{00000000-0005-0000-0000-0000813B0000}"/>
    <cellStyle name="Note 2 6 11 3 2" xfId="30418" xr:uid="{00000000-0005-0000-0000-0000823B0000}"/>
    <cellStyle name="Note 2 6 11 4" xfId="22127" xr:uid="{00000000-0005-0000-0000-0000833B0000}"/>
    <cellStyle name="Note 2 6 12" xfId="5428" xr:uid="{00000000-0005-0000-0000-0000843B0000}"/>
    <cellStyle name="Note 2 6 12 2" xfId="15664" xr:uid="{00000000-0005-0000-0000-0000853B0000}"/>
    <cellStyle name="Note 2 6 12 2 2" xfId="30496" xr:uid="{00000000-0005-0000-0000-0000863B0000}"/>
    <cellStyle name="Note 2 6 12 3" xfId="22189" xr:uid="{00000000-0005-0000-0000-0000873B0000}"/>
    <cellStyle name="Note 2 6 13" xfId="9363" xr:uid="{00000000-0005-0000-0000-0000883B0000}"/>
    <cellStyle name="Note 2 6 13 2" xfId="24669" xr:uid="{00000000-0005-0000-0000-0000893B0000}"/>
    <cellStyle name="Note 2 6 14" xfId="5352" xr:uid="{00000000-0005-0000-0000-00008A3B0000}"/>
    <cellStyle name="Note 2 6 14 2" xfId="18226" xr:uid="{00000000-0005-0000-0000-00008B3B0000}"/>
    <cellStyle name="Note 2 6 2" xfId="1340" xr:uid="{00000000-0005-0000-0000-00008C3B0000}"/>
    <cellStyle name="Note 2 6 2 2" xfId="1844" xr:uid="{00000000-0005-0000-0000-00008D3B0000}"/>
    <cellStyle name="Note 2 6 2 2 2" xfId="3379" xr:uid="{00000000-0005-0000-0000-00008E3B0000}"/>
    <cellStyle name="Note 2 6 2 2 2 2" xfId="7442" xr:uid="{00000000-0005-0000-0000-00008F3B0000}"/>
    <cellStyle name="Note 2 6 2 2 2 2 2" xfId="17149" xr:uid="{00000000-0005-0000-0000-0000903B0000}"/>
    <cellStyle name="Note 2 6 2 2 2 2 2 2" xfId="31981" xr:uid="{00000000-0005-0000-0000-0000913B0000}"/>
    <cellStyle name="Note 2 6 2 2 2 2 3" xfId="23437" xr:uid="{00000000-0005-0000-0000-0000923B0000}"/>
    <cellStyle name="Note 2 6 2 2 2 3" xfId="13716" xr:uid="{00000000-0005-0000-0000-0000933B0000}"/>
    <cellStyle name="Note 2 6 2 2 2 3 2" xfId="28548" xr:uid="{00000000-0005-0000-0000-0000943B0000}"/>
    <cellStyle name="Note 2 6 2 2 2 4" xfId="10768" xr:uid="{00000000-0005-0000-0000-0000953B0000}"/>
    <cellStyle name="Note 2 6 2 2 2 4 2" xfId="25600" xr:uid="{00000000-0005-0000-0000-0000963B0000}"/>
    <cellStyle name="Note 2 6 2 2 2 5" xfId="21119" xr:uid="{00000000-0005-0000-0000-0000973B0000}"/>
    <cellStyle name="Note 2 6 2 2 3" xfId="4822" xr:uid="{00000000-0005-0000-0000-0000983B0000}"/>
    <cellStyle name="Note 2 6 2 2 3 2" xfId="8861" xr:uid="{00000000-0005-0000-0000-0000993B0000}"/>
    <cellStyle name="Note 2 6 2 2 3 2 2" xfId="17902" xr:uid="{00000000-0005-0000-0000-00009A3B0000}"/>
    <cellStyle name="Note 2 6 2 2 3 2 2 2" xfId="32734" xr:uid="{00000000-0005-0000-0000-00009B3B0000}"/>
    <cellStyle name="Note 2 6 2 2 3 2 3" xfId="24359" xr:uid="{00000000-0005-0000-0000-00009C3B0000}"/>
    <cellStyle name="Note 2 6 2 2 3 3" xfId="15146" xr:uid="{00000000-0005-0000-0000-00009D3B0000}"/>
    <cellStyle name="Note 2 6 2 2 3 3 2" xfId="29978" xr:uid="{00000000-0005-0000-0000-00009E3B0000}"/>
    <cellStyle name="Note 2 6 2 2 3 4" xfId="11505" xr:uid="{00000000-0005-0000-0000-00009F3B0000}"/>
    <cellStyle name="Note 2 6 2 2 3 4 2" xfId="26337" xr:uid="{00000000-0005-0000-0000-0000A03B0000}"/>
    <cellStyle name="Note 2 6 2 2 3 5" xfId="21897" xr:uid="{00000000-0005-0000-0000-0000A13B0000}"/>
    <cellStyle name="Note 2 6 2 2 4" xfId="2812" xr:uid="{00000000-0005-0000-0000-0000A23B0000}"/>
    <cellStyle name="Note 2 6 2 2 4 2" xfId="6903" xr:uid="{00000000-0005-0000-0000-0000A33B0000}"/>
    <cellStyle name="Note 2 6 2 2 4 2 2" xfId="16796" xr:uid="{00000000-0005-0000-0000-0000A43B0000}"/>
    <cellStyle name="Note 2 6 2 2 4 2 2 2" xfId="31628" xr:uid="{00000000-0005-0000-0000-0000A53B0000}"/>
    <cellStyle name="Note 2 6 2 2 4 2 3" xfId="23110" xr:uid="{00000000-0005-0000-0000-0000A63B0000}"/>
    <cellStyle name="Note 2 6 2 2 4 3" xfId="13150" xr:uid="{00000000-0005-0000-0000-0000A73B0000}"/>
    <cellStyle name="Note 2 6 2 2 4 3 2" xfId="27982" xr:uid="{00000000-0005-0000-0000-0000A83B0000}"/>
    <cellStyle name="Note 2 6 2 2 4 4" xfId="10449" xr:uid="{00000000-0005-0000-0000-0000A93B0000}"/>
    <cellStyle name="Note 2 6 2 2 4 4 2" xfId="25281" xr:uid="{00000000-0005-0000-0000-0000AA3B0000}"/>
    <cellStyle name="Note 2 6 2 2 4 5" xfId="20770" xr:uid="{00000000-0005-0000-0000-0000AB3B0000}"/>
    <cellStyle name="Note 2 6 2 2 5" xfId="5976" xr:uid="{00000000-0005-0000-0000-0000AC3B0000}"/>
    <cellStyle name="Note 2 6 2 2 5 2" xfId="16168" xr:uid="{00000000-0005-0000-0000-0000AD3B0000}"/>
    <cellStyle name="Note 2 6 2 2 5 2 2" xfId="31000" xr:uid="{00000000-0005-0000-0000-0000AE3B0000}"/>
    <cellStyle name="Note 2 6 2 2 5 3" xfId="22541" xr:uid="{00000000-0005-0000-0000-0000AF3B0000}"/>
    <cellStyle name="Note 2 6 2 2 6" xfId="12238" xr:uid="{00000000-0005-0000-0000-0000B03B0000}"/>
    <cellStyle name="Note 2 6 2 2 6 2" xfId="27070" xr:uid="{00000000-0005-0000-0000-0000B13B0000}"/>
    <cellStyle name="Note 2 6 2 2 7" xfId="9834" xr:uid="{00000000-0005-0000-0000-0000B23B0000}"/>
    <cellStyle name="Note 2 6 2 2 7 2" xfId="24760" xr:uid="{00000000-0005-0000-0000-0000B33B0000}"/>
    <cellStyle name="Note 2 6 2 2 8" xfId="20318" xr:uid="{00000000-0005-0000-0000-0000B43B0000}"/>
    <cellStyle name="Note 2 6 2 3" xfId="4119" xr:uid="{00000000-0005-0000-0000-0000B53B0000}"/>
    <cellStyle name="Note 2 6 2 3 2" xfId="8164" xr:uid="{00000000-0005-0000-0000-0000B63B0000}"/>
    <cellStyle name="Note 2 6 2 3 2 2" xfId="17527" xr:uid="{00000000-0005-0000-0000-0000B73B0000}"/>
    <cellStyle name="Note 2 6 2 3 2 2 2" xfId="32359" xr:uid="{00000000-0005-0000-0000-0000B83B0000}"/>
    <cellStyle name="Note 2 6 2 3 2 3" xfId="23902" xr:uid="{00000000-0005-0000-0000-0000B93B0000}"/>
    <cellStyle name="Note 2 6 2 3 3" xfId="14451" xr:uid="{00000000-0005-0000-0000-0000BA3B0000}"/>
    <cellStyle name="Note 2 6 2 3 3 2" xfId="29283" xr:uid="{00000000-0005-0000-0000-0000BB3B0000}"/>
    <cellStyle name="Note 2 6 2 3 4" xfId="11145" xr:uid="{00000000-0005-0000-0000-0000BC3B0000}"/>
    <cellStyle name="Note 2 6 2 3 4 2" xfId="25977" xr:uid="{00000000-0005-0000-0000-0000BD3B0000}"/>
    <cellStyle name="Note 2 6 2 3 5" xfId="21528" xr:uid="{00000000-0005-0000-0000-0000BE3B0000}"/>
    <cellStyle name="Note 2 6 2 4" xfId="4402" xr:uid="{00000000-0005-0000-0000-0000BF3B0000}"/>
    <cellStyle name="Note 2 6 2 4 2" xfId="8441" xr:uid="{00000000-0005-0000-0000-0000C03B0000}"/>
    <cellStyle name="Note 2 6 2 4 2 2" xfId="17662" xr:uid="{00000000-0005-0000-0000-0000C13B0000}"/>
    <cellStyle name="Note 2 6 2 4 2 2 2" xfId="32494" xr:uid="{00000000-0005-0000-0000-0000C23B0000}"/>
    <cellStyle name="Note 2 6 2 4 2 3" xfId="24099" xr:uid="{00000000-0005-0000-0000-0000C33B0000}"/>
    <cellStyle name="Note 2 6 2 4 3" xfId="14731" xr:uid="{00000000-0005-0000-0000-0000C43B0000}"/>
    <cellStyle name="Note 2 6 2 4 3 2" xfId="29563" xr:uid="{00000000-0005-0000-0000-0000C53B0000}"/>
    <cellStyle name="Note 2 6 2 4 4" xfId="11270" xr:uid="{00000000-0005-0000-0000-0000C63B0000}"/>
    <cellStyle name="Note 2 6 2 4 4 2" xfId="26102" xr:uid="{00000000-0005-0000-0000-0000C73B0000}"/>
    <cellStyle name="Note 2 6 2 4 5" xfId="21667" xr:uid="{00000000-0005-0000-0000-0000C83B0000}"/>
    <cellStyle name="Note 2 6 2 5" xfId="2392" xr:uid="{00000000-0005-0000-0000-0000C93B0000}"/>
    <cellStyle name="Note 2 6 2 5 2" xfId="6504" xr:uid="{00000000-0005-0000-0000-0000CA3B0000}"/>
    <cellStyle name="Note 2 6 2 5 2 2" xfId="16560" xr:uid="{00000000-0005-0000-0000-0000CB3B0000}"/>
    <cellStyle name="Note 2 6 2 5 2 2 2" xfId="31392" xr:uid="{00000000-0005-0000-0000-0000CC3B0000}"/>
    <cellStyle name="Note 2 6 2 5 2 3" xfId="22874" xr:uid="{00000000-0005-0000-0000-0000CD3B0000}"/>
    <cellStyle name="Note 2 6 2 5 3" xfId="12731" xr:uid="{00000000-0005-0000-0000-0000CE3B0000}"/>
    <cellStyle name="Note 2 6 2 5 3 2" xfId="27563" xr:uid="{00000000-0005-0000-0000-0000CF3B0000}"/>
    <cellStyle name="Note 2 6 2 5 4" xfId="10210" xr:uid="{00000000-0005-0000-0000-0000D03B0000}"/>
    <cellStyle name="Note 2 6 2 5 4 2" xfId="25042" xr:uid="{00000000-0005-0000-0000-0000D13B0000}"/>
    <cellStyle name="Note 2 6 2 5 5" xfId="20516" xr:uid="{00000000-0005-0000-0000-0000D23B0000}"/>
    <cellStyle name="Note 2 6 2 6" xfId="5517" xr:uid="{00000000-0005-0000-0000-0000D33B0000}"/>
    <cellStyle name="Note 2 6 2 6 2" xfId="15752" xr:uid="{00000000-0005-0000-0000-0000D43B0000}"/>
    <cellStyle name="Note 2 6 2 6 2 2" xfId="30584" xr:uid="{00000000-0005-0000-0000-0000D53B0000}"/>
    <cellStyle name="Note 2 6 2 6 3" xfId="22245" xr:uid="{00000000-0005-0000-0000-0000D63B0000}"/>
    <cellStyle name="Note 2 6 2 7" xfId="11767" xr:uid="{00000000-0005-0000-0000-0000D73B0000}"/>
    <cellStyle name="Note 2 6 2 7 2" xfId="26599" xr:uid="{00000000-0005-0000-0000-0000D83B0000}"/>
    <cellStyle name="Note 2 6 2 8" xfId="9438" xr:uid="{00000000-0005-0000-0000-0000D93B0000}"/>
    <cellStyle name="Note 2 6 2 8 2" xfId="19742" xr:uid="{00000000-0005-0000-0000-0000DA3B0000}"/>
    <cellStyle name="Note 2 6 3" xfId="1510" xr:uid="{00000000-0005-0000-0000-0000DB3B0000}"/>
    <cellStyle name="Note 2 6 3 2" xfId="2007" xr:uid="{00000000-0005-0000-0000-0000DC3B0000}"/>
    <cellStyle name="Note 2 6 3 2 2" xfId="3890" xr:uid="{00000000-0005-0000-0000-0000DD3B0000}"/>
    <cellStyle name="Note 2 6 3 2 2 2" xfId="7941" xr:uid="{00000000-0005-0000-0000-0000DE3B0000}"/>
    <cellStyle name="Note 2 6 3 2 2 2 2" xfId="17414" xr:uid="{00000000-0005-0000-0000-0000DF3B0000}"/>
    <cellStyle name="Note 2 6 3 2 2 2 2 2" xfId="32246" xr:uid="{00000000-0005-0000-0000-0000E03B0000}"/>
    <cellStyle name="Note 2 6 3 2 2 2 3" xfId="23763" xr:uid="{00000000-0005-0000-0000-0000E13B0000}"/>
    <cellStyle name="Note 2 6 3 2 2 3" xfId="14224" xr:uid="{00000000-0005-0000-0000-0000E23B0000}"/>
    <cellStyle name="Note 2 6 3 2 2 3 2" xfId="29056" xr:uid="{00000000-0005-0000-0000-0000E33B0000}"/>
    <cellStyle name="Note 2 6 3 2 2 4" xfId="11031" xr:uid="{00000000-0005-0000-0000-0000E43B0000}"/>
    <cellStyle name="Note 2 6 3 2 2 4 2" xfId="25863" xr:uid="{00000000-0005-0000-0000-0000E53B0000}"/>
    <cellStyle name="Note 2 6 3 2 2 5" xfId="21405" xr:uid="{00000000-0005-0000-0000-0000E63B0000}"/>
    <cellStyle name="Note 2 6 3 2 3" xfId="4975" xr:uid="{00000000-0005-0000-0000-0000E73B0000}"/>
    <cellStyle name="Note 2 6 3 2 3 2" xfId="9014" xr:uid="{00000000-0005-0000-0000-0000E83B0000}"/>
    <cellStyle name="Note 2 6 3 2 3 2 2" xfId="17952" xr:uid="{00000000-0005-0000-0000-0000E93B0000}"/>
    <cellStyle name="Note 2 6 3 2 3 2 2 2" xfId="32784" xr:uid="{00000000-0005-0000-0000-0000EA3B0000}"/>
    <cellStyle name="Note 2 6 3 2 3 2 3" xfId="24480" xr:uid="{00000000-0005-0000-0000-0000EB3B0000}"/>
    <cellStyle name="Note 2 6 3 2 3 3" xfId="15297" xr:uid="{00000000-0005-0000-0000-0000EC3B0000}"/>
    <cellStyle name="Note 2 6 3 2 3 3 2" xfId="30129" xr:uid="{00000000-0005-0000-0000-0000ED3B0000}"/>
    <cellStyle name="Note 2 6 3 2 3 4" xfId="11553" xr:uid="{00000000-0005-0000-0000-0000EE3B0000}"/>
    <cellStyle name="Note 2 6 3 2 3 4 2" xfId="26385" xr:uid="{00000000-0005-0000-0000-0000EF3B0000}"/>
    <cellStyle name="Note 2 6 3 2 3 5" xfId="22006" xr:uid="{00000000-0005-0000-0000-0000F03B0000}"/>
    <cellStyle name="Note 2 6 3 2 4" xfId="2965" xr:uid="{00000000-0005-0000-0000-0000F13B0000}"/>
    <cellStyle name="Note 2 6 3 2 4 2" xfId="7045" xr:uid="{00000000-0005-0000-0000-0000F23B0000}"/>
    <cellStyle name="Note 2 6 3 2 4 2 2" xfId="16844" xr:uid="{00000000-0005-0000-0000-0000F33B0000}"/>
    <cellStyle name="Note 2 6 3 2 4 2 2 2" xfId="31676" xr:uid="{00000000-0005-0000-0000-0000F43B0000}"/>
    <cellStyle name="Note 2 6 3 2 4 2 3" xfId="23219" xr:uid="{00000000-0005-0000-0000-0000F53B0000}"/>
    <cellStyle name="Note 2 6 3 2 4 3" xfId="13303" xr:uid="{00000000-0005-0000-0000-0000F63B0000}"/>
    <cellStyle name="Note 2 6 3 2 4 3 2" xfId="28135" xr:uid="{00000000-0005-0000-0000-0000F73B0000}"/>
    <cellStyle name="Note 2 6 3 2 4 4" xfId="10499" xr:uid="{00000000-0005-0000-0000-0000F83B0000}"/>
    <cellStyle name="Note 2 6 3 2 4 4 2" xfId="25331" xr:uid="{00000000-0005-0000-0000-0000F93B0000}"/>
    <cellStyle name="Note 2 6 3 2 4 5" xfId="20891" xr:uid="{00000000-0005-0000-0000-0000FA3B0000}"/>
    <cellStyle name="Note 2 6 3 2 5" xfId="6137" xr:uid="{00000000-0005-0000-0000-0000FB3B0000}"/>
    <cellStyle name="Note 2 6 3 2 5 2" xfId="16324" xr:uid="{00000000-0005-0000-0000-0000FC3B0000}"/>
    <cellStyle name="Note 2 6 3 2 5 2 2" xfId="31156" xr:uid="{00000000-0005-0000-0000-0000FD3B0000}"/>
    <cellStyle name="Note 2 6 3 2 5 3" xfId="22670" xr:uid="{00000000-0005-0000-0000-0000FE3B0000}"/>
    <cellStyle name="Note 2 6 3 2 6" xfId="12394" xr:uid="{00000000-0005-0000-0000-0000FF3B0000}"/>
    <cellStyle name="Note 2 6 3 2 6 2" xfId="27226" xr:uid="{00000000-0005-0000-0000-0000003C0000}"/>
    <cellStyle name="Note 2 6 3 2 7" xfId="9976" xr:uid="{00000000-0005-0000-0000-0000013C0000}"/>
    <cellStyle name="Note 2 6 3 2 7 2" xfId="24808" xr:uid="{00000000-0005-0000-0000-0000023C0000}"/>
    <cellStyle name="Note 2 6 3 2 8" xfId="20349" xr:uid="{00000000-0005-0000-0000-0000033C0000}"/>
    <cellStyle name="Note 2 6 3 3" xfId="3269" xr:uid="{00000000-0005-0000-0000-0000043C0000}"/>
    <cellStyle name="Note 2 6 3 3 2" xfId="7333" xr:uid="{00000000-0005-0000-0000-0000053C0000}"/>
    <cellStyle name="Note 2 6 3 3 2 2" xfId="17077" xr:uid="{00000000-0005-0000-0000-0000063C0000}"/>
    <cellStyle name="Note 2 6 3 3 2 2 2" xfId="31909" xr:uid="{00000000-0005-0000-0000-0000073C0000}"/>
    <cellStyle name="Note 2 6 3 3 2 3" xfId="23366" xr:uid="{00000000-0005-0000-0000-0000083C0000}"/>
    <cellStyle name="Note 2 6 3 3 3" xfId="13606" xr:uid="{00000000-0005-0000-0000-0000093C0000}"/>
    <cellStyle name="Note 2 6 3 3 3 2" xfId="28438" xr:uid="{00000000-0005-0000-0000-00000A3C0000}"/>
    <cellStyle name="Note 2 6 3 3 4" xfId="10705" xr:uid="{00000000-0005-0000-0000-00000B3C0000}"/>
    <cellStyle name="Note 2 6 3 3 4 2" xfId="25537" xr:uid="{00000000-0005-0000-0000-00000C3C0000}"/>
    <cellStyle name="Note 2 6 3 3 5" xfId="21053" xr:uid="{00000000-0005-0000-0000-00000D3C0000}"/>
    <cellStyle name="Note 2 6 3 4" xfId="4555" xr:uid="{00000000-0005-0000-0000-00000E3C0000}"/>
    <cellStyle name="Note 2 6 3 4 2" xfId="8594" xr:uid="{00000000-0005-0000-0000-00000F3C0000}"/>
    <cellStyle name="Note 2 6 3 4 2 2" xfId="17712" xr:uid="{00000000-0005-0000-0000-0000103C0000}"/>
    <cellStyle name="Note 2 6 3 4 2 2 2" xfId="32544" xr:uid="{00000000-0005-0000-0000-0000113C0000}"/>
    <cellStyle name="Note 2 6 3 4 2 3" xfId="24220" xr:uid="{00000000-0005-0000-0000-0000123C0000}"/>
    <cellStyle name="Note 2 6 3 4 3" xfId="14882" xr:uid="{00000000-0005-0000-0000-0000133C0000}"/>
    <cellStyle name="Note 2 6 3 4 3 2" xfId="29714" xr:uid="{00000000-0005-0000-0000-0000143C0000}"/>
    <cellStyle name="Note 2 6 3 4 4" xfId="11318" xr:uid="{00000000-0005-0000-0000-0000153C0000}"/>
    <cellStyle name="Note 2 6 3 4 4 2" xfId="26150" xr:uid="{00000000-0005-0000-0000-0000163C0000}"/>
    <cellStyle name="Note 2 6 3 4 5" xfId="21776" xr:uid="{00000000-0005-0000-0000-0000173C0000}"/>
    <cellStyle name="Note 2 6 3 5" xfId="2545" xr:uid="{00000000-0005-0000-0000-0000183C0000}"/>
    <cellStyle name="Note 2 6 3 5 2" xfId="6651" xr:uid="{00000000-0005-0000-0000-0000193C0000}"/>
    <cellStyle name="Note 2 6 3 5 2 2" xfId="16609" xr:uid="{00000000-0005-0000-0000-00001A3C0000}"/>
    <cellStyle name="Note 2 6 3 5 2 2 2" xfId="31441" xr:uid="{00000000-0005-0000-0000-00001B3C0000}"/>
    <cellStyle name="Note 2 6 3 5 2 3" xfId="22989" xr:uid="{00000000-0005-0000-0000-00001C3C0000}"/>
    <cellStyle name="Note 2 6 3 5 3" xfId="12883" xr:uid="{00000000-0005-0000-0000-00001D3C0000}"/>
    <cellStyle name="Note 2 6 3 5 3 2" xfId="27715" xr:uid="{00000000-0005-0000-0000-00001E3C0000}"/>
    <cellStyle name="Note 2 6 3 5 4" xfId="10259" xr:uid="{00000000-0005-0000-0000-00001F3C0000}"/>
    <cellStyle name="Note 2 6 3 5 4 2" xfId="25091" xr:uid="{00000000-0005-0000-0000-0000203C0000}"/>
    <cellStyle name="Note 2 6 3 5 5" xfId="20631" xr:uid="{00000000-0005-0000-0000-0000213C0000}"/>
    <cellStyle name="Note 2 6 3 6" xfId="5668" xr:uid="{00000000-0005-0000-0000-0000223C0000}"/>
    <cellStyle name="Note 2 6 3 6 2" xfId="15903" xr:uid="{00000000-0005-0000-0000-0000233C0000}"/>
    <cellStyle name="Note 2 6 3 6 2 2" xfId="30735" xr:uid="{00000000-0005-0000-0000-0000243C0000}"/>
    <cellStyle name="Note 2 6 3 6 3" xfId="22364" xr:uid="{00000000-0005-0000-0000-0000253C0000}"/>
    <cellStyle name="Note 2 6 3 7" xfId="11923" xr:uid="{00000000-0005-0000-0000-0000263C0000}"/>
    <cellStyle name="Note 2 6 3 7 2" xfId="26755" xr:uid="{00000000-0005-0000-0000-0000273C0000}"/>
    <cellStyle name="Note 2 6 3 8" xfId="9581" xr:uid="{00000000-0005-0000-0000-0000283C0000}"/>
    <cellStyle name="Note 2 6 3 8 2" xfId="19883" xr:uid="{00000000-0005-0000-0000-0000293C0000}"/>
    <cellStyle name="Note 2 6 4" xfId="1565" xr:uid="{00000000-0005-0000-0000-00002A3C0000}"/>
    <cellStyle name="Note 2 6 4 2" xfId="2062" xr:uid="{00000000-0005-0000-0000-00002B3C0000}"/>
    <cellStyle name="Note 2 6 4 2 2" xfId="3403" xr:uid="{00000000-0005-0000-0000-00002C3C0000}"/>
    <cellStyle name="Note 2 6 4 2 2 2" xfId="7466" xr:uid="{00000000-0005-0000-0000-00002D3C0000}"/>
    <cellStyle name="Note 2 6 4 2 2 2 2" xfId="17165" xr:uid="{00000000-0005-0000-0000-00002E3C0000}"/>
    <cellStyle name="Note 2 6 4 2 2 2 2 2" xfId="31997" xr:uid="{00000000-0005-0000-0000-00002F3C0000}"/>
    <cellStyle name="Note 2 6 4 2 2 2 3" xfId="23454" xr:uid="{00000000-0005-0000-0000-0000303C0000}"/>
    <cellStyle name="Note 2 6 4 2 2 3" xfId="13740" xr:uid="{00000000-0005-0000-0000-0000313C0000}"/>
    <cellStyle name="Note 2 6 4 2 2 3 2" xfId="28572" xr:uid="{00000000-0005-0000-0000-0000323C0000}"/>
    <cellStyle name="Note 2 6 4 2 2 4" xfId="10784" xr:uid="{00000000-0005-0000-0000-0000333C0000}"/>
    <cellStyle name="Note 2 6 4 2 2 4 2" xfId="25616" xr:uid="{00000000-0005-0000-0000-0000343C0000}"/>
    <cellStyle name="Note 2 6 4 2 2 5" xfId="21132" xr:uid="{00000000-0005-0000-0000-0000353C0000}"/>
    <cellStyle name="Note 2 6 4 2 3" xfId="5030" xr:uid="{00000000-0005-0000-0000-0000363C0000}"/>
    <cellStyle name="Note 2 6 4 2 3 2" xfId="9069" xr:uid="{00000000-0005-0000-0000-0000373C0000}"/>
    <cellStyle name="Note 2 6 4 2 3 2 2" xfId="18002" xr:uid="{00000000-0005-0000-0000-0000383C0000}"/>
    <cellStyle name="Note 2 6 4 2 3 2 2 2" xfId="32834" xr:uid="{00000000-0005-0000-0000-0000393C0000}"/>
    <cellStyle name="Note 2 6 4 2 3 2 3" xfId="24503" xr:uid="{00000000-0005-0000-0000-00003A3C0000}"/>
    <cellStyle name="Note 2 6 4 2 3 3" xfId="15351" xr:uid="{00000000-0005-0000-0000-00003B3C0000}"/>
    <cellStyle name="Note 2 6 4 2 3 3 2" xfId="30183" xr:uid="{00000000-0005-0000-0000-00003C3C0000}"/>
    <cellStyle name="Note 2 6 4 2 3 4" xfId="11602" xr:uid="{00000000-0005-0000-0000-00003D3C0000}"/>
    <cellStyle name="Note 2 6 4 2 3 4 2" xfId="26434" xr:uid="{00000000-0005-0000-0000-00003E3C0000}"/>
    <cellStyle name="Note 2 6 4 2 3 5" xfId="22023" xr:uid="{00000000-0005-0000-0000-00003F3C0000}"/>
    <cellStyle name="Note 2 6 4 2 4" xfId="3020" xr:uid="{00000000-0005-0000-0000-0000403C0000}"/>
    <cellStyle name="Note 2 6 4 2 4 2" xfId="7095" xr:uid="{00000000-0005-0000-0000-0000413C0000}"/>
    <cellStyle name="Note 2 6 4 2 4 2 2" xfId="16893" xr:uid="{00000000-0005-0000-0000-0000423C0000}"/>
    <cellStyle name="Note 2 6 4 2 4 2 2 2" xfId="31725" xr:uid="{00000000-0005-0000-0000-0000433C0000}"/>
    <cellStyle name="Note 2 6 4 2 4 2 3" xfId="23236" xr:uid="{00000000-0005-0000-0000-0000443C0000}"/>
    <cellStyle name="Note 2 6 4 2 4 3" xfId="13358" xr:uid="{00000000-0005-0000-0000-0000453C0000}"/>
    <cellStyle name="Note 2 6 4 2 4 3 2" xfId="28190" xr:uid="{00000000-0005-0000-0000-0000463C0000}"/>
    <cellStyle name="Note 2 6 4 2 4 4" xfId="10549" xr:uid="{00000000-0005-0000-0000-0000473C0000}"/>
    <cellStyle name="Note 2 6 4 2 4 4 2" xfId="25381" xr:uid="{00000000-0005-0000-0000-0000483C0000}"/>
    <cellStyle name="Note 2 6 4 2 4 5" xfId="20914" xr:uid="{00000000-0005-0000-0000-0000493C0000}"/>
    <cellStyle name="Note 2 6 4 2 5" xfId="6187" xr:uid="{00000000-0005-0000-0000-00004A3C0000}"/>
    <cellStyle name="Note 2 6 4 2 5 2" xfId="16373" xr:uid="{00000000-0005-0000-0000-00004B3C0000}"/>
    <cellStyle name="Note 2 6 4 2 5 2 2" xfId="31205" xr:uid="{00000000-0005-0000-0000-00004C3C0000}"/>
    <cellStyle name="Note 2 6 4 2 5 3" xfId="22687" xr:uid="{00000000-0005-0000-0000-00004D3C0000}"/>
    <cellStyle name="Note 2 6 4 2 6" xfId="12443" xr:uid="{00000000-0005-0000-0000-00004E3C0000}"/>
    <cellStyle name="Note 2 6 4 2 6 2" xfId="27275" xr:uid="{00000000-0005-0000-0000-00004F3C0000}"/>
    <cellStyle name="Note 2 6 4 2 7" xfId="10025" xr:uid="{00000000-0005-0000-0000-0000503C0000}"/>
    <cellStyle name="Note 2 6 4 2 7 2" xfId="24857" xr:uid="{00000000-0005-0000-0000-0000513C0000}"/>
    <cellStyle name="Note 2 6 4 2 8" xfId="20366" xr:uid="{00000000-0005-0000-0000-0000523C0000}"/>
    <cellStyle name="Note 2 6 4 3" xfId="3168" xr:uid="{00000000-0005-0000-0000-0000533C0000}"/>
    <cellStyle name="Note 2 6 4 3 2" xfId="7232" xr:uid="{00000000-0005-0000-0000-0000543C0000}"/>
    <cellStyle name="Note 2 6 4 3 2 2" xfId="17008" xr:uid="{00000000-0005-0000-0000-0000553C0000}"/>
    <cellStyle name="Note 2 6 4 3 2 2 2" xfId="31840" xr:uid="{00000000-0005-0000-0000-0000563C0000}"/>
    <cellStyle name="Note 2 6 4 3 2 3" xfId="23293" xr:uid="{00000000-0005-0000-0000-0000573C0000}"/>
    <cellStyle name="Note 2 6 4 3 3" xfId="13506" xr:uid="{00000000-0005-0000-0000-0000583C0000}"/>
    <cellStyle name="Note 2 6 4 3 3 2" xfId="28338" xr:uid="{00000000-0005-0000-0000-0000593C0000}"/>
    <cellStyle name="Note 2 6 4 3 4" xfId="10659" xr:uid="{00000000-0005-0000-0000-00005A3C0000}"/>
    <cellStyle name="Note 2 6 4 3 4 2" xfId="25491" xr:uid="{00000000-0005-0000-0000-00005B3C0000}"/>
    <cellStyle name="Note 2 6 4 3 5" xfId="20984" xr:uid="{00000000-0005-0000-0000-00005C3C0000}"/>
    <cellStyle name="Note 2 6 4 4" xfId="4610" xr:uid="{00000000-0005-0000-0000-00005D3C0000}"/>
    <cellStyle name="Note 2 6 4 4 2" xfId="8649" xr:uid="{00000000-0005-0000-0000-00005E3C0000}"/>
    <cellStyle name="Note 2 6 4 4 2 2" xfId="17762" xr:uid="{00000000-0005-0000-0000-00005F3C0000}"/>
    <cellStyle name="Note 2 6 4 4 2 2 2" xfId="32594" xr:uid="{00000000-0005-0000-0000-0000603C0000}"/>
    <cellStyle name="Note 2 6 4 4 2 3" xfId="24243" xr:uid="{00000000-0005-0000-0000-0000613C0000}"/>
    <cellStyle name="Note 2 6 4 4 3" xfId="14936" xr:uid="{00000000-0005-0000-0000-0000623C0000}"/>
    <cellStyle name="Note 2 6 4 4 3 2" xfId="29768" xr:uid="{00000000-0005-0000-0000-0000633C0000}"/>
    <cellStyle name="Note 2 6 4 4 4" xfId="11367" xr:uid="{00000000-0005-0000-0000-0000643C0000}"/>
    <cellStyle name="Note 2 6 4 4 4 2" xfId="26199" xr:uid="{00000000-0005-0000-0000-0000653C0000}"/>
    <cellStyle name="Note 2 6 4 4 5" xfId="21793" xr:uid="{00000000-0005-0000-0000-0000663C0000}"/>
    <cellStyle name="Note 2 6 4 5" xfId="2600" xr:uid="{00000000-0005-0000-0000-0000673C0000}"/>
    <cellStyle name="Note 2 6 4 5 2" xfId="6701" xr:uid="{00000000-0005-0000-0000-0000683C0000}"/>
    <cellStyle name="Note 2 6 4 5 2 2" xfId="16658" xr:uid="{00000000-0005-0000-0000-0000693C0000}"/>
    <cellStyle name="Note 2 6 4 5 2 2 2" xfId="31490" xr:uid="{00000000-0005-0000-0000-00006A3C0000}"/>
    <cellStyle name="Note 2 6 4 5 2 3" xfId="23006" xr:uid="{00000000-0005-0000-0000-00006B3C0000}"/>
    <cellStyle name="Note 2 6 4 5 3" xfId="12938" xr:uid="{00000000-0005-0000-0000-00006C3C0000}"/>
    <cellStyle name="Note 2 6 4 5 3 2" xfId="27770" xr:uid="{00000000-0005-0000-0000-00006D3C0000}"/>
    <cellStyle name="Note 2 6 4 5 4" xfId="10309" xr:uid="{00000000-0005-0000-0000-00006E3C0000}"/>
    <cellStyle name="Note 2 6 4 5 4 2" xfId="25141" xr:uid="{00000000-0005-0000-0000-00006F3C0000}"/>
    <cellStyle name="Note 2 6 4 5 5" xfId="20654" xr:uid="{00000000-0005-0000-0000-0000703C0000}"/>
    <cellStyle name="Note 2 6 4 6" xfId="5717" xr:uid="{00000000-0005-0000-0000-0000713C0000}"/>
    <cellStyle name="Note 2 6 4 6 2" xfId="15952" xr:uid="{00000000-0005-0000-0000-0000723C0000}"/>
    <cellStyle name="Note 2 6 4 6 2 2" xfId="30784" xr:uid="{00000000-0005-0000-0000-0000733C0000}"/>
    <cellStyle name="Note 2 6 4 6 3" xfId="22381" xr:uid="{00000000-0005-0000-0000-0000743C0000}"/>
    <cellStyle name="Note 2 6 4 7" xfId="11972" xr:uid="{00000000-0005-0000-0000-0000753C0000}"/>
    <cellStyle name="Note 2 6 4 7 2" xfId="26804" xr:uid="{00000000-0005-0000-0000-0000763C0000}"/>
    <cellStyle name="Note 2 6 4 8" xfId="9631" xr:uid="{00000000-0005-0000-0000-0000773C0000}"/>
    <cellStyle name="Note 2 6 4 8 2" xfId="19932" xr:uid="{00000000-0005-0000-0000-0000783C0000}"/>
    <cellStyle name="Note 2 6 5" xfId="1615" xr:uid="{00000000-0005-0000-0000-0000793C0000}"/>
    <cellStyle name="Note 2 6 5 2" xfId="2112" xr:uid="{00000000-0005-0000-0000-00007A3C0000}"/>
    <cellStyle name="Note 2 6 5 2 2" xfId="3413" xr:uid="{00000000-0005-0000-0000-00007B3C0000}"/>
    <cellStyle name="Note 2 6 5 2 2 2" xfId="7476" xr:uid="{00000000-0005-0000-0000-00007C3C0000}"/>
    <cellStyle name="Note 2 6 5 2 2 2 2" xfId="17175" xr:uid="{00000000-0005-0000-0000-00007D3C0000}"/>
    <cellStyle name="Note 2 6 5 2 2 2 2 2" xfId="32007" xr:uid="{00000000-0005-0000-0000-00007E3C0000}"/>
    <cellStyle name="Note 2 6 5 2 2 2 3" xfId="23462" xr:uid="{00000000-0005-0000-0000-00007F3C0000}"/>
    <cellStyle name="Note 2 6 5 2 2 3" xfId="13750" xr:uid="{00000000-0005-0000-0000-0000803C0000}"/>
    <cellStyle name="Note 2 6 5 2 2 3 2" xfId="28582" xr:uid="{00000000-0005-0000-0000-0000813C0000}"/>
    <cellStyle name="Note 2 6 5 2 2 4" xfId="10794" xr:uid="{00000000-0005-0000-0000-0000823C0000}"/>
    <cellStyle name="Note 2 6 5 2 2 4 2" xfId="25626" xr:uid="{00000000-0005-0000-0000-0000833C0000}"/>
    <cellStyle name="Note 2 6 5 2 2 5" xfId="21140" xr:uid="{00000000-0005-0000-0000-0000843C0000}"/>
    <cellStyle name="Note 2 6 5 2 3" xfId="5080" xr:uid="{00000000-0005-0000-0000-0000853C0000}"/>
    <cellStyle name="Note 2 6 5 2 3 2" xfId="9119" xr:uid="{00000000-0005-0000-0000-0000863C0000}"/>
    <cellStyle name="Note 2 6 5 2 3 2 2" xfId="18047" xr:uid="{00000000-0005-0000-0000-0000873C0000}"/>
    <cellStyle name="Note 2 6 5 2 3 2 2 2" xfId="32879" xr:uid="{00000000-0005-0000-0000-0000883C0000}"/>
    <cellStyle name="Note 2 6 5 2 3 2 3" xfId="24521" xr:uid="{00000000-0005-0000-0000-0000893C0000}"/>
    <cellStyle name="Note 2 6 5 2 3 3" xfId="15400" xr:uid="{00000000-0005-0000-0000-00008A3C0000}"/>
    <cellStyle name="Note 2 6 5 2 3 3 2" xfId="30232" xr:uid="{00000000-0005-0000-0000-00008B3C0000}"/>
    <cellStyle name="Note 2 6 5 2 3 4" xfId="11646" xr:uid="{00000000-0005-0000-0000-00008C3C0000}"/>
    <cellStyle name="Note 2 6 5 2 3 4 2" xfId="26478" xr:uid="{00000000-0005-0000-0000-00008D3C0000}"/>
    <cellStyle name="Note 2 6 5 2 3 5" xfId="22035" xr:uid="{00000000-0005-0000-0000-00008E3C0000}"/>
    <cellStyle name="Note 2 6 5 2 4" xfId="3070" xr:uid="{00000000-0005-0000-0000-00008F3C0000}"/>
    <cellStyle name="Note 2 6 5 2 4 2" xfId="7140" xr:uid="{00000000-0005-0000-0000-0000903C0000}"/>
    <cellStyle name="Note 2 6 5 2 4 2 2" xfId="16937" xr:uid="{00000000-0005-0000-0000-0000913C0000}"/>
    <cellStyle name="Note 2 6 5 2 4 2 2 2" xfId="31769" xr:uid="{00000000-0005-0000-0000-0000923C0000}"/>
    <cellStyle name="Note 2 6 5 2 4 2 3" xfId="23248" xr:uid="{00000000-0005-0000-0000-0000933C0000}"/>
    <cellStyle name="Note 2 6 5 2 4 3" xfId="13408" xr:uid="{00000000-0005-0000-0000-0000943C0000}"/>
    <cellStyle name="Note 2 6 5 2 4 3 2" xfId="28240" xr:uid="{00000000-0005-0000-0000-0000953C0000}"/>
    <cellStyle name="Note 2 6 5 2 4 4" xfId="10594" xr:uid="{00000000-0005-0000-0000-0000963C0000}"/>
    <cellStyle name="Note 2 6 5 2 4 4 2" xfId="25426" xr:uid="{00000000-0005-0000-0000-0000973C0000}"/>
    <cellStyle name="Note 2 6 5 2 4 5" xfId="20932" xr:uid="{00000000-0005-0000-0000-0000983C0000}"/>
    <cellStyle name="Note 2 6 5 2 5" xfId="6232" xr:uid="{00000000-0005-0000-0000-0000993C0000}"/>
    <cellStyle name="Note 2 6 5 2 5 2" xfId="16417" xr:uid="{00000000-0005-0000-0000-00009A3C0000}"/>
    <cellStyle name="Note 2 6 5 2 5 2 2" xfId="31249" xr:uid="{00000000-0005-0000-0000-00009B3C0000}"/>
    <cellStyle name="Note 2 6 5 2 5 3" xfId="22699" xr:uid="{00000000-0005-0000-0000-00009C3C0000}"/>
    <cellStyle name="Note 2 6 5 2 6" xfId="12487" xr:uid="{00000000-0005-0000-0000-00009D3C0000}"/>
    <cellStyle name="Note 2 6 5 2 6 2" xfId="27319" xr:uid="{00000000-0005-0000-0000-00009E3C0000}"/>
    <cellStyle name="Note 2 6 5 2 7" xfId="10069" xr:uid="{00000000-0005-0000-0000-00009F3C0000}"/>
    <cellStyle name="Note 2 6 5 2 7 2" xfId="24901" xr:uid="{00000000-0005-0000-0000-0000A03C0000}"/>
    <cellStyle name="Note 2 6 5 2 8" xfId="20378" xr:uid="{00000000-0005-0000-0000-0000A13C0000}"/>
    <cellStyle name="Note 2 6 5 3" xfId="3971" xr:uid="{00000000-0005-0000-0000-0000A23C0000}"/>
    <cellStyle name="Note 2 6 5 3 2" xfId="8020" xr:uid="{00000000-0005-0000-0000-0000A33C0000}"/>
    <cellStyle name="Note 2 6 5 3 2 2" xfId="17453" xr:uid="{00000000-0005-0000-0000-0000A43C0000}"/>
    <cellStyle name="Note 2 6 5 3 2 2 2" xfId="32285" xr:uid="{00000000-0005-0000-0000-0000A53C0000}"/>
    <cellStyle name="Note 2 6 5 3 2 3" xfId="23813" xr:uid="{00000000-0005-0000-0000-0000A63C0000}"/>
    <cellStyle name="Note 2 6 5 3 3" xfId="14304" xr:uid="{00000000-0005-0000-0000-0000A73C0000}"/>
    <cellStyle name="Note 2 6 5 3 3 2" xfId="29136" xr:uid="{00000000-0005-0000-0000-0000A83C0000}"/>
    <cellStyle name="Note 2 6 5 3 4" xfId="11069" xr:uid="{00000000-0005-0000-0000-0000A93C0000}"/>
    <cellStyle name="Note 2 6 5 3 4 2" xfId="25901" xr:uid="{00000000-0005-0000-0000-0000AA3C0000}"/>
    <cellStyle name="Note 2 6 5 3 5" xfId="21451" xr:uid="{00000000-0005-0000-0000-0000AB3C0000}"/>
    <cellStyle name="Note 2 6 5 4" xfId="4660" xr:uid="{00000000-0005-0000-0000-0000AC3C0000}"/>
    <cellStyle name="Note 2 6 5 4 2" xfId="8699" xr:uid="{00000000-0005-0000-0000-0000AD3C0000}"/>
    <cellStyle name="Note 2 6 5 4 2 2" xfId="17807" xr:uid="{00000000-0005-0000-0000-0000AE3C0000}"/>
    <cellStyle name="Note 2 6 5 4 2 2 2" xfId="32639" xr:uid="{00000000-0005-0000-0000-0000AF3C0000}"/>
    <cellStyle name="Note 2 6 5 4 2 3" xfId="24261" xr:uid="{00000000-0005-0000-0000-0000B03C0000}"/>
    <cellStyle name="Note 2 6 5 4 3" xfId="14985" xr:uid="{00000000-0005-0000-0000-0000B13C0000}"/>
    <cellStyle name="Note 2 6 5 4 3 2" xfId="29817" xr:uid="{00000000-0005-0000-0000-0000B23C0000}"/>
    <cellStyle name="Note 2 6 5 4 4" xfId="11411" xr:uid="{00000000-0005-0000-0000-0000B33C0000}"/>
    <cellStyle name="Note 2 6 5 4 4 2" xfId="26243" xr:uid="{00000000-0005-0000-0000-0000B43C0000}"/>
    <cellStyle name="Note 2 6 5 4 5" xfId="21805" xr:uid="{00000000-0005-0000-0000-0000B53C0000}"/>
    <cellStyle name="Note 2 6 5 5" xfId="2650" xr:uid="{00000000-0005-0000-0000-0000B63C0000}"/>
    <cellStyle name="Note 2 6 5 5 2" xfId="6746" xr:uid="{00000000-0005-0000-0000-0000B73C0000}"/>
    <cellStyle name="Note 2 6 5 5 2 2" xfId="16702" xr:uid="{00000000-0005-0000-0000-0000B83C0000}"/>
    <cellStyle name="Note 2 6 5 5 2 2 2" xfId="31534" xr:uid="{00000000-0005-0000-0000-0000B93C0000}"/>
    <cellStyle name="Note 2 6 5 5 2 3" xfId="23018" xr:uid="{00000000-0005-0000-0000-0000BA3C0000}"/>
    <cellStyle name="Note 2 6 5 5 3" xfId="12988" xr:uid="{00000000-0005-0000-0000-0000BB3C0000}"/>
    <cellStyle name="Note 2 6 5 5 3 2" xfId="27820" xr:uid="{00000000-0005-0000-0000-0000BC3C0000}"/>
    <cellStyle name="Note 2 6 5 5 4" xfId="10354" xr:uid="{00000000-0005-0000-0000-0000BD3C0000}"/>
    <cellStyle name="Note 2 6 5 5 4 2" xfId="25186" xr:uid="{00000000-0005-0000-0000-0000BE3C0000}"/>
    <cellStyle name="Note 2 6 5 5 5" xfId="20672" xr:uid="{00000000-0005-0000-0000-0000BF3C0000}"/>
    <cellStyle name="Note 2 6 5 6" xfId="5762" xr:uid="{00000000-0005-0000-0000-0000C03C0000}"/>
    <cellStyle name="Note 2 6 5 6 2" xfId="15996" xr:uid="{00000000-0005-0000-0000-0000C13C0000}"/>
    <cellStyle name="Note 2 6 5 6 2 2" xfId="30828" xr:uid="{00000000-0005-0000-0000-0000C23C0000}"/>
    <cellStyle name="Note 2 6 5 6 3" xfId="22393" xr:uid="{00000000-0005-0000-0000-0000C33C0000}"/>
    <cellStyle name="Note 2 6 5 7" xfId="12016" xr:uid="{00000000-0005-0000-0000-0000C43C0000}"/>
    <cellStyle name="Note 2 6 5 7 2" xfId="26848" xr:uid="{00000000-0005-0000-0000-0000C53C0000}"/>
    <cellStyle name="Note 2 6 5 8" xfId="9676" xr:uid="{00000000-0005-0000-0000-0000C63C0000}"/>
    <cellStyle name="Note 2 6 5 8 2" xfId="19976" xr:uid="{00000000-0005-0000-0000-0000C73C0000}"/>
    <cellStyle name="Note 2 6 6" xfId="1766" xr:uid="{00000000-0005-0000-0000-0000C83C0000}"/>
    <cellStyle name="Note 2 6 6 2" xfId="4125" xr:uid="{00000000-0005-0000-0000-0000C93C0000}"/>
    <cellStyle name="Note 2 6 6 2 2" xfId="8169" xr:uid="{00000000-0005-0000-0000-0000CA3C0000}"/>
    <cellStyle name="Note 2 6 6 2 2 2" xfId="17531" xr:uid="{00000000-0005-0000-0000-0000CB3C0000}"/>
    <cellStyle name="Note 2 6 6 2 2 2 2" xfId="32363" xr:uid="{00000000-0005-0000-0000-0000CC3C0000}"/>
    <cellStyle name="Note 2 6 6 2 2 3" xfId="23904" xr:uid="{00000000-0005-0000-0000-0000CD3C0000}"/>
    <cellStyle name="Note 2 6 6 2 3" xfId="14457" xr:uid="{00000000-0005-0000-0000-0000CE3C0000}"/>
    <cellStyle name="Note 2 6 6 2 3 2" xfId="29289" xr:uid="{00000000-0005-0000-0000-0000CF3C0000}"/>
    <cellStyle name="Note 2 6 6 2 4" xfId="11149" xr:uid="{00000000-0005-0000-0000-0000D03C0000}"/>
    <cellStyle name="Note 2 6 6 2 4 2" xfId="25981" xr:uid="{00000000-0005-0000-0000-0000D13C0000}"/>
    <cellStyle name="Note 2 6 6 2 5" xfId="21531" xr:uid="{00000000-0005-0000-0000-0000D23C0000}"/>
    <cellStyle name="Note 2 6 6 3" xfId="4744" xr:uid="{00000000-0005-0000-0000-0000D33C0000}"/>
    <cellStyle name="Note 2 6 6 3 2" xfId="8783" xr:uid="{00000000-0005-0000-0000-0000D43C0000}"/>
    <cellStyle name="Note 2 6 6 3 2 2" xfId="17855" xr:uid="{00000000-0005-0000-0000-0000D53C0000}"/>
    <cellStyle name="Note 2 6 6 3 2 2 2" xfId="32687" xr:uid="{00000000-0005-0000-0000-0000D63C0000}"/>
    <cellStyle name="Note 2 6 6 3 2 3" xfId="24313" xr:uid="{00000000-0005-0000-0000-0000D73C0000}"/>
    <cellStyle name="Note 2 6 6 3 3" xfId="15068" xr:uid="{00000000-0005-0000-0000-0000D83C0000}"/>
    <cellStyle name="Note 2 6 6 3 3 2" xfId="29900" xr:uid="{00000000-0005-0000-0000-0000D93C0000}"/>
    <cellStyle name="Note 2 6 6 3 4" xfId="11458" xr:uid="{00000000-0005-0000-0000-0000DA3C0000}"/>
    <cellStyle name="Note 2 6 6 3 4 2" xfId="26290" xr:uid="{00000000-0005-0000-0000-0000DB3C0000}"/>
    <cellStyle name="Note 2 6 6 3 5" xfId="21851" xr:uid="{00000000-0005-0000-0000-0000DC3C0000}"/>
    <cellStyle name="Note 2 6 6 4" xfId="2734" xr:uid="{00000000-0005-0000-0000-0000DD3C0000}"/>
    <cellStyle name="Note 2 6 6 4 2" xfId="6825" xr:uid="{00000000-0005-0000-0000-0000DE3C0000}"/>
    <cellStyle name="Note 2 6 6 4 2 2" xfId="16749" xr:uid="{00000000-0005-0000-0000-0000DF3C0000}"/>
    <cellStyle name="Note 2 6 6 4 2 2 2" xfId="31581" xr:uid="{00000000-0005-0000-0000-0000E03C0000}"/>
    <cellStyle name="Note 2 6 6 4 2 3" xfId="23064" xr:uid="{00000000-0005-0000-0000-0000E13C0000}"/>
    <cellStyle name="Note 2 6 6 4 3" xfId="13072" xr:uid="{00000000-0005-0000-0000-0000E23C0000}"/>
    <cellStyle name="Note 2 6 6 4 3 2" xfId="27904" xr:uid="{00000000-0005-0000-0000-0000E33C0000}"/>
    <cellStyle name="Note 2 6 6 4 4" xfId="10402" xr:uid="{00000000-0005-0000-0000-0000E43C0000}"/>
    <cellStyle name="Note 2 6 6 4 4 2" xfId="25234" xr:uid="{00000000-0005-0000-0000-0000E53C0000}"/>
    <cellStyle name="Note 2 6 6 4 5" xfId="20724" xr:uid="{00000000-0005-0000-0000-0000E63C0000}"/>
    <cellStyle name="Note 2 6 6 5" xfId="5898" xr:uid="{00000000-0005-0000-0000-0000E73C0000}"/>
    <cellStyle name="Note 2 6 6 5 2" xfId="16090" xr:uid="{00000000-0005-0000-0000-0000E83C0000}"/>
    <cellStyle name="Note 2 6 6 5 2 2" xfId="30922" xr:uid="{00000000-0005-0000-0000-0000E93C0000}"/>
    <cellStyle name="Note 2 6 6 5 3" xfId="22495" xr:uid="{00000000-0005-0000-0000-0000EA3C0000}"/>
    <cellStyle name="Note 2 6 6 6" xfId="12160" xr:uid="{00000000-0005-0000-0000-0000EB3C0000}"/>
    <cellStyle name="Note 2 6 6 6 2" xfId="26992" xr:uid="{00000000-0005-0000-0000-0000EC3C0000}"/>
    <cellStyle name="Note 2 6 6 7" xfId="9756" xr:uid="{00000000-0005-0000-0000-0000ED3C0000}"/>
    <cellStyle name="Note 2 6 6 7 2" xfId="24713" xr:uid="{00000000-0005-0000-0000-0000EE3C0000}"/>
    <cellStyle name="Note 2 6 6 8" xfId="20303" xr:uid="{00000000-0005-0000-0000-0000EF3C0000}"/>
    <cellStyle name="Note 2 6 7" xfId="2200" xr:uid="{00000000-0005-0000-0000-0000F03C0000}"/>
    <cellStyle name="Note 2 6 7 2" xfId="3232" xr:uid="{00000000-0005-0000-0000-0000F13C0000}"/>
    <cellStyle name="Note 2 6 7 2 2" xfId="7296" xr:uid="{00000000-0005-0000-0000-0000F23C0000}"/>
    <cellStyle name="Note 2 6 7 2 2 2" xfId="17056" xr:uid="{00000000-0005-0000-0000-0000F33C0000}"/>
    <cellStyle name="Note 2 6 7 2 2 2 2" xfId="31888" xr:uid="{00000000-0005-0000-0000-0000F43C0000}"/>
    <cellStyle name="Note 2 6 7 2 2 3" xfId="23336" xr:uid="{00000000-0005-0000-0000-0000F53C0000}"/>
    <cellStyle name="Note 2 6 7 2 3" xfId="13570" xr:uid="{00000000-0005-0000-0000-0000F63C0000}"/>
    <cellStyle name="Note 2 6 7 2 3 2" xfId="28402" xr:uid="{00000000-0005-0000-0000-0000F73C0000}"/>
    <cellStyle name="Note 2 6 7 2 4" xfId="10695" xr:uid="{00000000-0005-0000-0000-0000F83C0000}"/>
    <cellStyle name="Note 2 6 7 2 4 2" xfId="25527" xr:uid="{00000000-0005-0000-0000-0000F93C0000}"/>
    <cellStyle name="Note 2 6 7 2 5" xfId="21025" xr:uid="{00000000-0005-0000-0000-0000FA3C0000}"/>
    <cellStyle name="Note 2 6 7 3" xfId="5168" xr:uid="{00000000-0005-0000-0000-0000FB3C0000}"/>
    <cellStyle name="Note 2 6 7 3 2" xfId="9207" xr:uid="{00000000-0005-0000-0000-0000FC3C0000}"/>
    <cellStyle name="Note 2 6 7 3 2 2" xfId="18130" xr:uid="{00000000-0005-0000-0000-0000FD3C0000}"/>
    <cellStyle name="Note 2 6 7 3 2 2 2" xfId="32962" xr:uid="{00000000-0005-0000-0000-0000FE3C0000}"/>
    <cellStyle name="Note 2 6 7 3 2 3" xfId="24545" xr:uid="{00000000-0005-0000-0000-0000FF3C0000}"/>
    <cellStyle name="Note 2 6 7 3 3" xfId="15486" xr:uid="{00000000-0005-0000-0000-0000003D0000}"/>
    <cellStyle name="Note 2 6 7 3 3 2" xfId="30318" xr:uid="{00000000-0005-0000-0000-0000013D0000}"/>
    <cellStyle name="Note 2 6 7 3 4" xfId="11727" xr:uid="{00000000-0005-0000-0000-0000023D0000}"/>
    <cellStyle name="Note 2 6 7 3 4 2" xfId="26559" xr:uid="{00000000-0005-0000-0000-0000033D0000}"/>
    <cellStyle name="Note 2 6 7 3 5" xfId="22052" xr:uid="{00000000-0005-0000-0000-0000043D0000}"/>
    <cellStyle name="Note 2 6 7 4" xfId="4198" xr:uid="{00000000-0005-0000-0000-0000053D0000}"/>
    <cellStyle name="Note 2 6 7 4 2" xfId="8239" xr:uid="{00000000-0005-0000-0000-0000063D0000}"/>
    <cellStyle name="Note 2 6 7 4 2 2" xfId="17586" xr:uid="{00000000-0005-0000-0000-0000073D0000}"/>
    <cellStyle name="Note 2 6 7 4 2 2 2" xfId="32418" xr:uid="{00000000-0005-0000-0000-0000083D0000}"/>
    <cellStyle name="Note 2 6 7 4 2 3" xfId="23934" xr:uid="{00000000-0005-0000-0000-0000093D0000}"/>
    <cellStyle name="Note 2 6 7 4 3" xfId="14530" xr:uid="{00000000-0005-0000-0000-00000A3D0000}"/>
    <cellStyle name="Note 2 6 7 4 3 2" xfId="29362" xr:uid="{00000000-0005-0000-0000-00000B3D0000}"/>
    <cellStyle name="Note 2 6 7 4 4" xfId="11206" xr:uid="{00000000-0005-0000-0000-00000C3D0000}"/>
    <cellStyle name="Note 2 6 7 4 4 2" xfId="26038" xr:uid="{00000000-0005-0000-0000-00000D3D0000}"/>
    <cellStyle name="Note 2 6 7 4 5" xfId="21559" xr:uid="{00000000-0005-0000-0000-00000E3D0000}"/>
    <cellStyle name="Note 2 6 7 5" xfId="6314" xr:uid="{00000000-0005-0000-0000-00000F3D0000}"/>
    <cellStyle name="Note 2 6 7 5 2" xfId="16498" xr:uid="{00000000-0005-0000-0000-0000103D0000}"/>
    <cellStyle name="Note 2 6 7 5 2 2" xfId="31330" xr:uid="{00000000-0005-0000-0000-0000113D0000}"/>
    <cellStyle name="Note 2 6 7 5 3" xfId="22716" xr:uid="{00000000-0005-0000-0000-0000123D0000}"/>
    <cellStyle name="Note 2 6 7 6" xfId="12568" xr:uid="{00000000-0005-0000-0000-0000133D0000}"/>
    <cellStyle name="Note 2 6 7 6 2" xfId="27400" xr:uid="{00000000-0005-0000-0000-0000143D0000}"/>
    <cellStyle name="Note 2 6 7 7" xfId="10150" xr:uid="{00000000-0005-0000-0000-0000153D0000}"/>
    <cellStyle name="Note 2 6 7 7 2" xfId="24982" xr:uid="{00000000-0005-0000-0000-0000163D0000}"/>
    <cellStyle name="Note 2 6 7 8" xfId="20395" xr:uid="{00000000-0005-0000-0000-0000173D0000}"/>
    <cellStyle name="Note 2 6 8" xfId="3330" xr:uid="{00000000-0005-0000-0000-0000183D0000}"/>
    <cellStyle name="Note 2 6 8 2" xfId="7393" xr:uid="{00000000-0005-0000-0000-0000193D0000}"/>
    <cellStyle name="Note 2 6 8 2 2" xfId="17126" xr:uid="{00000000-0005-0000-0000-00001A3D0000}"/>
    <cellStyle name="Note 2 6 8 2 2 2" xfId="31958" xr:uid="{00000000-0005-0000-0000-00001B3D0000}"/>
    <cellStyle name="Note 2 6 8 2 3" xfId="23402" xr:uid="{00000000-0005-0000-0000-00001C3D0000}"/>
    <cellStyle name="Note 2 6 8 3" xfId="13667" xr:uid="{00000000-0005-0000-0000-00001D3D0000}"/>
    <cellStyle name="Note 2 6 8 3 2" xfId="28499" xr:uid="{00000000-0005-0000-0000-00001E3D0000}"/>
    <cellStyle name="Note 2 6 8 4" xfId="10747" xr:uid="{00000000-0005-0000-0000-00001F3D0000}"/>
    <cellStyle name="Note 2 6 8 4 2" xfId="25579" xr:uid="{00000000-0005-0000-0000-0000203D0000}"/>
    <cellStyle name="Note 2 6 8 5" xfId="21090" xr:uid="{00000000-0005-0000-0000-0000213D0000}"/>
    <cellStyle name="Note 2 6 9" xfId="3691" xr:uid="{00000000-0005-0000-0000-0000223D0000}"/>
    <cellStyle name="Note 2 6 9 2" xfId="7747" xr:uid="{00000000-0005-0000-0000-0000233D0000}"/>
    <cellStyle name="Note 2 6 9 2 2" xfId="17317" xr:uid="{00000000-0005-0000-0000-0000243D0000}"/>
    <cellStyle name="Note 2 6 9 2 2 2" xfId="32149" xr:uid="{00000000-0005-0000-0000-0000253D0000}"/>
    <cellStyle name="Note 2 6 9 2 3" xfId="23634" xr:uid="{00000000-0005-0000-0000-0000263D0000}"/>
    <cellStyle name="Note 2 6 9 3" xfId="14026" xr:uid="{00000000-0005-0000-0000-0000273D0000}"/>
    <cellStyle name="Note 2 6 9 3 2" xfId="28858" xr:uid="{00000000-0005-0000-0000-0000283D0000}"/>
    <cellStyle name="Note 2 6 9 4" xfId="10935" xr:uid="{00000000-0005-0000-0000-0000293D0000}"/>
    <cellStyle name="Note 2 6 9 4 2" xfId="25767" xr:uid="{00000000-0005-0000-0000-00002A3D0000}"/>
    <cellStyle name="Note 2 6 9 5" xfId="21295" xr:uid="{00000000-0005-0000-0000-00002B3D0000}"/>
    <cellStyle name="Note 2 7" xfId="1222" xr:uid="{00000000-0005-0000-0000-00002C3D0000}"/>
    <cellStyle name="Note 2 7 10" xfId="2308" xr:uid="{00000000-0005-0000-0000-00002D3D0000}"/>
    <cellStyle name="Note 2 7 10 2" xfId="6420" xr:uid="{00000000-0005-0000-0000-00002E3D0000}"/>
    <cellStyle name="Note 2 7 10 2 2" xfId="16513" xr:uid="{00000000-0005-0000-0000-00002F3D0000}"/>
    <cellStyle name="Note 2 7 10 2 2 2" xfId="31345" xr:uid="{00000000-0005-0000-0000-0000303D0000}"/>
    <cellStyle name="Note 2 7 10 2 3" xfId="22822" xr:uid="{00000000-0005-0000-0000-0000313D0000}"/>
    <cellStyle name="Note 2 7 10 3" xfId="12648" xr:uid="{00000000-0005-0000-0000-0000323D0000}"/>
    <cellStyle name="Note 2 7 10 3 2" xfId="27480" xr:uid="{00000000-0005-0000-0000-0000333D0000}"/>
    <cellStyle name="Note 2 7 10 4" xfId="10164" xr:uid="{00000000-0005-0000-0000-0000343D0000}"/>
    <cellStyle name="Note 2 7 10 4 2" xfId="24996" xr:uid="{00000000-0005-0000-0000-0000353D0000}"/>
    <cellStyle name="Note 2 7 10 5" xfId="20471" xr:uid="{00000000-0005-0000-0000-0000363D0000}"/>
    <cellStyle name="Note 2 7 11" xfId="5271" xr:uid="{00000000-0005-0000-0000-0000373D0000}"/>
    <cellStyle name="Note 2 7 11 2" xfId="9279" xr:uid="{00000000-0005-0000-0000-0000383D0000}"/>
    <cellStyle name="Note 2 7 11 2 2" xfId="18146" xr:uid="{00000000-0005-0000-0000-0000393D0000}"/>
    <cellStyle name="Note 2 7 11 2 2 2" xfId="32978" xr:uid="{00000000-0005-0000-0000-00003A3D0000}"/>
    <cellStyle name="Note 2 7 11 2 3" xfId="24617" xr:uid="{00000000-0005-0000-0000-00003B3D0000}"/>
    <cellStyle name="Note 2 7 11 3" xfId="15587" xr:uid="{00000000-0005-0000-0000-00003C3D0000}"/>
    <cellStyle name="Note 2 7 11 3 2" xfId="30419" xr:uid="{00000000-0005-0000-0000-00003D3D0000}"/>
    <cellStyle name="Note 2 7 11 4" xfId="22128" xr:uid="{00000000-0005-0000-0000-00003E3D0000}"/>
    <cellStyle name="Note 2 7 12" xfId="5429" xr:uid="{00000000-0005-0000-0000-00003F3D0000}"/>
    <cellStyle name="Note 2 7 12 2" xfId="15665" xr:uid="{00000000-0005-0000-0000-0000403D0000}"/>
    <cellStyle name="Note 2 7 12 2 2" xfId="30497" xr:uid="{00000000-0005-0000-0000-0000413D0000}"/>
    <cellStyle name="Note 2 7 12 3" xfId="22190" xr:uid="{00000000-0005-0000-0000-0000423D0000}"/>
    <cellStyle name="Note 2 7 13" xfId="9362" xr:uid="{00000000-0005-0000-0000-0000433D0000}"/>
    <cellStyle name="Note 2 7 13 2" xfId="24668" xr:uid="{00000000-0005-0000-0000-0000443D0000}"/>
    <cellStyle name="Note 2 7 14" xfId="5351" xr:uid="{00000000-0005-0000-0000-0000453D0000}"/>
    <cellStyle name="Note 2 7 14 2" xfId="18225" xr:uid="{00000000-0005-0000-0000-0000463D0000}"/>
    <cellStyle name="Note 2 7 2" xfId="1341" xr:uid="{00000000-0005-0000-0000-0000473D0000}"/>
    <cellStyle name="Note 2 7 2 2" xfId="1845" xr:uid="{00000000-0005-0000-0000-0000483D0000}"/>
    <cellStyle name="Note 2 7 2 2 2" xfId="3708" xr:uid="{00000000-0005-0000-0000-0000493D0000}"/>
    <cellStyle name="Note 2 7 2 2 2 2" xfId="7764" xr:uid="{00000000-0005-0000-0000-00004A3D0000}"/>
    <cellStyle name="Note 2 7 2 2 2 2 2" xfId="17328" xr:uid="{00000000-0005-0000-0000-00004B3D0000}"/>
    <cellStyle name="Note 2 7 2 2 2 2 2 2" xfId="32160" xr:uid="{00000000-0005-0000-0000-00004C3D0000}"/>
    <cellStyle name="Note 2 7 2 2 2 2 3" xfId="23646" xr:uid="{00000000-0005-0000-0000-00004D3D0000}"/>
    <cellStyle name="Note 2 7 2 2 2 3" xfId="14043" xr:uid="{00000000-0005-0000-0000-00004E3D0000}"/>
    <cellStyle name="Note 2 7 2 2 2 3 2" xfId="28875" xr:uid="{00000000-0005-0000-0000-00004F3D0000}"/>
    <cellStyle name="Note 2 7 2 2 2 4" xfId="10946" xr:uid="{00000000-0005-0000-0000-0000503D0000}"/>
    <cellStyle name="Note 2 7 2 2 2 4 2" xfId="25778" xr:uid="{00000000-0005-0000-0000-0000513D0000}"/>
    <cellStyle name="Note 2 7 2 2 2 5" xfId="21306" xr:uid="{00000000-0005-0000-0000-0000523D0000}"/>
    <cellStyle name="Note 2 7 2 2 3" xfId="4823" xr:uid="{00000000-0005-0000-0000-0000533D0000}"/>
    <cellStyle name="Note 2 7 2 2 3 2" xfId="8862" xr:uid="{00000000-0005-0000-0000-0000543D0000}"/>
    <cellStyle name="Note 2 7 2 2 3 2 2" xfId="17903" xr:uid="{00000000-0005-0000-0000-0000553D0000}"/>
    <cellStyle name="Note 2 7 2 2 3 2 2 2" xfId="32735" xr:uid="{00000000-0005-0000-0000-0000563D0000}"/>
    <cellStyle name="Note 2 7 2 2 3 2 3" xfId="24360" xr:uid="{00000000-0005-0000-0000-0000573D0000}"/>
    <cellStyle name="Note 2 7 2 2 3 3" xfId="15147" xr:uid="{00000000-0005-0000-0000-0000583D0000}"/>
    <cellStyle name="Note 2 7 2 2 3 3 2" xfId="29979" xr:uid="{00000000-0005-0000-0000-0000593D0000}"/>
    <cellStyle name="Note 2 7 2 2 3 4" xfId="11506" xr:uid="{00000000-0005-0000-0000-00005A3D0000}"/>
    <cellStyle name="Note 2 7 2 2 3 4 2" xfId="26338" xr:uid="{00000000-0005-0000-0000-00005B3D0000}"/>
    <cellStyle name="Note 2 7 2 2 3 5" xfId="21898" xr:uid="{00000000-0005-0000-0000-00005C3D0000}"/>
    <cellStyle name="Note 2 7 2 2 4" xfId="2813" xr:uid="{00000000-0005-0000-0000-00005D3D0000}"/>
    <cellStyle name="Note 2 7 2 2 4 2" xfId="6904" xr:uid="{00000000-0005-0000-0000-00005E3D0000}"/>
    <cellStyle name="Note 2 7 2 2 4 2 2" xfId="16797" xr:uid="{00000000-0005-0000-0000-00005F3D0000}"/>
    <cellStyle name="Note 2 7 2 2 4 2 2 2" xfId="31629" xr:uid="{00000000-0005-0000-0000-0000603D0000}"/>
    <cellStyle name="Note 2 7 2 2 4 2 3" xfId="23111" xr:uid="{00000000-0005-0000-0000-0000613D0000}"/>
    <cellStyle name="Note 2 7 2 2 4 3" xfId="13151" xr:uid="{00000000-0005-0000-0000-0000623D0000}"/>
    <cellStyle name="Note 2 7 2 2 4 3 2" xfId="27983" xr:uid="{00000000-0005-0000-0000-0000633D0000}"/>
    <cellStyle name="Note 2 7 2 2 4 4" xfId="10450" xr:uid="{00000000-0005-0000-0000-0000643D0000}"/>
    <cellStyle name="Note 2 7 2 2 4 4 2" xfId="25282" xr:uid="{00000000-0005-0000-0000-0000653D0000}"/>
    <cellStyle name="Note 2 7 2 2 4 5" xfId="20771" xr:uid="{00000000-0005-0000-0000-0000663D0000}"/>
    <cellStyle name="Note 2 7 2 2 5" xfId="5977" xr:uid="{00000000-0005-0000-0000-0000673D0000}"/>
    <cellStyle name="Note 2 7 2 2 5 2" xfId="16169" xr:uid="{00000000-0005-0000-0000-0000683D0000}"/>
    <cellStyle name="Note 2 7 2 2 5 2 2" xfId="31001" xr:uid="{00000000-0005-0000-0000-0000693D0000}"/>
    <cellStyle name="Note 2 7 2 2 5 3" xfId="22542" xr:uid="{00000000-0005-0000-0000-00006A3D0000}"/>
    <cellStyle name="Note 2 7 2 2 6" xfId="12239" xr:uid="{00000000-0005-0000-0000-00006B3D0000}"/>
    <cellStyle name="Note 2 7 2 2 6 2" xfId="27071" xr:uid="{00000000-0005-0000-0000-00006C3D0000}"/>
    <cellStyle name="Note 2 7 2 2 7" xfId="9835" xr:uid="{00000000-0005-0000-0000-00006D3D0000}"/>
    <cellStyle name="Note 2 7 2 2 7 2" xfId="24761" xr:uid="{00000000-0005-0000-0000-00006E3D0000}"/>
    <cellStyle name="Note 2 7 2 2 8" xfId="20319" xr:uid="{00000000-0005-0000-0000-00006F3D0000}"/>
    <cellStyle name="Note 2 7 2 3" xfId="4150" xr:uid="{00000000-0005-0000-0000-0000703D0000}"/>
    <cellStyle name="Note 2 7 2 3 2" xfId="8193" xr:uid="{00000000-0005-0000-0000-0000713D0000}"/>
    <cellStyle name="Note 2 7 2 3 2 2" xfId="17545" xr:uid="{00000000-0005-0000-0000-0000723D0000}"/>
    <cellStyle name="Note 2 7 2 3 2 2 2" xfId="32377" xr:uid="{00000000-0005-0000-0000-0000733D0000}"/>
    <cellStyle name="Note 2 7 2 3 2 3" xfId="23920" xr:uid="{00000000-0005-0000-0000-0000743D0000}"/>
    <cellStyle name="Note 2 7 2 3 3" xfId="14482" xr:uid="{00000000-0005-0000-0000-0000753D0000}"/>
    <cellStyle name="Note 2 7 2 3 3 2" xfId="29314" xr:uid="{00000000-0005-0000-0000-0000763D0000}"/>
    <cellStyle name="Note 2 7 2 3 4" xfId="11163" xr:uid="{00000000-0005-0000-0000-0000773D0000}"/>
    <cellStyle name="Note 2 7 2 3 4 2" xfId="25995" xr:uid="{00000000-0005-0000-0000-0000783D0000}"/>
    <cellStyle name="Note 2 7 2 3 5" xfId="21548" xr:uid="{00000000-0005-0000-0000-0000793D0000}"/>
    <cellStyle name="Note 2 7 2 4" xfId="4403" xr:uid="{00000000-0005-0000-0000-00007A3D0000}"/>
    <cellStyle name="Note 2 7 2 4 2" xfId="8442" xr:uid="{00000000-0005-0000-0000-00007B3D0000}"/>
    <cellStyle name="Note 2 7 2 4 2 2" xfId="17663" xr:uid="{00000000-0005-0000-0000-00007C3D0000}"/>
    <cellStyle name="Note 2 7 2 4 2 2 2" xfId="32495" xr:uid="{00000000-0005-0000-0000-00007D3D0000}"/>
    <cellStyle name="Note 2 7 2 4 2 3" xfId="24100" xr:uid="{00000000-0005-0000-0000-00007E3D0000}"/>
    <cellStyle name="Note 2 7 2 4 3" xfId="14732" xr:uid="{00000000-0005-0000-0000-00007F3D0000}"/>
    <cellStyle name="Note 2 7 2 4 3 2" xfId="29564" xr:uid="{00000000-0005-0000-0000-0000803D0000}"/>
    <cellStyle name="Note 2 7 2 4 4" xfId="11271" xr:uid="{00000000-0005-0000-0000-0000813D0000}"/>
    <cellStyle name="Note 2 7 2 4 4 2" xfId="26103" xr:uid="{00000000-0005-0000-0000-0000823D0000}"/>
    <cellStyle name="Note 2 7 2 4 5" xfId="21668" xr:uid="{00000000-0005-0000-0000-0000833D0000}"/>
    <cellStyle name="Note 2 7 2 5" xfId="2393" xr:uid="{00000000-0005-0000-0000-0000843D0000}"/>
    <cellStyle name="Note 2 7 2 5 2" xfId="6505" xr:uid="{00000000-0005-0000-0000-0000853D0000}"/>
    <cellStyle name="Note 2 7 2 5 2 2" xfId="16561" xr:uid="{00000000-0005-0000-0000-0000863D0000}"/>
    <cellStyle name="Note 2 7 2 5 2 2 2" xfId="31393" xr:uid="{00000000-0005-0000-0000-0000873D0000}"/>
    <cellStyle name="Note 2 7 2 5 2 3" xfId="22875" xr:uid="{00000000-0005-0000-0000-0000883D0000}"/>
    <cellStyle name="Note 2 7 2 5 3" xfId="12732" xr:uid="{00000000-0005-0000-0000-0000893D0000}"/>
    <cellStyle name="Note 2 7 2 5 3 2" xfId="27564" xr:uid="{00000000-0005-0000-0000-00008A3D0000}"/>
    <cellStyle name="Note 2 7 2 5 4" xfId="10211" xr:uid="{00000000-0005-0000-0000-00008B3D0000}"/>
    <cellStyle name="Note 2 7 2 5 4 2" xfId="25043" xr:uid="{00000000-0005-0000-0000-00008C3D0000}"/>
    <cellStyle name="Note 2 7 2 5 5" xfId="20517" xr:uid="{00000000-0005-0000-0000-00008D3D0000}"/>
    <cellStyle name="Note 2 7 2 6" xfId="5518" xr:uid="{00000000-0005-0000-0000-00008E3D0000}"/>
    <cellStyle name="Note 2 7 2 6 2" xfId="15753" xr:uid="{00000000-0005-0000-0000-00008F3D0000}"/>
    <cellStyle name="Note 2 7 2 6 2 2" xfId="30585" xr:uid="{00000000-0005-0000-0000-0000903D0000}"/>
    <cellStyle name="Note 2 7 2 6 3" xfId="22246" xr:uid="{00000000-0005-0000-0000-0000913D0000}"/>
    <cellStyle name="Note 2 7 2 7" xfId="11768" xr:uid="{00000000-0005-0000-0000-0000923D0000}"/>
    <cellStyle name="Note 2 7 2 7 2" xfId="26600" xr:uid="{00000000-0005-0000-0000-0000933D0000}"/>
    <cellStyle name="Note 2 7 2 8" xfId="9439" xr:uid="{00000000-0005-0000-0000-0000943D0000}"/>
    <cellStyle name="Note 2 7 2 8 2" xfId="19743" xr:uid="{00000000-0005-0000-0000-0000953D0000}"/>
    <cellStyle name="Note 2 7 3" xfId="1511" xr:uid="{00000000-0005-0000-0000-0000963D0000}"/>
    <cellStyle name="Note 2 7 3 2" xfId="2008" xr:uid="{00000000-0005-0000-0000-0000973D0000}"/>
    <cellStyle name="Note 2 7 3 2 2" xfId="3847" xr:uid="{00000000-0005-0000-0000-0000983D0000}"/>
    <cellStyle name="Note 2 7 3 2 2 2" xfId="7900" xr:uid="{00000000-0005-0000-0000-0000993D0000}"/>
    <cellStyle name="Note 2 7 3 2 2 2 2" xfId="17392" xr:uid="{00000000-0005-0000-0000-00009A3D0000}"/>
    <cellStyle name="Note 2 7 3 2 2 2 2 2" xfId="32224" xr:uid="{00000000-0005-0000-0000-00009B3D0000}"/>
    <cellStyle name="Note 2 7 3 2 2 2 3" xfId="23737" xr:uid="{00000000-0005-0000-0000-00009C3D0000}"/>
    <cellStyle name="Note 2 7 3 2 2 3" xfId="14182" xr:uid="{00000000-0005-0000-0000-00009D3D0000}"/>
    <cellStyle name="Note 2 7 3 2 2 3 2" xfId="29014" xr:uid="{00000000-0005-0000-0000-00009E3D0000}"/>
    <cellStyle name="Note 2 7 3 2 2 4" xfId="11011" xr:uid="{00000000-0005-0000-0000-00009F3D0000}"/>
    <cellStyle name="Note 2 7 3 2 2 4 2" xfId="25843" xr:uid="{00000000-0005-0000-0000-0000A03D0000}"/>
    <cellStyle name="Note 2 7 3 2 2 5" xfId="21383" xr:uid="{00000000-0005-0000-0000-0000A13D0000}"/>
    <cellStyle name="Note 2 7 3 2 3" xfId="4976" xr:uid="{00000000-0005-0000-0000-0000A23D0000}"/>
    <cellStyle name="Note 2 7 3 2 3 2" xfId="9015" xr:uid="{00000000-0005-0000-0000-0000A33D0000}"/>
    <cellStyle name="Note 2 7 3 2 3 2 2" xfId="17953" xr:uid="{00000000-0005-0000-0000-0000A43D0000}"/>
    <cellStyle name="Note 2 7 3 2 3 2 2 2" xfId="32785" xr:uid="{00000000-0005-0000-0000-0000A53D0000}"/>
    <cellStyle name="Note 2 7 3 2 3 2 3" xfId="24481" xr:uid="{00000000-0005-0000-0000-0000A63D0000}"/>
    <cellStyle name="Note 2 7 3 2 3 3" xfId="15298" xr:uid="{00000000-0005-0000-0000-0000A73D0000}"/>
    <cellStyle name="Note 2 7 3 2 3 3 2" xfId="30130" xr:uid="{00000000-0005-0000-0000-0000A83D0000}"/>
    <cellStyle name="Note 2 7 3 2 3 4" xfId="11554" xr:uid="{00000000-0005-0000-0000-0000A93D0000}"/>
    <cellStyle name="Note 2 7 3 2 3 4 2" xfId="26386" xr:uid="{00000000-0005-0000-0000-0000AA3D0000}"/>
    <cellStyle name="Note 2 7 3 2 3 5" xfId="22007" xr:uid="{00000000-0005-0000-0000-0000AB3D0000}"/>
    <cellStyle name="Note 2 7 3 2 4" xfId="2966" xr:uid="{00000000-0005-0000-0000-0000AC3D0000}"/>
    <cellStyle name="Note 2 7 3 2 4 2" xfId="7046" xr:uid="{00000000-0005-0000-0000-0000AD3D0000}"/>
    <cellStyle name="Note 2 7 3 2 4 2 2" xfId="16845" xr:uid="{00000000-0005-0000-0000-0000AE3D0000}"/>
    <cellStyle name="Note 2 7 3 2 4 2 2 2" xfId="31677" xr:uid="{00000000-0005-0000-0000-0000AF3D0000}"/>
    <cellStyle name="Note 2 7 3 2 4 2 3" xfId="23220" xr:uid="{00000000-0005-0000-0000-0000B03D0000}"/>
    <cellStyle name="Note 2 7 3 2 4 3" xfId="13304" xr:uid="{00000000-0005-0000-0000-0000B13D0000}"/>
    <cellStyle name="Note 2 7 3 2 4 3 2" xfId="28136" xr:uid="{00000000-0005-0000-0000-0000B23D0000}"/>
    <cellStyle name="Note 2 7 3 2 4 4" xfId="10500" xr:uid="{00000000-0005-0000-0000-0000B33D0000}"/>
    <cellStyle name="Note 2 7 3 2 4 4 2" xfId="25332" xr:uid="{00000000-0005-0000-0000-0000B43D0000}"/>
    <cellStyle name="Note 2 7 3 2 4 5" xfId="20892" xr:uid="{00000000-0005-0000-0000-0000B53D0000}"/>
    <cellStyle name="Note 2 7 3 2 5" xfId="6138" xr:uid="{00000000-0005-0000-0000-0000B63D0000}"/>
    <cellStyle name="Note 2 7 3 2 5 2" xfId="16325" xr:uid="{00000000-0005-0000-0000-0000B73D0000}"/>
    <cellStyle name="Note 2 7 3 2 5 2 2" xfId="31157" xr:uid="{00000000-0005-0000-0000-0000B83D0000}"/>
    <cellStyle name="Note 2 7 3 2 5 3" xfId="22671" xr:uid="{00000000-0005-0000-0000-0000B93D0000}"/>
    <cellStyle name="Note 2 7 3 2 6" xfId="12395" xr:uid="{00000000-0005-0000-0000-0000BA3D0000}"/>
    <cellStyle name="Note 2 7 3 2 6 2" xfId="27227" xr:uid="{00000000-0005-0000-0000-0000BB3D0000}"/>
    <cellStyle name="Note 2 7 3 2 7" xfId="9977" xr:uid="{00000000-0005-0000-0000-0000BC3D0000}"/>
    <cellStyle name="Note 2 7 3 2 7 2" xfId="24809" xr:uid="{00000000-0005-0000-0000-0000BD3D0000}"/>
    <cellStyle name="Note 2 7 3 2 8" xfId="20350" xr:uid="{00000000-0005-0000-0000-0000BE3D0000}"/>
    <cellStyle name="Note 2 7 3 3" xfId="3200" xr:uid="{00000000-0005-0000-0000-0000BF3D0000}"/>
    <cellStyle name="Note 2 7 3 3 2" xfId="7264" xr:uid="{00000000-0005-0000-0000-0000C03D0000}"/>
    <cellStyle name="Note 2 7 3 3 2 2" xfId="17031" xr:uid="{00000000-0005-0000-0000-0000C13D0000}"/>
    <cellStyle name="Note 2 7 3 3 2 2 2" xfId="31863" xr:uid="{00000000-0005-0000-0000-0000C23D0000}"/>
    <cellStyle name="Note 2 7 3 3 2 3" xfId="23315" xr:uid="{00000000-0005-0000-0000-0000C33D0000}"/>
    <cellStyle name="Note 2 7 3 3 3" xfId="13538" xr:uid="{00000000-0005-0000-0000-0000C43D0000}"/>
    <cellStyle name="Note 2 7 3 3 3 2" xfId="28370" xr:uid="{00000000-0005-0000-0000-0000C53D0000}"/>
    <cellStyle name="Note 2 7 3 3 4" xfId="10675" xr:uid="{00000000-0005-0000-0000-0000C63D0000}"/>
    <cellStyle name="Note 2 7 3 3 4 2" xfId="25507" xr:uid="{00000000-0005-0000-0000-0000C73D0000}"/>
    <cellStyle name="Note 2 7 3 3 5" xfId="21005" xr:uid="{00000000-0005-0000-0000-0000C83D0000}"/>
    <cellStyle name="Note 2 7 3 4" xfId="4556" xr:uid="{00000000-0005-0000-0000-0000C93D0000}"/>
    <cellStyle name="Note 2 7 3 4 2" xfId="8595" xr:uid="{00000000-0005-0000-0000-0000CA3D0000}"/>
    <cellStyle name="Note 2 7 3 4 2 2" xfId="17713" xr:uid="{00000000-0005-0000-0000-0000CB3D0000}"/>
    <cellStyle name="Note 2 7 3 4 2 2 2" xfId="32545" xr:uid="{00000000-0005-0000-0000-0000CC3D0000}"/>
    <cellStyle name="Note 2 7 3 4 2 3" xfId="24221" xr:uid="{00000000-0005-0000-0000-0000CD3D0000}"/>
    <cellStyle name="Note 2 7 3 4 3" xfId="14883" xr:uid="{00000000-0005-0000-0000-0000CE3D0000}"/>
    <cellStyle name="Note 2 7 3 4 3 2" xfId="29715" xr:uid="{00000000-0005-0000-0000-0000CF3D0000}"/>
    <cellStyle name="Note 2 7 3 4 4" xfId="11319" xr:uid="{00000000-0005-0000-0000-0000D03D0000}"/>
    <cellStyle name="Note 2 7 3 4 4 2" xfId="26151" xr:uid="{00000000-0005-0000-0000-0000D13D0000}"/>
    <cellStyle name="Note 2 7 3 4 5" xfId="21777" xr:uid="{00000000-0005-0000-0000-0000D23D0000}"/>
    <cellStyle name="Note 2 7 3 5" xfId="2546" xr:uid="{00000000-0005-0000-0000-0000D33D0000}"/>
    <cellStyle name="Note 2 7 3 5 2" xfId="6652" xr:uid="{00000000-0005-0000-0000-0000D43D0000}"/>
    <cellStyle name="Note 2 7 3 5 2 2" xfId="16610" xr:uid="{00000000-0005-0000-0000-0000D53D0000}"/>
    <cellStyle name="Note 2 7 3 5 2 2 2" xfId="31442" xr:uid="{00000000-0005-0000-0000-0000D63D0000}"/>
    <cellStyle name="Note 2 7 3 5 2 3" xfId="22990" xr:uid="{00000000-0005-0000-0000-0000D73D0000}"/>
    <cellStyle name="Note 2 7 3 5 3" xfId="12884" xr:uid="{00000000-0005-0000-0000-0000D83D0000}"/>
    <cellStyle name="Note 2 7 3 5 3 2" xfId="27716" xr:uid="{00000000-0005-0000-0000-0000D93D0000}"/>
    <cellStyle name="Note 2 7 3 5 4" xfId="10260" xr:uid="{00000000-0005-0000-0000-0000DA3D0000}"/>
    <cellStyle name="Note 2 7 3 5 4 2" xfId="25092" xr:uid="{00000000-0005-0000-0000-0000DB3D0000}"/>
    <cellStyle name="Note 2 7 3 5 5" xfId="20632" xr:uid="{00000000-0005-0000-0000-0000DC3D0000}"/>
    <cellStyle name="Note 2 7 3 6" xfId="5669" xr:uid="{00000000-0005-0000-0000-0000DD3D0000}"/>
    <cellStyle name="Note 2 7 3 6 2" xfId="15904" xr:uid="{00000000-0005-0000-0000-0000DE3D0000}"/>
    <cellStyle name="Note 2 7 3 6 2 2" xfId="30736" xr:uid="{00000000-0005-0000-0000-0000DF3D0000}"/>
    <cellStyle name="Note 2 7 3 6 3" xfId="22365" xr:uid="{00000000-0005-0000-0000-0000E03D0000}"/>
    <cellStyle name="Note 2 7 3 7" xfId="11924" xr:uid="{00000000-0005-0000-0000-0000E13D0000}"/>
    <cellStyle name="Note 2 7 3 7 2" xfId="26756" xr:uid="{00000000-0005-0000-0000-0000E23D0000}"/>
    <cellStyle name="Note 2 7 3 8" xfId="9582" xr:uid="{00000000-0005-0000-0000-0000E33D0000}"/>
    <cellStyle name="Note 2 7 3 8 2" xfId="19884" xr:uid="{00000000-0005-0000-0000-0000E43D0000}"/>
    <cellStyle name="Note 2 7 4" xfId="1566" xr:uid="{00000000-0005-0000-0000-0000E53D0000}"/>
    <cellStyle name="Note 2 7 4 2" xfId="2063" xr:uid="{00000000-0005-0000-0000-0000E63D0000}"/>
    <cellStyle name="Note 2 7 4 2 2" xfId="3404" xr:uid="{00000000-0005-0000-0000-0000E73D0000}"/>
    <cellStyle name="Note 2 7 4 2 2 2" xfId="7467" xr:uid="{00000000-0005-0000-0000-0000E83D0000}"/>
    <cellStyle name="Note 2 7 4 2 2 2 2" xfId="17166" xr:uid="{00000000-0005-0000-0000-0000E93D0000}"/>
    <cellStyle name="Note 2 7 4 2 2 2 2 2" xfId="31998" xr:uid="{00000000-0005-0000-0000-0000EA3D0000}"/>
    <cellStyle name="Note 2 7 4 2 2 2 3" xfId="23455" xr:uid="{00000000-0005-0000-0000-0000EB3D0000}"/>
    <cellStyle name="Note 2 7 4 2 2 3" xfId="13741" xr:uid="{00000000-0005-0000-0000-0000EC3D0000}"/>
    <cellStyle name="Note 2 7 4 2 2 3 2" xfId="28573" xr:uid="{00000000-0005-0000-0000-0000ED3D0000}"/>
    <cellStyle name="Note 2 7 4 2 2 4" xfId="10785" xr:uid="{00000000-0005-0000-0000-0000EE3D0000}"/>
    <cellStyle name="Note 2 7 4 2 2 4 2" xfId="25617" xr:uid="{00000000-0005-0000-0000-0000EF3D0000}"/>
    <cellStyle name="Note 2 7 4 2 2 5" xfId="21133" xr:uid="{00000000-0005-0000-0000-0000F03D0000}"/>
    <cellStyle name="Note 2 7 4 2 3" xfId="5031" xr:uid="{00000000-0005-0000-0000-0000F13D0000}"/>
    <cellStyle name="Note 2 7 4 2 3 2" xfId="9070" xr:uid="{00000000-0005-0000-0000-0000F23D0000}"/>
    <cellStyle name="Note 2 7 4 2 3 2 2" xfId="18003" xr:uid="{00000000-0005-0000-0000-0000F33D0000}"/>
    <cellStyle name="Note 2 7 4 2 3 2 2 2" xfId="32835" xr:uid="{00000000-0005-0000-0000-0000F43D0000}"/>
    <cellStyle name="Note 2 7 4 2 3 2 3" xfId="24504" xr:uid="{00000000-0005-0000-0000-0000F53D0000}"/>
    <cellStyle name="Note 2 7 4 2 3 3" xfId="15352" xr:uid="{00000000-0005-0000-0000-0000F63D0000}"/>
    <cellStyle name="Note 2 7 4 2 3 3 2" xfId="30184" xr:uid="{00000000-0005-0000-0000-0000F73D0000}"/>
    <cellStyle name="Note 2 7 4 2 3 4" xfId="11603" xr:uid="{00000000-0005-0000-0000-0000F83D0000}"/>
    <cellStyle name="Note 2 7 4 2 3 4 2" xfId="26435" xr:uid="{00000000-0005-0000-0000-0000F93D0000}"/>
    <cellStyle name="Note 2 7 4 2 3 5" xfId="22024" xr:uid="{00000000-0005-0000-0000-0000FA3D0000}"/>
    <cellStyle name="Note 2 7 4 2 4" xfId="3021" xr:uid="{00000000-0005-0000-0000-0000FB3D0000}"/>
    <cellStyle name="Note 2 7 4 2 4 2" xfId="7096" xr:uid="{00000000-0005-0000-0000-0000FC3D0000}"/>
    <cellStyle name="Note 2 7 4 2 4 2 2" xfId="16894" xr:uid="{00000000-0005-0000-0000-0000FD3D0000}"/>
    <cellStyle name="Note 2 7 4 2 4 2 2 2" xfId="31726" xr:uid="{00000000-0005-0000-0000-0000FE3D0000}"/>
    <cellStyle name="Note 2 7 4 2 4 2 3" xfId="23237" xr:uid="{00000000-0005-0000-0000-0000FF3D0000}"/>
    <cellStyle name="Note 2 7 4 2 4 3" xfId="13359" xr:uid="{00000000-0005-0000-0000-0000003E0000}"/>
    <cellStyle name="Note 2 7 4 2 4 3 2" xfId="28191" xr:uid="{00000000-0005-0000-0000-0000013E0000}"/>
    <cellStyle name="Note 2 7 4 2 4 4" xfId="10550" xr:uid="{00000000-0005-0000-0000-0000023E0000}"/>
    <cellStyle name="Note 2 7 4 2 4 4 2" xfId="25382" xr:uid="{00000000-0005-0000-0000-0000033E0000}"/>
    <cellStyle name="Note 2 7 4 2 4 5" xfId="20915" xr:uid="{00000000-0005-0000-0000-0000043E0000}"/>
    <cellStyle name="Note 2 7 4 2 5" xfId="6188" xr:uid="{00000000-0005-0000-0000-0000053E0000}"/>
    <cellStyle name="Note 2 7 4 2 5 2" xfId="16374" xr:uid="{00000000-0005-0000-0000-0000063E0000}"/>
    <cellStyle name="Note 2 7 4 2 5 2 2" xfId="31206" xr:uid="{00000000-0005-0000-0000-0000073E0000}"/>
    <cellStyle name="Note 2 7 4 2 5 3" xfId="22688" xr:uid="{00000000-0005-0000-0000-0000083E0000}"/>
    <cellStyle name="Note 2 7 4 2 6" xfId="12444" xr:uid="{00000000-0005-0000-0000-0000093E0000}"/>
    <cellStyle name="Note 2 7 4 2 6 2" xfId="27276" xr:uid="{00000000-0005-0000-0000-00000A3E0000}"/>
    <cellStyle name="Note 2 7 4 2 7" xfId="10026" xr:uid="{00000000-0005-0000-0000-00000B3E0000}"/>
    <cellStyle name="Note 2 7 4 2 7 2" xfId="24858" xr:uid="{00000000-0005-0000-0000-00000C3E0000}"/>
    <cellStyle name="Note 2 7 4 2 8" xfId="20367" xr:uid="{00000000-0005-0000-0000-00000D3E0000}"/>
    <cellStyle name="Note 2 7 4 3" xfId="3284" xr:uid="{00000000-0005-0000-0000-00000E3E0000}"/>
    <cellStyle name="Note 2 7 4 3 2" xfId="7348" xr:uid="{00000000-0005-0000-0000-00000F3E0000}"/>
    <cellStyle name="Note 2 7 4 3 2 2" xfId="17091" xr:uid="{00000000-0005-0000-0000-0000103E0000}"/>
    <cellStyle name="Note 2 7 4 3 2 2 2" xfId="31923" xr:uid="{00000000-0005-0000-0000-0000113E0000}"/>
    <cellStyle name="Note 2 7 4 3 2 3" xfId="23375" xr:uid="{00000000-0005-0000-0000-0000123E0000}"/>
    <cellStyle name="Note 2 7 4 3 3" xfId="13621" xr:uid="{00000000-0005-0000-0000-0000133E0000}"/>
    <cellStyle name="Note 2 7 4 3 3 2" xfId="28453" xr:uid="{00000000-0005-0000-0000-0000143E0000}"/>
    <cellStyle name="Note 2 7 4 3 4" xfId="10718" xr:uid="{00000000-0005-0000-0000-0000153E0000}"/>
    <cellStyle name="Note 2 7 4 3 4 2" xfId="25550" xr:uid="{00000000-0005-0000-0000-0000163E0000}"/>
    <cellStyle name="Note 2 7 4 3 5" xfId="21062" xr:uid="{00000000-0005-0000-0000-0000173E0000}"/>
    <cellStyle name="Note 2 7 4 4" xfId="4611" xr:uid="{00000000-0005-0000-0000-0000183E0000}"/>
    <cellStyle name="Note 2 7 4 4 2" xfId="8650" xr:uid="{00000000-0005-0000-0000-0000193E0000}"/>
    <cellStyle name="Note 2 7 4 4 2 2" xfId="17763" xr:uid="{00000000-0005-0000-0000-00001A3E0000}"/>
    <cellStyle name="Note 2 7 4 4 2 2 2" xfId="32595" xr:uid="{00000000-0005-0000-0000-00001B3E0000}"/>
    <cellStyle name="Note 2 7 4 4 2 3" xfId="24244" xr:uid="{00000000-0005-0000-0000-00001C3E0000}"/>
    <cellStyle name="Note 2 7 4 4 3" xfId="14937" xr:uid="{00000000-0005-0000-0000-00001D3E0000}"/>
    <cellStyle name="Note 2 7 4 4 3 2" xfId="29769" xr:uid="{00000000-0005-0000-0000-00001E3E0000}"/>
    <cellStyle name="Note 2 7 4 4 4" xfId="11368" xr:uid="{00000000-0005-0000-0000-00001F3E0000}"/>
    <cellStyle name="Note 2 7 4 4 4 2" xfId="26200" xr:uid="{00000000-0005-0000-0000-0000203E0000}"/>
    <cellStyle name="Note 2 7 4 4 5" xfId="21794" xr:uid="{00000000-0005-0000-0000-0000213E0000}"/>
    <cellStyle name="Note 2 7 4 5" xfId="2601" xr:uid="{00000000-0005-0000-0000-0000223E0000}"/>
    <cellStyle name="Note 2 7 4 5 2" xfId="6702" xr:uid="{00000000-0005-0000-0000-0000233E0000}"/>
    <cellStyle name="Note 2 7 4 5 2 2" xfId="16659" xr:uid="{00000000-0005-0000-0000-0000243E0000}"/>
    <cellStyle name="Note 2 7 4 5 2 2 2" xfId="31491" xr:uid="{00000000-0005-0000-0000-0000253E0000}"/>
    <cellStyle name="Note 2 7 4 5 2 3" xfId="23007" xr:uid="{00000000-0005-0000-0000-0000263E0000}"/>
    <cellStyle name="Note 2 7 4 5 3" xfId="12939" xr:uid="{00000000-0005-0000-0000-0000273E0000}"/>
    <cellStyle name="Note 2 7 4 5 3 2" xfId="27771" xr:uid="{00000000-0005-0000-0000-0000283E0000}"/>
    <cellStyle name="Note 2 7 4 5 4" xfId="10310" xr:uid="{00000000-0005-0000-0000-0000293E0000}"/>
    <cellStyle name="Note 2 7 4 5 4 2" xfId="25142" xr:uid="{00000000-0005-0000-0000-00002A3E0000}"/>
    <cellStyle name="Note 2 7 4 5 5" xfId="20655" xr:uid="{00000000-0005-0000-0000-00002B3E0000}"/>
    <cellStyle name="Note 2 7 4 6" xfId="5718" xr:uid="{00000000-0005-0000-0000-00002C3E0000}"/>
    <cellStyle name="Note 2 7 4 6 2" xfId="15953" xr:uid="{00000000-0005-0000-0000-00002D3E0000}"/>
    <cellStyle name="Note 2 7 4 6 2 2" xfId="30785" xr:uid="{00000000-0005-0000-0000-00002E3E0000}"/>
    <cellStyle name="Note 2 7 4 6 3" xfId="22382" xr:uid="{00000000-0005-0000-0000-00002F3E0000}"/>
    <cellStyle name="Note 2 7 4 7" xfId="11973" xr:uid="{00000000-0005-0000-0000-0000303E0000}"/>
    <cellStyle name="Note 2 7 4 7 2" xfId="26805" xr:uid="{00000000-0005-0000-0000-0000313E0000}"/>
    <cellStyle name="Note 2 7 4 8" xfId="9632" xr:uid="{00000000-0005-0000-0000-0000323E0000}"/>
    <cellStyle name="Note 2 7 4 8 2" xfId="19933" xr:uid="{00000000-0005-0000-0000-0000333E0000}"/>
    <cellStyle name="Note 2 7 5" xfId="1616" xr:uid="{00000000-0005-0000-0000-0000343E0000}"/>
    <cellStyle name="Note 2 7 5 2" xfId="2113" xr:uid="{00000000-0005-0000-0000-0000353E0000}"/>
    <cellStyle name="Note 2 7 5 2 2" xfId="3713" xr:uid="{00000000-0005-0000-0000-0000363E0000}"/>
    <cellStyle name="Note 2 7 5 2 2 2" xfId="7769" xr:uid="{00000000-0005-0000-0000-0000373E0000}"/>
    <cellStyle name="Note 2 7 5 2 2 2 2" xfId="17330" xr:uid="{00000000-0005-0000-0000-0000383E0000}"/>
    <cellStyle name="Note 2 7 5 2 2 2 2 2" xfId="32162" xr:uid="{00000000-0005-0000-0000-0000393E0000}"/>
    <cellStyle name="Note 2 7 5 2 2 2 3" xfId="23650" xr:uid="{00000000-0005-0000-0000-00003A3E0000}"/>
    <cellStyle name="Note 2 7 5 2 2 3" xfId="14048" xr:uid="{00000000-0005-0000-0000-00003B3E0000}"/>
    <cellStyle name="Note 2 7 5 2 2 3 2" xfId="28880" xr:uid="{00000000-0005-0000-0000-00003C3E0000}"/>
    <cellStyle name="Note 2 7 5 2 2 4" xfId="10948" xr:uid="{00000000-0005-0000-0000-00003D3E0000}"/>
    <cellStyle name="Note 2 7 5 2 2 4 2" xfId="25780" xr:uid="{00000000-0005-0000-0000-00003E3E0000}"/>
    <cellStyle name="Note 2 7 5 2 2 5" xfId="21310" xr:uid="{00000000-0005-0000-0000-00003F3E0000}"/>
    <cellStyle name="Note 2 7 5 2 3" xfId="5081" xr:uid="{00000000-0005-0000-0000-0000403E0000}"/>
    <cellStyle name="Note 2 7 5 2 3 2" xfId="9120" xr:uid="{00000000-0005-0000-0000-0000413E0000}"/>
    <cellStyle name="Note 2 7 5 2 3 2 2" xfId="18048" xr:uid="{00000000-0005-0000-0000-0000423E0000}"/>
    <cellStyle name="Note 2 7 5 2 3 2 2 2" xfId="32880" xr:uid="{00000000-0005-0000-0000-0000433E0000}"/>
    <cellStyle name="Note 2 7 5 2 3 2 3" xfId="24522" xr:uid="{00000000-0005-0000-0000-0000443E0000}"/>
    <cellStyle name="Note 2 7 5 2 3 3" xfId="15401" xr:uid="{00000000-0005-0000-0000-0000453E0000}"/>
    <cellStyle name="Note 2 7 5 2 3 3 2" xfId="30233" xr:uid="{00000000-0005-0000-0000-0000463E0000}"/>
    <cellStyle name="Note 2 7 5 2 3 4" xfId="11647" xr:uid="{00000000-0005-0000-0000-0000473E0000}"/>
    <cellStyle name="Note 2 7 5 2 3 4 2" xfId="26479" xr:uid="{00000000-0005-0000-0000-0000483E0000}"/>
    <cellStyle name="Note 2 7 5 2 3 5" xfId="22036" xr:uid="{00000000-0005-0000-0000-0000493E0000}"/>
    <cellStyle name="Note 2 7 5 2 4" xfId="3071" xr:uid="{00000000-0005-0000-0000-00004A3E0000}"/>
    <cellStyle name="Note 2 7 5 2 4 2" xfId="7141" xr:uid="{00000000-0005-0000-0000-00004B3E0000}"/>
    <cellStyle name="Note 2 7 5 2 4 2 2" xfId="16938" xr:uid="{00000000-0005-0000-0000-00004C3E0000}"/>
    <cellStyle name="Note 2 7 5 2 4 2 2 2" xfId="31770" xr:uid="{00000000-0005-0000-0000-00004D3E0000}"/>
    <cellStyle name="Note 2 7 5 2 4 2 3" xfId="23249" xr:uid="{00000000-0005-0000-0000-00004E3E0000}"/>
    <cellStyle name="Note 2 7 5 2 4 3" xfId="13409" xr:uid="{00000000-0005-0000-0000-00004F3E0000}"/>
    <cellStyle name="Note 2 7 5 2 4 3 2" xfId="28241" xr:uid="{00000000-0005-0000-0000-0000503E0000}"/>
    <cellStyle name="Note 2 7 5 2 4 4" xfId="10595" xr:uid="{00000000-0005-0000-0000-0000513E0000}"/>
    <cellStyle name="Note 2 7 5 2 4 4 2" xfId="25427" xr:uid="{00000000-0005-0000-0000-0000523E0000}"/>
    <cellStyle name="Note 2 7 5 2 4 5" xfId="20933" xr:uid="{00000000-0005-0000-0000-0000533E0000}"/>
    <cellStyle name="Note 2 7 5 2 5" xfId="6233" xr:uid="{00000000-0005-0000-0000-0000543E0000}"/>
    <cellStyle name="Note 2 7 5 2 5 2" xfId="16418" xr:uid="{00000000-0005-0000-0000-0000553E0000}"/>
    <cellStyle name="Note 2 7 5 2 5 2 2" xfId="31250" xr:uid="{00000000-0005-0000-0000-0000563E0000}"/>
    <cellStyle name="Note 2 7 5 2 5 3" xfId="22700" xr:uid="{00000000-0005-0000-0000-0000573E0000}"/>
    <cellStyle name="Note 2 7 5 2 6" xfId="12488" xr:uid="{00000000-0005-0000-0000-0000583E0000}"/>
    <cellStyle name="Note 2 7 5 2 6 2" xfId="27320" xr:uid="{00000000-0005-0000-0000-0000593E0000}"/>
    <cellStyle name="Note 2 7 5 2 7" xfId="10070" xr:uid="{00000000-0005-0000-0000-00005A3E0000}"/>
    <cellStyle name="Note 2 7 5 2 7 2" xfId="24902" xr:uid="{00000000-0005-0000-0000-00005B3E0000}"/>
    <cellStyle name="Note 2 7 5 2 8" xfId="20379" xr:uid="{00000000-0005-0000-0000-00005C3E0000}"/>
    <cellStyle name="Note 2 7 5 3" xfId="3583" xr:uid="{00000000-0005-0000-0000-00005D3E0000}"/>
    <cellStyle name="Note 2 7 5 3 2" xfId="7645" xr:uid="{00000000-0005-0000-0000-00005E3E0000}"/>
    <cellStyle name="Note 2 7 5 3 2 2" xfId="17269" xr:uid="{00000000-0005-0000-0000-00005F3E0000}"/>
    <cellStyle name="Note 2 7 5 3 2 2 2" xfId="32101" xr:uid="{00000000-0005-0000-0000-0000603E0000}"/>
    <cellStyle name="Note 2 7 5 3 2 3" xfId="23565" xr:uid="{00000000-0005-0000-0000-0000613E0000}"/>
    <cellStyle name="Note 2 7 5 3 3" xfId="13919" xr:uid="{00000000-0005-0000-0000-0000623E0000}"/>
    <cellStyle name="Note 2 7 5 3 3 2" xfId="28751" xr:uid="{00000000-0005-0000-0000-0000633E0000}"/>
    <cellStyle name="Note 2 7 5 3 4" xfId="10886" xr:uid="{00000000-0005-0000-0000-0000643E0000}"/>
    <cellStyle name="Note 2 7 5 3 4 2" xfId="25718" xr:uid="{00000000-0005-0000-0000-0000653E0000}"/>
    <cellStyle name="Note 2 7 5 3 5" xfId="21234" xr:uid="{00000000-0005-0000-0000-0000663E0000}"/>
    <cellStyle name="Note 2 7 5 4" xfId="4661" xr:uid="{00000000-0005-0000-0000-0000673E0000}"/>
    <cellStyle name="Note 2 7 5 4 2" xfId="8700" xr:uid="{00000000-0005-0000-0000-0000683E0000}"/>
    <cellStyle name="Note 2 7 5 4 2 2" xfId="17808" xr:uid="{00000000-0005-0000-0000-0000693E0000}"/>
    <cellStyle name="Note 2 7 5 4 2 2 2" xfId="32640" xr:uid="{00000000-0005-0000-0000-00006A3E0000}"/>
    <cellStyle name="Note 2 7 5 4 2 3" xfId="24262" xr:uid="{00000000-0005-0000-0000-00006B3E0000}"/>
    <cellStyle name="Note 2 7 5 4 3" xfId="14986" xr:uid="{00000000-0005-0000-0000-00006C3E0000}"/>
    <cellStyle name="Note 2 7 5 4 3 2" xfId="29818" xr:uid="{00000000-0005-0000-0000-00006D3E0000}"/>
    <cellStyle name="Note 2 7 5 4 4" xfId="11412" xr:uid="{00000000-0005-0000-0000-00006E3E0000}"/>
    <cellStyle name="Note 2 7 5 4 4 2" xfId="26244" xr:uid="{00000000-0005-0000-0000-00006F3E0000}"/>
    <cellStyle name="Note 2 7 5 4 5" xfId="21806" xr:uid="{00000000-0005-0000-0000-0000703E0000}"/>
    <cellStyle name="Note 2 7 5 5" xfId="2651" xr:uid="{00000000-0005-0000-0000-0000713E0000}"/>
    <cellStyle name="Note 2 7 5 5 2" xfId="6747" xr:uid="{00000000-0005-0000-0000-0000723E0000}"/>
    <cellStyle name="Note 2 7 5 5 2 2" xfId="16703" xr:uid="{00000000-0005-0000-0000-0000733E0000}"/>
    <cellStyle name="Note 2 7 5 5 2 2 2" xfId="31535" xr:uid="{00000000-0005-0000-0000-0000743E0000}"/>
    <cellStyle name="Note 2 7 5 5 2 3" xfId="23019" xr:uid="{00000000-0005-0000-0000-0000753E0000}"/>
    <cellStyle name="Note 2 7 5 5 3" xfId="12989" xr:uid="{00000000-0005-0000-0000-0000763E0000}"/>
    <cellStyle name="Note 2 7 5 5 3 2" xfId="27821" xr:uid="{00000000-0005-0000-0000-0000773E0000}"/>
    <cellStyle name="Note 2 7 5 5 4" xfId="10355" xr:uid="{00000000-0005-0000-0000-0000783E0000}"/>
    <cellStyle name="Note 2 7 5 5 4 2" xfId="25187" xr:uid="{00000000-0005-0000-0000-0000793E0000}"/>
    <cellStyle name="Note 2 7 5 5 5" xfId="20673" xr:uid="{00000000-0005-0000-0000-00007A3E0000}"/>
    <cellStyle name="Note 2 7 5 6" xfId="5763" xr:uid="{00000000-0005-0000-0000-00007B3E0000}"/>
    <cellStyle name="Note 2 7 5 6 2" xfId="15997" xr:uid="{00000000-0005-0000-0000-00007C3E0000}"/>
    <cellStyle name="Note 2 7 5 6 2 2" xfId="30829" xr:uid="{00000000-0005-0000-0000-00007D3E0000}"/>
    <cellStyle name="Note 2 7 5 6 3" xfId="22394" xr:uid="{00000000-0005-0000-0000-00007E3E0000}"/>
    <cellStyle name="Note 2 7 5 7" xfId="12017" xr:uid="{00000000-0005-0000-0000-00007F3E0000}"/>
    <cellStyle name="Note 2 7 5 7 2" xfId="26849" xr:uid="{00000000-0005-0000-0000-0000803E0000}"/>
    <cellStyle name="Note 2 7 5 8" xfId="9677" xr:uid="{00000000-0005-0000-0000-0000813E0000}"/>
    <cellStyle name="Note 2 7 5 8 2" xfId="19977" xr:uid="{00000000-0005-0000-0000-0000823E0000}"/>
    <cellStyle name="Note 2 7 6" xfId="1767" xr:uid="{00000000-0005-0000-0000-0000833E0000}"/>
    <cellStyle name="Note 2 7 6 2" xfId="3373" xr:uid="{00000000-0005-0000-0000-0000843E0000}"/>
    <cellStyle name="Note 2 7 6 2 2" xfId="7436" xr:uid="{00000000-0005-0000-0000-0000853E0000}"/>
    <cellStyle name="Note 2 7 6 2 2 2" xfId="17145" xr:uid="{00000000-0005-0000-0000-0000863E0000}"/>
    <cellStyle name="Note 2 7 6 2 2 2 2" xfId="31977" xr:uid="{00000000-0005-0000-0000-0000873E0000}"/>
    <cellStyle name="Note 2 7 6 2 2 3" xfId="23434" xr:uid="{00000000-0005-0000-0000-0000883E0000}"/>
    <cellStyle name="Note 2 7 6 2 3" xfId="13710" xr:uid="{00000000-0005-0000-0000-0000893E0000}"/>
    <cellStyle name="Note 2 7 6 2 3 2" xfId="28542" xr:uid="{00000000-0005-0000-0000-00008A3E0000}"/>
    <cellStyle name="Note 2 7 6 2 4" xfId="10764" xr:uid="{00000000-0005-0000-0000-00008B3E0000}"/>
    <cellStyle name="Note 2 7 6 2 4 2" xfId="25596" xr:uid="{00000000-0005-0000-0000-00008C3E0000}"/>
    <cellStyle name="Note 2 7 6 2 5" xfId="21116" xr:uid="{00000000-0005-0000-0000-00008D3E0000}"/>
    <cellStyle name="Note 2 7 6 3" xfId="4745" xr:uid="{00000000-0005-0000-0000-00008E3E0000}"/>
    <cellStyle name="Note 2 7 6 3 2" xfId="8784" xr:uid="{00000000-0005-0000-0000-00008F3E0000}"/>
    <cellStyle name="Note 2 7 6 3 2 2" xfId="17856" xr:uid="{00000000-0005-0000-0000-0000903E0000}"/>
    <cellStyle name="Note 2 7 6 3 2 2 2" xfId="32688" xr:uid="{00000000-0005-0000-0000-0000913E0000}"/>
    <cellStyle name="Note 2 7 6 3 2 3" xfId="24314" xr:uid="{00000000-0005-0000-0000-0000923E0000}"/>
    <cellStyle name="Note 2 7 6 3 3" xfId="15069" xr:uid="{00000000-0005-0000-0000-0000933E0000}"/>
    <cellStyle name="Note 2 7 6 3 3 2" xfId="29901" xr:uid="{00000000-0005-0000-0000-0000943E0000}"/>
    <cellStyle name="Note 2 7 6 3 4" xfId="11459" xr:uid="{00000000-0005-0000-0000-0000953E0000}"/>
    <cellStyle name="Note 2 7 6 3 4 2" xfId="26291" xr:uid="{00000000-0005-0000-0000-0000963E0000}"/>
    <cellStyle name="Note 2 7 6 3 5" xfId="21852" xr:uid="{00000000-0005-0000-0000-0000973E0000}"/>
    <cellStyle name="Note 2 7 6 4" xfId="2735" xr:uid="{00000000-0005-0000-0000-0000983E0000}"/>
    <cellStyle name="Note 2 7 6 4 2" xfId="6826" xr:uid="{00000000-0005-0000-0000-0000993E0000}"/>
    <cellStyle name="Note 2 7 6 4 2 2" xfId="16750" xr:uid="{00000000-0005-0000-0000-00009A3E0000}"/>
    <cellStyle name="Note 2 7 6 4 2 2 2" xfId="31582" xr:uid="{00000000-0005-0000-0000-00009B3E0000}"/>
    <cellStyle name="Note 2 7 6 4 2 3" xfId="23065" xr:uid="{00000000-0005-0000-0000-00009C3E0000}"/>
    <cellStyle name="Note 2 7 6 4 3" xfId="13073" xr:uid="{00000000-0005-0000-0000-00009D3E0000}"/>
    <cellStyle name="Note 2 7 6 4 3 2" xfId="27905" xr:uid="{00000000-0005-0000-0000-00009E3E0000}"/>
    <cellStyle name="Note 2 7 6 4 4" xfId="10403" xr:uid="{00000000-0005-0000-0000-00009F3E0000}"/>
    <cellStyle name="Note 2 7 6 4 4 2" xfId="25235" xr:uid="{00000000-0005-0000-0000-0000A03E0000}"/>
    <cellStyle name="Note 2 7 6 4 5" xfId="20725" xr:uid="{00000000-0005-0000-0000-0000A13E0000}"/>
    <cellStyle name="Note 2 7 6 5" xfId="5899" xr:uid="{00000000-0005-0000-0000-0000A23E0000}"/>
    <cellStyle name="Note 2 7 6 5 2" xfId="16091" xr:uid="{00000000-0005-0000-0000-0000A33E0000}"/>
    <cellStyle name="Note 2 7 6 5 2 2" xfId="30923" xr:uid="{00000000-0005-0000-0000-0000A43E0000}"/>
    <cellStyle name="Note 2 7 6 5 3" xfId="22496" xr:uid="{00000000-0005-0000-0000-0000A53E0000}"/>
    <cellStyle name="Note 2 7 6 6" xfId="12161" xr:uid="{00000000-0005-0000-0000-0000A63E0000}"/>
    <cellStyle name="Note 2 7 6 6 2" xfId="26993" xr:uid="{00000000-0005-0000-0000-0000A73E0000}"/>
    <cellStyle name="Note 2 7 6 7" xfId="9757" xr:uid="{00000000-0005-0000-0000-0000A83E0000}"/>
    <cellStyle name="Note 2 7 6 7 2" xfId="24714" xr:uid="{00000000-0005-0000-0000-0000A93E0000}"/>
    <cellStyle name="Note 2 7 6 8" xfId="20304" xr:uid="{00000000-0005-0000-0000-0000AA3E0000}"/>
    <cellStyle name="Note 2 7 7" xfId="2199" xr:uid="{00000000-0005-0000-0000-0000AB3E0000}"/>
    <cellStyle name="Note 2 7 7 2" xfId="3442" xr:uid="{00000000-0005-0000-0000-0000AC3E0000}"/>
    <cellStyle name="Note 2 7 7 2 2" xfId="7505" xr:uid="{00000000-0005-0000-0000-0000AD3E0000}"/>
    <cellStyle name="Note 2 7 7 2 2 2" xfId="17192" xr:uid="{00000000-0005-0000-0000-0000AE3E0000}"/>
    <cellStyle name="Note 2 7 7 2 2 2 2" xfId="32024" xr:uid="{00000000-0005-0000-0000-0000AF3E0000}"/>
    <cellStyle name="Note 2 7 7 2 2 3" xfId="23478" xr:uid="{00000000-0005-0000-0000-0000B03E0000}"/>
    <cellStyle name="Note 2 7 7 2 3" xfId="13779" xr:uid="{00000000-0005-0000-0000-0000B13E0000}"/>
    <cellStyle name="Note 2 7 7 2 3 2" xfId="28611" xr:uid="{00000000-0005-0000-0000-0000B23E0000}"/>
    <cellStyle name="Note 2 7 7 2 4" xfId="10811" xr:uid="{00000000-0005-0000-0000-0000B33E0000}"/>
    <cellStyle name="Note 2 7 7 2 4 2" xfId="25643" xr:uid="{00000000-0005-0000-0000-0000B43E0000}"/>
    <cellStyle name="Note 2 7 7 2 5" xfId="21154" xr:uid="{00000000-0005-0000-0000-0000B53E0000}"/>
    <cellStyle name="Note 2 7 7 3" xfId="5167" xr:uid="{00000000-0005-0000-0000-0000B63E0000}"/>
    <cellStyle name="Note 2 7 7 3 2" xfId="9206" xr:uid="{00000000-0005-0000-0000-0000B73E0000}"/>
    <cellStyle name="Note 2 7 7 3 2 2" xfId="18129" xr:uid="{00000000-0005-0000-0000-0000B83E0000}"/>
    <cellStyle name="Note 2 7 7 3 2 2 2" xfId="32961" xr:uid="{00000000-0005-0000-0000-0000B93E0000}"/>
    <cellStyle name="Note 2 7 7 3 2 3" xfId="24544" xr:uid="{00000000-0005-0000-0000-0000BA3E0000}"/>
    <cellStyle name="Note 2 7 7 3 3" xfId="15485" xr:uid="{00000000-0005-0000-0000-0000BB3E0000}"/>
    <cellStyle name="Note 2 7 7 3 3 2" xfId="30317" xr:uid="{00000000-0005-0000-0000-0000BC3E0000}"/>
    <cellStyle name="Note 2 7 7 3 4" xfId="11726" xr:uid="{00000000-0005-0000-0000-0000BD3E0000}"/>
    <cellStyle name="Note 2 7 7 3 4 2" xfId="26558" xr:uid="{00000000-0005-0000-0000-0000BE3E0000}"/>
    <cellStyle name="Note 2 7 7 3 5" xfId="22051" xr:uid="{00000000-0005-0000-0000-0000BF3E0000}"/>
    <cellStyle name="Note 2 7 7 4" xfId="4197" xr:uid="{00000000-0005-0000-0000-0000C03E0000}"/>
    <cellStyle name="Note 2 7 7 4 2" xfId="8238" xr:uid="{00000000-0005-0000-0000-0000C13E0000}"/>
    <cellStyle name="Note 2 7 7 4 2 2" xfId="17585" xr:uid="{00000000-0005-0000-0000-0000C23E0000}"/>
    <cellStyle name="Note 2 7 7 4 2 2 2" xfId="32417" xr:uid="{00000000-0005-0000-0000-0000C33E0000}"/>
    <cellStyle name="Note 2 7 7 4 2 3" xfId="23933" xr:uid="{00000000-0005-0000-0000-0000C43E0000}"/>
    <cellStyle name="Note 2 7 7 4 3" xfId="14529" xr:uid="{00000000-0005-0000-0000-0000C53E0000}"/>
    <cellStyle name="Note 2 7 7 4 3 2" xfId="29361" xr:uid="{00000000-0005-0000-0000-0000C63E0000}"/>
    <cellStyle name="Note 2 7 7 4 4" xfId="11205" xr:uid="{00000000-0005-0000-0000-0000C73E0000}"/>
    <cellStyle name="Note 2 7 7 4 4 2" xfId="26037" xr:uid="{00000000-0005-0000-0000-0000C83E0000}"/>
    <cellStyle name="Note 2 7 7 4 5" xfId="21558" xr:uid="{00000000-0005-0000-0000-0000C93E0000}"/>
    <cellStyle name="Note 2 7 7 5" xfId="6313" xr:uid="{00000000-0005-0000-0000-0000CA3E0000}"/>
    <cellStyle name="Note 2 7 7 5 2" xfId="16497" xr:uid="{00000000-0005-0000-0000-0000CB3E0000}"/>
    <cellStyle name="Note 2 7 7 5 2 2" xfId="31329" xr:uid="{00000000-0005-0000-0000-0000CC3E0000}"/>
    <cellStyle name="Note 2 7 7 5 3" xfId="22715" xr:uid="{00000000-0005-0000-0000-0000CD3E0000}"/>
    <cellStyle name="Note 2 7 7 6" xfId="12567" xr:uid="{00000000-0005-0000-0000-0000CE3E0000}"/>
    <cellStyle name="Note 2 7 7 6 2" xfId="27399" xr:uid="{00000000-0005-0000-0000-0000CF3E0000}"/>
    <cellStyle name="Note 2 7 7 7" xfId="10149" xr:uid="{00000000-0005-0000-0000-0000D03E0000}"/>
    <cellStyle name="Note 2 7 7 7 2" xfId="24981" xr:uid="{00000000-0005-0000-0000-0000D13E0000}"/>
    <cellStyle name="Note 2 7 7 8" xfId="20394" xr:uid="{00000000-0005-0000-0000-0000D23E0000}"/>
    <cellStyle name="Note 2 7 8" xfId="3918" xr:uid="{00000000-0005-0000-0000-0000D33E0000}"/>
    <cellStyle name="Note 2 7 8 2" xfId="7969" xr:uid="{00000000-0005-0000-0000-0000D43E0000}"/>
    <cellStyle name="Note 2 7 8 2 2" xfId="17430" xr:uid="{00000000-0005-0000-0000-0000D53E0000}"/>
    <cellStyle name="Note 2 7 8 2 2 2" xfId="32262" xr:uid="{00000000-0005-0000-0000-0000D63E0000}"/>
    <cellStyle name="Note 2 7 8 2 3" xfId="23777" xr:uid="{00000000-0005-0000-0000-0000D73E0000}"/>
    <cellStyle name="Note 2 7 8 3" xfId="14251" xr:uid="{00000000-0005-0000-0000-0000D83E0000}"/>
    <cellStyle name="Note 2 7 8 3 2" xfId="29083" xr:uid="{00000000-0005-0000-0000-0000D93E0000}"/>
    <cellStyle name="Note 2 7 8 4" xfId="11046" xr:uid="{00000000-0005-0000-0000-0000DA3E0000}"/>
    <cellStyle name="Note 2 7 8 4 2" xfId="25878" xr:uid="{00000000-0005-0000-0000-0000DB3E0000}"/>
    <cellStyle name="Note 2 7 8 5" xfId="21418" xr:uid="{00000000-0005-0000-0000-0000DC3E0000}"/>
    <cellStyle name="Note 2 7 9" xfId="4294" xr:uid="{00000000-0005-0000-0000-0000DD3E0000}"/>
    <cellStyle name="Note 2 7 9 2" xfId="8333" xr:uid="{00000000-0005-0000-0000-0000DE3E0000}"/>
    <cellStyle name="Note 2 7 9 2 2" xfId="17613" xr:uid="{00000000-0005-0000-0000-0000DF3E0000}"/>
    <cellStyle name="Note 2 7 9 2 2 2" xfId="32445" xr:uid="{00000000-0005-0000-0000-0000E03E0000}"/>
    <cellStyle name="Note 2 7 9 2 3" xfId="24021" xr:uid="{00000000-0005-0000-0000-0000E13E0000}"/>
    <cellStyle name="Note 2 7 9 3" xfId="14625" xr:uid="{00000000-0005-0000-0000-0000E23E0000}"/>
    <cellStyle name="Note 2 7 9 3 2" xfId="29457" xr:uid="{00000000-0005-0000-0000-0000E33E0000}"/>
    <cellStyle name="Note 2 7 9 4" xfId="11226" xr:uid="{00000000-0005-0000-0000-0000E43E0000}"/>
    <cellStyle name="Note 2 7 9 4 2" xfId="26058" xr:uid="{00000000-0005-0000-0000-0000E53E0000}"/>
    <cellStyle name="Note 2 7 9 5" xfId="21618" xr:uid="{00000000-0005-0000-0000-0000E63E0000}"/>
    <cellStyle name="Note 2 8" xfId="1223" xr:uid="{00000000-0005-0000-0000-0000E73E0000}"/>
    <cellStyle name="Note 2 8 10" xfId="2309" xr:uid="{00000000-0005-0000-0000-0000E83E0000}"/>
    <cellStyle name="Note 2 8 10 2" xfId="6421" xr:uid="{00000000-0005-0000-0000-0000E93E0000}"/>
    <cellStyle name="Note 2 8 10 2 2" xfId="16514" xr:uid="{00000000-0005-0000-0000-0000EA3E0000}"/>
    <cellStyle name="Note 2 8 10 2 2 2" xfId="31346" xr:uid="{00000000-0005-0000-0000-0000EB3E0000}"/>
    <cellStyle name="Note 2 8 10 2 3" xfId="22823" xr:uid="{00000000-0005-0000-0000-0000EC3E0000}"/>
    <cellStyle name="Note 2 8 10 3" xfId="12649" xr:uid="{00000000-0005-0000-0000-0000ED3E0000}"/>
    <cellStyle name="Note 2 8 10 3 2" xfId="27481" xr:uid="{00000000-0005-0000-0000-0000EE3E0000}"/>
    <cellStyle name="Note 2 8 10 4" xfId="10165" xr:uid="{00000000-0005-0000-0000-0000EF3E0000}"/>
    <cellStyle name="Note 2 8 10 4 2" xfId="24997" xr:uid="{00000000-0005-0000-0000-0000F03E0000}"/>
    <cellStyle name="Note 2 8 10 5" xfId="20472" xr:uid="{00000000-0005-0000-0000-0000F13E0000}"/>
    <cellStyle name="Note 2 8 11" xfId="5272" xr:uid="{00000000-0005-0000-0000-0000F23E0000}"/>
    <cellStyle name="Note 2 8 11 2" xfId="9280" xr:uid="{00000000-0005-0000-0000-0000F33E0000}"/>
    <cellStyle name="Note 2 8 11 2 2" xfId="18147" xr:uid="{00000000-0005-0000-0000-0000F43E0000}"/>
    <cellStyle name="Note 2 8 11 2 2 2" xfId="32979" xr:uid="{00000000-0005-0000-0000-0000F53E0000}"/>
    <cellStyle name="Note 2 8 11 2 3" xfId="24618" xr:uid="{00000000-0005-0000-0000-0000F63E0000}"/>
    <cellStyle name="Note 2 8 11 3" xfId="15588" xr:uid="{00000000-0005-0000-0000-0000F73E0000}"/>
    <cellStyle name="Note 2 8 11 3 2" xfId="30420" xr:uid="{00000000-0005-0000-0000-0000F83E0000}"/>
    <cellStyle name="Note 2 8 11 4" xfId="22129" xr:uid="{00000000-0005-0000-0000-0000F93E0000}"/>
    <cellStyle name="Note 2 8 12" xfId="5430" xr:uid="{00000000-0005-0000-0000-0000FA3E0000}"/>
    <cellStyle name="Note 2 8 12 2" xfId="15666" xr:uid="{00000000-0005-0000-0000-0000FB3E0000}"/>
    <cellStyle name="Note 2 8 12 2 2" xfId="30498" xr:uid="{00000000-0005-0000-0000-0000FC3E0000}"/>
    <cellStyle name="Note 2 8 12 3" xfId="22191" xr:uid="{00000000-0005-0000-0000-0000FD3E0000}"/>
    <cellStyle name="Note 2 8 13" xfId="9361" xr:uid="{00000000-0005-0000-0000-0000FE3E0000}"/>
    <cellStyle name="Note 2 8 13 2" xfId="24667" xr:uid="{00000000-0005-0000-0000-0000FF3E0000}"/>
    <cellStyle name="Note 2 8 14" xfId="5350" xr:uid="{00000000-0005-0000-0000-0000003F0000}"/>
    <cellStyle name="Note 2 8 14 2" xfId="18224" xr:uid="{00000000-0005-0000-0000-0000013F0000}"/>
    <cellStyle name="Note 2 8 2" xfId="1342" xr:uid="{00000000-0005-0000-0000-0000023F0000}"/>
    <cellStyle name="Note 2 8 2 2" xfId="1846" xr:uid="{00000000-0005-0000-0000-0000033F0000}"/>
    <cellStyle name="Note 2 8 2 2 2" xfId="3941" xr:uid="{00000000-0005-0000-0000-0000043F0000}"/>
    <cellStyle name="Note 2 8 2 2 2 2" xfId="7991" xr:uid="{00000000-0005-0000-0000-0000053F0000}"/>
    <cellStyle name="Note 2 8 2 2 2 2 2" xfId="17441" xr:uid="{00000000-0005-0000-0000-0000063F0000}"/>
    <cellStyle name="Note 2 8 2 2 2 2 2 2" xfId="32273" xr:uid="{00000000-0005-0000-0000-0000073F0000}"/>
    <cellStyle name="Note 2 8 2 2 2 2 3" xfId="23792" xr:uid="{00000000-0005-0000-0000-0000083F0000}"/>
    <cellStyle name="Note 2 8 2 2 2 3" xfId="14274" xr:uid="{00000000-0005-0000-0000-0000093F0000}"/>
    <cellStyle name="Note 2 8 2 2 2 3 2" xfId="29106" xr:uid="{00000000-0005-0000-0000-00000A3F0000}"/>
    <cellStyle name="Note 2 8 2 2 2 4" xfId="11056" xr:uid="{00000000-0005-0000-0000-00000B3F0000}"/>
    <cellStyle name="Note 2 8 2 2 2 4 2" xfId="25888" xr:uid="{00000000-0005-0000-0000-00000C3F0000}"/>
    <cellStyle name="Note 2 8 2 2 2 5" xfId="21434" xr:uid="{00000000-0005-0000-0000-00000D3F0000}"/>
    <cellStyle name="Note 2 8 2 2 3" xfId="4824" xr:uid="{00000000-0005-0000-0000-00000E3F0000}"/>
    <cellStyle name="Note 2 8 2 2 3 2" xfId="8863" xr:uid="{00000000-0005-0000-0000-00000F3F0000}"/>
    <cellStyle name="Note 2 8 2 2 3 2 2" xfId="17904" xr:uid="{00000000-0005-0000-0000-0000103F0000}"/>
    <cellStyle name="Note 2 8 2 2 3 2 2 2" xfId="32736" xr:uid="{00000000-0005-0000-0000-0000113F0000}"/>
    <cellStyle name="Note 2 8 2 2 3 2 3" xfId="24361" xr:uid="{00000000-0005-0000-0000-0000123F0000}"/>
    <cellStyle name="Note 2 8 2 2 3 3" xfId="15148" xr:uid="{00000000-0005-0000-0000-0000133F0000}"/>
    <cellStyle name="Note 2 8 2 2 3 3 2" xfId="29980" xr:uid="{00000000-0005-0000-0000-0000143F0000}"/>
    <cellStyle name="Note 2 8 2 2 3 4" xfId="11507" xr:uid="{00000000-0005-0000-0000-0000153F0000}"/>
    <cellStyle name="Note 2 8 2 2 3 4 2" xfId="26339" xr:uid="{00000000-0005-0000-0000-0000163F0000}"/>
    <cellStyle name="Note 2 8 2 2 3 5" xfId="21899" xr:uid="{00000000-0005-0000-0000-0000173F0000}"/>
    <cellStyle name="Note 2 8 2 2 4" xfId="2814" xr:uid="{00000000-0005-0000-0000-0000183F0000}"/>
    <cellStyle name="Note 2 8 2 2 4 2" xfId="6905" xr:uid="{00000000-0005-0000-0000-0000193F0000}"/>
    <cellStyle name="Note 2 8 2 2 4 2 2" xfId="16798" xr:uid="{00000000-0005-0000-0000-00001A3F0000}"/>
    <cellStyle name="Note 2 8 2 2 4 2 2 2" xfId="31630" xr:uid="{00000000-0005-0000-0000-00001B3F0000}"/>
    <cellStyle name="Note 2 8 2 2 4 2 3" xfId="23112" xr:uid="{00000000-0005-0000-0000-00001C3F0000}"/>
    <cellStyle name="Note 2 8 2 2 4 3" xfId="13152" xr:uid="{00000000-0005-0000-0000-00001D3F0000}"/>
    <cellStyle name="Note 2 8 2 2 4 3 2" xfId="27984" xr:uid="{00000000-0005-0000-0000-00001E3F0000}"/>
    <cellStyle name="Note 2 8 2 2 4 4" xfId="10451" xr:uid="{00000000-0005-0000-0000-00001F3F0000}"/>
    <cellStyle name="Note 2 8 2 2 4 4 2" xfId="25283" xr:uid="{00000000-0005-0000-0000-0000203F0000}"/>
    <cellStyle name="Note 2 8 2 2 4 5" xfId="20772" xr:uid="{00000000-0005-0000-0000-0000213F0000}"/>
    <cellStyle name="Note 2 8 2 2 5" xfId="5978" xr:uid="{00000000-0005-0000-0000-0000223F0000}"/>
    <cellStyle name="Note 2 8 2 2 5 2" xfId="16170" xr:uid="{00000000-0005-0000-0000-0000233F0000}"/>
    <cellStyle name="Note 2 8 2 2 5 2 2" xfId="31002" xr:uid="{00000000-0005-0000-0000-0000243F0000}"/>
    <cellStyle name="Note 2 8 2 2 5 3" xfId="22543" xr:uid="{00000000-0005-0000-0000-0000253F0000}"/>
    <cellStyle name="Note 2 8 2 2 6" xfId="12240" xr:uid="{00000000-0005-0000-0000-0000263F0000}"/>
    <cellStyle name="Note 2 8 2 2 6 2" xfId="27072" xr:uid="{00000000-0005-0000-0000-0000273F0000}"/>
    <cellStyle name="Note 2 8 2 2 7" xfId="9836" xr:uid="{00000000-0005-0000-0000-0000283F0000}"/>
    <cellStyle name="Note 2 8 2 2 7 2" xfId="24762" xr:uid="{00000000-0005-0000-0000-0000293F0000}"/>
    <cellStyle name="Note 2 8 2 2 8" xfId="20320" xr:uid="{00000000-0005-0000-0000-00002A3F0000}"/>
    <cellStyle name="Note 2 8 2 3" xfId="3321" xr:uid="{00000000-0005-0000-0000-00002B3F0000}"/>
    <cellStyle name="Note 2 8 2 3 2" xfId="7384" xr:uid="{00000000-0005-0000-0000-00002C3F0000}"/>
    <cellStyle name="Note 2 8 2 3 2 2" xfId="17118" xr:uid="{00000000-0005-0000-0000-00002D3F0000}"/>
    <cellStyle name="Note 2 8 2 3 2 2 2" xfId="31950" xr:uid="{00000000-0005-0000-0000-00002E3F0000}"/>
    <cellStyle name="Note 2 8 2 3 2 3" xfId="23397" xr:uid="{00000000-0005-0000-0000-00002F3F0000}"/>
    <cellStyle name="Note 2 8 2 3 3" xfId="13658" xr:uid="{00000000-0005-0000-0000-0000303F0000}"/>
    <cellStyle name="Note 2 8 2 3 3 2" xfId="28490" xr:uid="{00000000-0005-0000-0000-0000313F0000}"/>
    <cellStyle name="Note 2 8 2 3 4" xfId="10739" xr:uid="{00000000-0005-0000-0000-0000323F0000}"/>
    <cellStyle name="Note 2 8 2 3 4 2" xfId="25571" xr:uid="{00000000-0005-0000-0000-0000333F0000}"/>
    <cellStyle name="Note 2 8 2 3 5" xfId="21085" xr:uid="{00000000-0005-0000-0000-0000343F0000}"/>
    <cellStyle name="Note 2 8 2 4" xfId="4404" xr:uid="{00000000-0005-0000-0000-0000353F0000}"/>
    <cellStyle name="Note 2 8 2 4 2" xfId="8443" xr:uid="{00000000-0005-0000-0000-0000363F0000}"/>
    <cellStyle name="Note 2 8 2 4 2 2" xfId="17664" xr:uid="{00000000-0005-0000-0000-0000373F0000}"/>
    <cellStyle name="Note 2 8 2 4 2 2 2" xfId="32496" xr:uid="{00000000-0005-0000-0000-0000383F0000}"/>
    <cellStyle name="Note 2 8 2 4 2 3" xfId="24101" xr:uid="{00000000-0005-0000-0000-0000393F0000}"/>
    <cellStyle name="Note 2 8 2 4 3" xfId="14733" xr:uid="{00000000-0005-0000-0000-00003A3F0000}"/>
    <cellStyle name="Note 2 8 2 4 3 2" xfId="29565" xr:uid="{00000000-0005-0000-0000-00003B3F0000}"/>
    <cellStyle name="Note 2 8 2 4 4" xfId="11272" xr:uid="{00000000-0005-0000-0000-00003C3F0000}"/>
    <cellStyle name="Note 2 8 2 4 4 2" xfId="26104" xr:uid="{00000000-0005-0000-0000-00003D3F0000}"/>
    <cellStyle name="Note 2 8 2 4 5" xfId="21669" xr:uid="{00000000-0005-0000-0000-00003E3F0000}"/>
    <cellStyle name="Note 2 8 2 5" xfId="2394" xr:uid="{00000000-0005-0000-0000-00003F3F0000}"/>
    <cellStyle name="Note 2 8 2 5 2" xfId="6506" xr:uid="{00000000-0005-0000-0000-0000403F0000}"/>
    <cellStyle name="Note 2 8 2 5 2 2" xfId="16562" xr:uid="{00000000-0005-0000-0000-0000413F0000}"/>
    <cellStyle name="Note 2 8 2 5 2 2 2" xfId="31394" xr:uid="{00000000-0005-0000-0000-0000423F0000}"/>
    <cellStyle name="Note 2 8 2 5 2 3" xfId="22876" xr:uid="{00000000-0005-0000-0000-0000433F0000}"/>
    <cellStyle name="Note 2 8 2 5 3" xfId="12733" xr:uid="{00000000-0005-0000-0000-0000443F0000}"/>
    <cellStyle name="Note 2 8 2 5 3 2" xfId="27565" xr:uid="{00000000-0005-0000-0000-0000453F0000}"/>
    <cellStyle name="Note 2 8 2 5 4" xfId="10212" xr:uid="{00000000-0005-0000-0000-0000463F0000}"/>
    <cellStyle name="Note 2 8 2 5 4 2" xfId="25044" xr:uid="{00000000-0005-0000-0000-0000473F0000}"/>
    <cellStyle name="Note 2 8 2 5 5" xfId="20518" xr:uid="{00000000-0005-0000-0000-0000483F0000}"/>
    <cellStyle name="Note 2 8 2 6" xfId="5519" xr:uid="{00000000-0005-0000-0000-0000493F0000}"/>
    <cellStyle name="Note 2 8 2 6 2" xfId="15754" xr:uid="{00000000-0005-0000-0000-00004A3F0000}"/>
    <cellStyle name="Note 2 8 2 6 2 2" xfId="30586" xr:uid="{00000000-0005-0000-0000-00004B3F0000}"/>
    <cellStyle name="Note 2 8 2 6 3" xfId="22247" xr:uid="{00000000-0005-0000-0000-00004C3F0000}"/>
    <cellStyle name="Note 2 8 2 7" xfId="11769" xr:uid="{00000000-0005-0000-0000-00004D3F0000}"/>
    <cellStyle name="Note 2 8 2 7 2" xfId="26601" xr:uid="{00000000-0005-0000-0000-00004E3F0000}"/>
    <cellStyle name="Note 2 8 2 8" xfId="9440" xr:uid="{00000000-0005-0000-0000-00004F3F0000}"/>
    <cellStyle name="Note 2 8 2 8 2" xfId="19744" xr:uid="{00000000-0005-0000-0000-0000503F0000}"/>
    <cellStyle name="Note 2 8 3" xfId="1512" xr:uid="{00000000-0005-0000-0000-0000513F0000}"/>
    <cellStyle name="Note 2 8 3 2" xfId="2009" xr:uid="{00000000-0005-0000-0000-0000523F0000}"/>
    <cellStyle name="Note 2 8 3 2 2" xfId="3389" xr:uid="{00000000-0005-0000-0000-0000533F0000}"/>
    <cellStyle name="Note 2 8 3 2 2 2" xfId="7452" xr:uid="{00000000-0005-0000-0000-0000543F0000}"/>
    <cellStyle name="Note 2 8 3 2 2 2 2" xfId="17156" xr:uid="{00000000-0005-0000-0000-0000553F0000}"/>
    <cellStyle name="Note 2 8 3 2 2 2 2 2" xfId="31988" xr:uid="{00000000-0005-0000-0000-0000563F0000}"/>
    <cellStyle name="Note 2 8 3 2 2 2 3" xfId="23444" xr:uid="{00000000-0005-0000-0000-0000573F0000}"/>
    <cellStyle name="Note 2 8 3 2 2 3" xfId="13726" xr:uid="{00000000-0005-0000-0000-0000583F0000}"/>
    <cellStyle name="Note 2 8 3 2 2 3 2" xfId="28558" xr:uid="{00000000-0005-0000-0000-0000593F0000}"/>
    <cellStyle name="Note 2 8 3 2 2 4" xfId="10775" xr:uid="{00000000-0005-0000-0000-00005A3F0000}"/>
    <cellStyle name="Note 2 8 3 2 2 4 2" xfId="25607" xr:uid="{00000000-0005-0000-0000-00005B3F0000}"/>
    <cellStyle name="Note 2 8 3 2 2 5" xfId="21126" xr:uid="{00000000-0005-0000-0000-00005C3F0000}"/>
    <cellStyle name="Note 2 8 3 2 3" xfId="4977" xr:uid="{00000000-0005-0000-0000-00005D3F0000}"/>
    <cellStyle name="Note 2 8 3 2 3 2" xfId="9016" xr:uid="{00000000-0005-0000-0000-00005E3F0000}"/>
    <cellStyle name="Note 2 8 3 2 3 2 2" xfId="17954" xr:uid="{00000000-0005-0000-0000-00005F3F0000}"/>
    <cellStyle name="Note 2 8 3 2 3 2 2 2" xfId="32786" xr:uid="{00000000-0005-0000-0000-0000603F0000}"/>
    <cellStyle name="Note 2 8 3 2 3 2 3" xfId="24482" xr:uid="{00000000-0005-0000-0000-0000613F0000}"/>
    <cellStyle name="Note 2 8 3 2 3 3" xfId="15299" xr:uid="{00000000-0005-0000-0000-0000623F0000}"/>
    <cellStyle name="Note 2 8 3 2 3 3 2" xfId="30131" xr:uid="{00000000-0005-0000-0000-0000633F0000}"/>
    <cellStyle name="Note 2 8 3 2 3 4" xfId="11555" xr:uid="{00000000-0005-0000-0000-0000643F0000}"/>
    <cellStyle name="Note 2 8 3 2 3 4 2" xfId="26387" xr:uid="{00000000-0005-0000-0000-0000653F0000}"/>
    <cellStyle name="Note 2 8 3 2 3 5" xfId="22008" xr:uid="{00000000-0005-0000-0000-0000663F0000}"/>
    <cellStyle name="Note 2 8 3 2 4" xfId="2967" xr:uid="{00000000-0005-0000-0000-0000673F0000}"/>
    <cellStyle name="Note 2 8 3 2 4 2" xfId="7047" xr:uid="{00000000-0005-0000-0000-0000683F0000}"/>
    <cellStyle name="Note 2 8 3 2 4 2 2" xfId="16846" xr:uid="{00000000-0005-0000-0000-0000693F0000}"/>
    <cellStyle name="Note 2 8 3 2 4 2 2 2" xfId="31678" xr:uid="{00000000-0005-0000-0000-00006A3F0000}"/>
    <cellStyle name="Note 2 8 3 2 4 2 3" xfId="23221" xr:uid="{00000000-0005-0000-0000-00006B3F0000}"/>
    <cellStyle name="Note 2 8 3 2 4 3" xfId="13305" xr:uid="{00000000-0005-0000-0000-00006C3F0000}"/>
    <cellStyle name="Note 2 8 3 2 4 3 2" xfId="28137" xr:uid="{00000000-0005-0000-0000-00006D3F0000}"/>
    <cellStyle name="Note 2 8 3 2 4 4" xfId="10501" xr:uid="{00000000-0005-0000-0000-00006E3F0000}"/>
    <cellStyle name="Note 2 8 3 2 4 4 2" xfId="25333" xr:uid="{00000000-0005-0000-0000-00006F3F0000}"/>
    <cellStyle name="Note 2 8 3 2 4 5" xfId="20893" xr:uid="{00000000-0005-0000-0000-0000703F0000}"/>
    <cellStyle name="Note 2 8 3 2 5" xfId="6139" xr:uid="{00000000-0005-0000-0000-0000713F0000}"/>
    <cellStyle name="Note 2 8 3 2 5 2" xfId="16326" xr:uid="{00000000-0005-0000-0000-0000723F0000}"/>
    <cellStyle name="Note 2 8 3 2 5 2 2" xfId="31158" xr:uid="{00000000-0005-0000-0000-0000733F0000}"/>
    <cellStyle name="Note 2 8 3 2 5 3" xfId="22672" xr:uid="{00000000-0005-0000-0000-0000743F0000}"/>
    <cellStyle name="Note 2 8 3 2 6" xfId="12396" xr:uid="{00000000-0005-0000-0000-0000753F0000}"/>
    <cellStyle name="Note 2 8 3 2 6 2" xfId="27228" xr:uid="{00000000-0005-0000-0000-0000763F0000}"/>
    <cellStyle name="Note 2 8 3 2 7" xfId="9978" xr:uid="{00000000-0005-0000-0000-0000773F0000}"/>
    <cellStyle name="Note 2 8 3 2 7 2" xfId="24810" xr:uid="{00000000-0005-0000-0000-0000783F0000}"/>
    <cellStyle name="Note 2 8 3 2 8" xfId="20351" xr:uid="{00000000-0005-0000-0000-0000793F0000}"/>
    <cellStyle name="Note 2 8 3 3" xfId="3324" xr:uid="{00000000-0005-0000-0000-00007A3F0000}"/>
    <cellStyle name="Note 2 8 3 3 2" xfId="7387" xr:uid="{00000000-0005-0000-0000-00007B3F0000}"/>
    <cellStyle name="Note 2 8 3 3 2 2" xfId="17120" xr:uid="{00000000-0005-0000-0000-00007C3F0000}"/>
    <cellStyle name="Note 2 8 3 3 2 2 2" xfId="31952" xr:uid="{00000000-0005-0000-0000-00007D3F0000}"/>
    <cellStyle name="Note 2 8 3 3 2 3" xfId="23400" xr:uid="{00000000-0005-0000-0000-00007E3F0000}"/>
    <cellStyle name="Note 2 8 3 3 3" xfId="13661" xr:uid="{00000000-0005-0000-0000-00007F3F0000}"/>
    <cellStyle name="Note 2 8 3 3 3 2" xfId="28493" xr:uid="{00000000-0005-0000-0000-0000803F0000}"/>
    <cellStyle name="Note 2 8 3 3 4" xfId="10741" xr:uid="{00000000-0005-0000-0000-0000813F0000}"/>
    <cellStyle name="Note 2 8 3 3 4 2" xfId="25573" xr:uid="{00000000-0005-0000-0000-0000823F0000}"/>
    <cellStyle name="Note 2 8 3 3 5" xfId="21088" xr:uid="{00000000-0005-0000-0000-0000833F0000}"/>
    <cellStyle name="Note 2 8 3 4" xfId="4557" xr:uid="{00000000-0005-0000-0000-0000843F0000}"/>
    <cellStyle name="Note 2 8 3 4 2" xfId="8596" xr:uid="{00000000-0005-0000-0000-0000853F0000}"/>
    <cellStyle name="Note 2 8 3 4 2 2" xfId="17714" xr:uid="{00000000-0005-0000-0000-0000863F0000}"/>
    <cellStyle name="Note 2 8 3 4 2 2 2" xfId="32546" xr:uid="{00000000-0005-0000-0000-0000873F0000}"/>
    <cellStyle name="Note 2 8 3 4 2 3" xfId="24222" xr:uid="{00000000-0005-0000-0000-0000883F0000}"/>
    <cellStyle name="Note 2 8 3 4 3" xfId="14884" xr:uid="{00000000-0005-0000-0000-0000893F0000}"/>
    <cellStyle name="Note 2 8 3 4 3 2" xfId="29716" xr:uid="{00000000-0005-0000-0000-00008A3F0000}"/>
    <cellStyle name="Note 2 8 3 4 4" xfId="11320" xr:uid="{00000000-0005-0000-0000-00008B3F0000}"/>
    <cellStyle name="Note 2 8 3 4 4 2" xfId="26152" xr:uid="{00000000-0005-0000-0000-00008C3F0000}"/>
    <cellStyle name="Note 2 8 3 4 5" xfId="21778" xr:uid="{00000000-0005-0000-0000-00008D3F0000}"/>
    <cellStyle name="Note 2 8 3 5" xfId="2547" xr:uid="{00000000-0005-0000-0000-00008E3F0000}"/>
    <cellStyle name="Note 2 8 3 5 2" xfId="6653" xr:uid="{00000000-0005-0000-0000-00008F3F0000}"/>
    <cellStyle name="Note 2 8 3 5 2 2" xfId="16611" xr:uid="{00000000-0005-0000-0000-0000903F0000}"/>
    <cellStyle name="Note 2 8 3 5 2 2 2" xfId="31443" xr:uid="{00000000-0005-0000-0000-0000913F0000}"/>
    <cellStyle name="Note 2 8 3 5 2 3" xfId="22991" xr:uid="{00000000-0005-0000-0000-0000923F0000}"/>
    <cellStyle name="Note 2 8 3 5 3" xfId="12885" xr:uid="{00000000-0005-0000-0000-0000933F0000}"/>
    <cellStyle name="Note 2 8 3 5 3 2" xfId="27717" xr:uid="{00000000-0005-0000-0000-0000943F0000}"/>
    <cellStyle name="Note 2 8 3 5 4" xfId="10261" xr:uid="{00000000-0005-0000-0000-0000953F0000}"/>
    <cellStyle name="Note 2 8 3 5 4 2" xfId="25093" xr:uid="{00000000-0005-0000-0000-0000963F0000}"/>
    <cellStyle name="Note 2 8 3 5 5" xfId="20633" xr:uid="{00000000-0005-0000-0000-0000973F0000}"/>
    <cellStyle name="Note 2 8 3 6" xfId="5670" xr:uid="{00000000-0005-0000-0000-0000983F0000}"/>
    <cellStyle name="Note 2 8 3 6 2" xfId="15905" xr:uid="{00000000-0005-0000-0000-0000993F0000}"/>
    <cellStyle name="Note 2 8 3 6 2 2" xfId="30737" xr:uid="{00000000-0005-0000-0000-00009A3F0000}"/>
    <cellStyle name="Note 2 8 3 6 3" xfId="22366" xr:uid="{00000000-0005-0000-0000-00009B3F0000}"/>
    <cellStyle name="Note 2 8 3 7" xfId="11925" xr:uid="{00000000-0005-0000-0000-00009C3F0000}"/>
    <cellStyle name="Note 2 8 3 7 2" xfId="26757" xr:uid="{00000000-0005-0000-0000-00009D3F0000}"/>
    <cellStyle name="Note 2 8 3 8" xfId="9583" xr:uid="{00000000-0005-0000-0000-00009E3F0000}"/>
    <cellStyle name="Note 2 8 3 8 2" xfId="19885" xr:uid="{00000000-0005-0000-0000-00009F3F0000}"/>
    <cellStyle name="Note 2 8 4" xfId="1567" xr:uid="{00000000-0005-0000-0000-0000A03F0000}"/>
    <cellStyle name="Note 2 8 4 2" xfId="2064" xr:uid="{00000000-0005-0000-0000-0000A13F0000}"/>
    <cellStyle name="Note 2 8 4 2 2" xfId="3405" xr:uid="{00000000-0005-0000-0000-0000A23F0000}"/>
    <cellStyle name="Note 2 8 4 2 2 2" xfId="7468" xr:uid="{00000000-0005-0000-0000-0000A33F0000}"/>
    <cellStyle name="Note 2 8 4 2 2 2 2" xfId="17167" xr:uid="{00000000-0005-0000-0000-0000A43F0000}"/>
    <cellStyle name="Note 2 8 4 2 2 2 2 2" xfId="31999" xr:uid="{00000000-0005-0000-0000-0000A53F0000}"/>
    <cellStyle name="Note 2 8 4 2 2 2 3" xfId="23456" xr:uid="{00000000-0005-0000-0000-0000A63F0000}"/>
    <cellStyle name="Note 2 8 4 2 2 3" xfId="13742" xr:uid="{00000000-0005-0000-0000-0000A73F0000}"/>
    <cellStyle name="Note 2 8 4 2 2 3 2" xfId="28574" xr:uid="{00000000-0005-0000-0000-0000A83F0000}"/>
    <cellStyle name="Note 2 8 4 2 2 4" xfId="10786" xr:uid="{00000000-0005-0000-0000-0000A93F0000}"/>
    <cellStyle name="Note 2 8 4 2 2 4 2" xfId="25618" xr:uid="{00000000-0005-0000-0000-0000AA3F0000}"/>
    <cellStyle name="Note 2 8 4 2 2 5" xfId="21134" xr:uid="{00000000-0005-0000-0000-0000AB3F0000}"/>
    <cellStyle name="Note 2 8 4 2 3" xfId="5032" xr:uid="{00000000-0005-0000-0000-0000AC3F0000}"/>
    <cellStyle name="Note 2 8 4 2 3 2" xfId="9071" xr:uid="{00000000-0005-0000-0000-0000AD3F0000}"/>
    <cellStyle name="Note 2 8 4 2 3 2 2" xfId="18004" xr:uid="{00000000-0005-0000-0000-0000AE3F0000}"/>
    <cellStyle name="Note 2 8 4 2 3 2 2 2" xfId="32836" xr:uid="{00000000-0005-0000-0000-0000AF3F0000}"/>
    <cellStyle name="Note 2 8 4 2 3 2 3" xfId="24505" xr:uid="{00000000-0005-0000-0000-0000B03F0000}"/>
    <cellStyle name="Note 2 8 4 2 3 3" xfId="15353" xr:uid="{00000000-0005-0000-0000-0000B13F0000}"/>
    <cellStyle name="Note 2 8 4 2 3 3 2" xfId="30185" xr:uid="{00000000-0005-0000-0000-0000B23F0000}"/>
    <cellStyle name="Note 2 8 4 2 3 4" xfId="11604" xr:uid="{00000000-0005-0000-0000-0000B33F0000}"/>
    <cellStyle name="Note 2 8 4 2 3 4 2" xfId="26436" xr:uid="{00000000-0005-0000-0000-0000B43F0000}"/>
    <cellStyle name="Note 2 8 4 2 3 5" xfId="22025" xr:uid="{00000000-0005-0000-0000-0000B53F0000}"/>
    <cellStyle name="Note 2 8 4 2 4" xfId="3022" xr:uid="{00000000-0005-0000-0000-0000B63F0000}"/>
    <cellStyle name="Note 2 8 4 2 4 2" xfId="7097" xr:uid="{00000000-0005-0000-0000-0000B73F0000}"/>
    <cellStyle name="Note 2 8 4 2 4 2 2" xfId="16895" xr:uid="{00000000-0005-0000-0000-0000B83F0000}"/>
    <cellStyle name="Note 2 8 4 2 4 2 2 2" xfId="31727" xr:uid="{00000000-0005-0000-0000-0000B93F0000}"/>
    <cellStyle name="Note 2 8 4 2 4 2 3" xfId="23238" xr:uid="{00000000-0005-0000-0000-0000BA3F0000}"/>
    <cellStyle name="Note 2 8 4 2 4 3" xfId="13360" xr:uid="{00000000-0005-0000-0000-0000BB3F0000}"/>
    <cellStyle name="Note 2 8 4 2 4 3 2" xfId="28192" xr:uid="{00000000-0005-0000-0000-0000BC3F0000}"/>
    <cellStyle name="Note 2 8 4 2 4 4" xfId="10551" xr:uid="{00000000-0005-0000-0000-0000BD3F0000}"/>
    <cellStyle name="Note 2 8 4 2 4 4 2" xfId="25383" xr:uid="{00000000-0005-0000-0000-0000BE3F0000}"/>
    <cellStyle name="Note 2 8 4 2 4 5" xfId="20916" xr:uid="{00000000-0005-0000-0000-0000BF3F0000}"/>
    <cellStyle name="Note 2 8 4 2 5" xfId="6189" xr:uid="{00000000-0005-0000-0000-0000C03F0000}"/>
    <cellStyle name="Note 2 8 4 2 5 2" xfId="16375" xr:uid="{00000000-0005-0000-0000-0000C13F0000}"/>
    <cellStyle name="Note 2 8 4 2 5 2 2" xfId="31207" xr:uid="{00000000-0005-0000-0000-0000C23F0000}"/>
    <cellStyle name="Note 2 8 4 2 5 3" xfId="22689" xr:uid="{00000000-0005-0000-0000-0000C33F0000}"/>
    <cellStyle name="Note 2 8 4 2 6" xfId="12445" xr:uid="{00000000-0005-0000-0000-0000C43F0000}"/>
    <cellStyle name="Note 2 8 4 2 6 2" xfId="27277" xr:uid="{00000000-0005-0000-0000-0000C53F0000}"/>
    <cellStyle name="Note 2 8 4 2 7" xfId="10027" xr:uid="{00000000-0005-0000-0000-0000C63F0000}"/>
    <cellStyle name="Note 2 8 4 2 7 2" xfId="24859" xr:uid="{00000000-0005-0000-0000-0000C73F0000}"/>
    <cellStyle name="Note 2 8 4 2 8" xfId="20368" xr:uid="{00000000-0005-0000-0000-0000C83F0000}"/>
    <cellStyle name="Note 2 8 4 3" xfId="3174" xr:uid="{00000000-0005-0000-0000-0000C93F0000}"/>
    <cellStyle name="Note 2 8 4 3 2" xfId="7238" xr:uid="{00000000-0005-0000-0000-0000CA3F0000}"/>
    <cellStyle name="Note 2 8 4 3 2 2" xfId="17012" xr:uid="{00000000-0005-0000-0000-0000CB3F0000}"/>
    <cellStyle name="Note 2 8 4 3 2 2 2" xfId="31844" xr:uid="{00000000-0005-0000-0000-0000CC3F0000}"/>
    <cellStyle name="Note 2 8 4 3 2 3" xfId="23298" xr:uid="{00000000-0005-0000-0000-0000CD3F0000}"/>
    <cellStyle name="Note 2 8 4 3 3" xfId="13512" xr:uid="{00000000-0005-0000-0000-0000CE3F0000}"/>
    <cellStyle name="Note 2 8 4 3 3 2" xfId="28344" xr:uid="{00000000-0005-0000-0000-0000CF3F0000}"/>
    <cellStyle name="Note 2 8 4 3 4" xfId="10662" xr:uid="{00000000-0005-0000-0000-0000D03F0000}"/>
    <cellStyle name="Note 2 8 4 3 4 2" xfId="25494" xr:uid="{00000000-0005-0000-0000-0000D13F0000}"/>
    <cellStyle name="Note 2 8 4 3 5" xfId="20988" xr:uid="{00000000-0005-0000-0000-0000D23F0000}"/>
    <cellStyle name="Note 2 8 4 4" xfId="4612" xr:uid="{00000000-0005-0000-0000-0000D33F0000}"/>
    <cellStyle name="Note 2 8 4 4 2" xfId="8651" xr:uid="{00000000-0005-0000-0000-0000D43F0000}"/>
    <cellStyle name="Note 2 8 4 4 2 2" xfId="17764" xr:uid="{00000000-0005-0000-0000-0000D53F0000}"/>
    <cellStyle name="Note 2 8 4 4 2 2 2" xfId="32596" xr:uid="{00000000-0005-0000-0000-0000D63F0000}"/>
    <cellStyle name="Note 2 8 4 4 2 3" xfId="24245" xr:uid="{00000000-0005-0000-0000-0000D73F0000}"/>
    <cellStyle name="Note 2 8 4 4 3" xfId="14938" xr:uid="{00000000-0005-0000-0000-0000D83F0000}"/>
    <cellStyle name="Note 2 8 4 4 3 2" xfId="29770" xr:uid="{00000000-0005-0000-0000-0000D93F0000}"/>
    <cellStyle name="Note 2 8 4 4 4" xfId="11369" xr:uid="{00000000-0005-0000-0000-0000DA3F0000}"/>
    <cellStyle name="Note 2 8 4 4 4 2" xfId="26201" xr:uid="{00000000-0005-0000-0000-0000DB3F0000}"/>
    <cellStyle name="Note 2 8 4 4 5" xfId="21795" xr:uid="{00000000-0005-0000-0000-0000DC3F0000}"/>
    <cellStyle name="Note 2 8 4 5" xfId="2602" xr:uid="{00000000-0005-0000-0000-0000DD3F0000}"/>
    <cellStyle name="Note 2 8 4 5 2" xfId="6703" xr:uid="{00000000-0005-0000-0000-0000DE3F0000}"/>
    <cellStyle name="Note 2 8 4 5 2 2" xfId="16660" xr:uid="{00000000-0005-0000-0000-0000DF3F0000}"/>
    <cellStyle name="Note 2 8 4 5 2 2 2" xfId="31492" xr:uid="{00000000-0005-0000-0000-0000E03F0000}"/>
    <cellStyle name="Note 2 8 4 5 2 3" xfId="23008" xr:uid="{00000000-0005-0000-0000-0000E13F0000}"/>
    <cellStyle name="Note 2 8 4 5 3" xfId="12940" xr:uid="{00000000-0005-0000-0000-0000E23F0000}"/>
    <cellStyle name="Note 2 8 4 5 3 2" xfId="27772" xr:uid="{00000000-0005-0000-0000-0000E33F0000}"/>
    <cellStyle name="Note 2 8 4 5 4" xfId="10311" xr:uid="{00000000-0005-0000-0000-0000E43F0000}"/>
    <cellStyle name="Note 2 8 4 5 4 2" xfId="25143" xr:uid="{00000000-0005-0000-0000-0000E53F0000}"/>
    <cellStyle name="Note 2 8 4 5 5" xfId="20656" xr:uid="{00000000-0005-0000-0000-0000E63F0000}"/>
    <cellStyle name="Note 2 8 4 6" xfId="5719" xr:uid="{00000000-0005-0000-0000-0000E73F0000}"/>
    <cellStyle name="Note 2 8 4 6 2" xfId="15954" xr:uid="{00000000-0005-0000-0000-0000E83F0000}"/>
    <cellStyle name="Note 2 8 4 6 2 2" xfId="30786" xr:uid="{00000000-0005-0000-0000-0000E93F0000}"/>
    <cellStyle name="Note 2 8 4 6 3" xfId="22383" xr:uid="{00000000-0005-0000-0000-0000EA3F0000}"/>
    <cellStyle name="Note 2 8 4 7" xfId="11974" xr:uid="{00000000-0005-0000-0000-0000EB3F0000}"/>
    <cellStyle name="Note 2 8 4 7 2" xfId="26806" xr:uid="{00000000-0005-0000-0000-0000EC3F0000}"/>
    <cellStyle name="Note 2 8 4 8" xfId="9633" xr:uid="{00000000-0005-0000-0000-0000ED3F0000}"/>
    <cellStyle name="Note 2 8 4 8 2" xfId="19934" xr:uid="{00000000-0005-0000-0000-0000EE3F0000}"/>
    <cellStyle name="Note 2 8 5" xfId="1617" xr:uid="{00000000-0005-0000-0000-0000EF3F0000}"/>
    <cellStyle name="Note 2 8 5 2" xfId="2114" xr:uid="{00000000-0005-0000-0000-0000F03F0000}"/>
    <cellStyle name="Note 2 8 5 2 2" xfId="3942" xr:uid="{00000000-0005-0000-0000-0000F13F0000}"/>
    <cellStyle name="Note 2 8 5 2 2 2" xfId="7992" xr:uid="{00000000-0005-0000-0000-0000F23F0000}"/>
    <cellStyle name="Note 2 8 5 2 2 2 2" xfId="17442" xr:uid="{00000000-0005-0000-0000-0000F33F0000}"/>
    <cellStyle name="Note 2 8 5 2 2 2 2 2" xfId="32274" xr:uid="{00000000-0005-0000-0000-0000F43F0000}"/>
    <cellStyle name="Note 2 8 5 2 2 2 3" xfId="23793" xr:uid="{00000000-0005-0000-0000-0000F53F0000}"/>
    <cellStyle name="Note 2 8 5 2 2 3" xfId="14275" xr:uid="{00000000-0005-0000-0000-0000F63F0000}"/>
    <cellStyle name="Note 2 8 5 2 2 3 2" xfId="29107" xr:uid="{00000000-0005-0000-0000-0000F73F0000}"/>
    <cellStyle name="Note 2 8 5 2 2 4" xfId="11057" xr:uid="{00000000-0005-0000-0000-0000F83F0000}"/>
    <cellStyle name="Note 2 8 5 2 2 4 2" xfId="25889" xr:uid="{00000000-0005-0000-0000-0000F93F0000}"/>
    <cellStyle name="Note 2 8 5 2 2 5" xfId="21435" xr:uid="{00000000-0005-0000-0000-0000FA3F0000}"/>
    <cellStyle name="Note 2 8 5 2 3" xfId="5082" xr:uid="{00000000-0005-0000-0000-0000FB3F0000}"/>
    <cellStyle name="Note 2 8 5 2 3 2" xfId="9121" xr:uid="{00000000-0005-0000-0000-0000FC3F0000}"/>
    <cellStyle name="Note 2 8 5 2 3 2 2" xfId="18049" xr:uid="{00000000-0005-0000-0000-0000FD3F0000}"/>
    <cellStyle name="Note 2 8 5 2 3 2 2 2" xfId="32881" xr:uid="{00000000-0005-0000-0000-0000FE3F0000}"/>
    <cellStyle name="Note 2 8 5 2 3 2 3" xfId="24523" xr:uid="{00000000-0005-0000-0000-0000FF3F0000}"/>
    <cellStyle name="Note 2 8 5 2 3 3" xfId="15402" xr:uid="{00000000-0005-0000-0000-000000400000}"/>
    <cellStyle name="Note 2 8 5 2 3 3 2" xfId="30234" xr:uid="{00000000-0005-0000-0000-000001400000}"/>
    <cellStyle name="Note 2 8 5 2 3 4" xfId="11648" xr:uid="{00000000-0005-0000-0000-000002400000}"/>
    <cellStyle name="Note 2 8 5 2 3 4 2" xfId="26480" xr:uid="{00000000-0005-0000-0000-000003400000}"/>
    <cellStyle name="Note 2 8 5 2 3 5" xfId="22037" xr:uid="{00000000-0005-0000-0000-000004400000}"/>
    <cellStyle name="Note 2 8 5 2 4" xfId="3072" xr:uid="{00000000-0005-0000-0000-000005400000}"/>
    <cellStyle name="Note 2 8 5 2 4 2" xfId="7142" xr:uid="{00000000-0005-0000-0000-000006400000}"/>
    <cellStyle name="Note 2 8 5 2 4 2 2" xfId="16939" xr:uid="{00000000-0005-0000-0000-000007400000}"/>
    <cellStyle name="Note 2 8 5 2 4 2 2 2" xfId="31771" xr:uid="{00000000-0005-0000-0000-000008400000}"/>
    <cellStyle name="Note 2 8 5 2 4 2 3" xfId="23250" xr:uid="{00000000-0005-0000-0000-000009400000}"/>
    <cellStyle name="Note 2 8 5 2 4 3" xfId="13410" xr:uid="{00000000-0005-0000-0000-00000A400000}"/>
    <cellStyle name="Note 2 8 5 2 4 3 2" xfId="28242" xr:uid="{00000000-0005-0000-0000-00000B400000}"/>
    <cellStyle name="Note 2 8 5 2 4 4" xfId="10596" xr:uid="{00000000-0005-0000-0000-00000C400000}"/>
    <cellStyle name="Note 2 8 5 2 4 4 2" xfId="25428" xr:uid="{00000000-0005-0000-0000-00000D400000}"/>
    <cellStyle name="Note 2 8 5 2 4 5" xfId="20934" xr:uid="{00000000-0005-0000-0000-00000E400000}"/>
    <cellStyle name="Note 2 8 5 2 5" xfId="6234" xr:uid="{00000000-0005-0000-0000-00000F400000}"/>
    <cellStyle name="Note 2 8 5 2 5 2" xfId="16419" xr:uid="{00000000-0005-0000-0000-000010400000}"/>
    <cellStyle name="Note 2 8 5 2 5 2 2" xfId="31251" xr:uid="{00000000-0005-0000-0000-000011400000}"/>
    <cellStyle name="Note 2 8 5 2 5 3" xfId="22701" xr:uid="{00000000-0005-0000-0000-000012400000}"/>
    <cellStyle name="Note 2 8 5 2 6" xfId="12489" xr:uid="{00000000-0005-0000-0000-000013400000}"/>
    <cellStyle name="Note 2 8 5 2 6 2" xfId="27321" xr:uid="{00000000-0005-0000-0000-000014400000}"/>
    <cellStyle name="Note 2 8 5 2 7" xfId="10071" xr:uid="{00000000-0005-0000-0000-000015400000}"/>
    <cellStyle name="Note 2 8 5 2 7 2" xfId="24903" xr:uid="{00000000-0005-0000-0000-000016400000}"/>
    <cellStyle name="Note 2 8 5 2 8" xfId="20380" xr:uid="{00000000-0005-0000-0000-000017400000}"/>
    <cellStyle name="Note 2 8 5 3" xfId="3506" xr:uid="{00000000-0005-0000-0000-000018400000}"/>
    <cellStyle name="Note 2 8 5 3 2" xfId="7568" xr:uid="{00000000-0005-0000-0000-000019400000}"/>
    <cellStyle name="Note 2 8 5 3 2 2" xfId="17226" xr:uid="{00000000-0005-0000-0000-00001A400000}"/>
    <cellStyle name="Note 2 8 5 3 2 2 2" xfId="32058" xr:uid="{00000000-0005-0000-0000-00001B400000}"/>
    <cellStyle name="Note 2 8 5 3 2 3" xfId="23520" xr:uid="{00000000-0005-0000-0000-00001C400000}"/>
    <cellStyle name="Note 2 8 5 3 3" xfId="13843" xr:uid="{00000000-0005-0000-0000-00001D400000}"/>
    <cellStyle name="Note 2 8 5 3 3 2" xfId="28675" xr:uid="{00000000-0005-0000-0000-00001E400000}"/>
    <cellStyle name="Note 2 8 5 3 4" xfId="10844" xr:uid="{00000000-0005-0000-0000-00001F400000}"/>
    <cellStyle name="Note 2 8 5 3 4 2" xfId="25676" xr:uid="{00000000-0005-0000-0000-000020400000}"/>
    <cellStyle name="Note 2 8 5 3 5" xfId="21195" xr:uid="{00000000-0005-0000-0000-000021400000}"/>
    <cellStyle name="Note 2 8 5 4" xfId="4662" xr:uid="{00000000-0005-0000-0000-000022400000}"/>
    <cellStyle name="Note 2 8 5 4 2" xfId="8701" xr:uid="{00000000-0005-0000-0000-000023400000}"/>
    <cellStyle name="Note 2 8 5 4 2 2" xfId="17809" xr:uid="{00000000-0005-0000-0000-000024400000}"/>
    <cellStyle name="Note 2 8 5 4 2 2 2" xfId="32641" xr:uid="{00000000-0005-0000-0000-000025400000}"/>
    <cellStyle name="Note 2 8 5 4 2 3" xfId="24263" xr:uid="{00000000-0005-0000-0000-000026400000}"/>
    <cellStyle name="Note 2 8 5 4 3" xfId="14987" xr:uid="{00000000-0005-0000-0000-000027400000}"/>
    <cellStyle name="Note 2 8 5 4 3 2" xfId="29819" xr:uid="{00000000-0005-0000-0000-000028400000}"/>
    <cellStyle name="Note 2 8 5 4 4" xfId="11413" xr:uid="{00000000-0005-0000-0000-000029400000}"/>
    <cellStyle name="Note 2 8 5 4 4 2" xfId="26245" xr:uid="{00000000-0005-0000-0000-00002A400000}"/>
    <cellStyle name="Note 2 8 5 4 5" xfId="21807" xr:uid="{00000000-0005-0000-0000-00002B400000}"/>
    <cellStyle name="Note 2 8 5 5" xfId="2652" xr:uid="{00000000-0005-0000-0000-00002C400000}"/>
    <cellStyle name="Note 2 8 5 5 2" xfId="6748" xr:uid="{00000000-0005-0000-0000-00002D400000}"/>
    <cellStyle name="Note 2 8 5 5 2 2" xfId="16704" xr:uid="{00000000-0005-0000-0000-00002E400000}"/>
    <cellStyle name="Note 2 8 5 5 2 2 2" xfId="31536" xr:uid="{00000000-0005-0000-0000-00002F400000}"/>
    <cellStyle name="Note 2 8 5 5 2 3" xfId="23020" xr:uid="{00000000-0005-0000-0000-000030400000}"/>
    <cellStyle name="Note 2 8 5 5 3" xfId="12990" xr:uid="{00000000-0005-0000-0000-000031400000}"/>
    <cellStyle name="Note 2 8 5 5 3 2" xfId="27822" xr:uid="{00000000-0005-0000-0000-000032400000}"/>
    <cellStyle name="Note 2 8 5 5 4" xfId="10356" xr:uid="{00000000-0005-0000-0000-000033400000}"/>
    <cellStyle name="Note 2 8 5 5 4 2" xfId="25188" xr:uid="{00000000-0005-0000-0000-000034400000}"/>
    <cellStyle name="Note 2 8 5 5 5" xfId="20674" xr:uid="{00000000-0005-0000-0000-000035400000}"/>
    <cellStyle name="Note 2 8 5 6" xfId="5764" xr:uid="{00000000-0005-0000-0000-000036400000}"/>
    <cellStyle name="Note 2 8 5 6 2" xfId="15998" xr:uid="{00000000-0005-0000-0000-000037400000}"/>
    <cellStyle name="Note 2 8 5 6 2 2" xfId="30830" xr:uid="{00000000-0005-0000-0000-000038400000}"/>
    <cellStyle name="Note 2 8 5 6 3" xfId="22395" xr:uid="{00000000-0005-0000-0000-000039400000}"/>
    <cellStyle name="Note 2 8 5 7" xfId="12018" xr:uid="{00000000-0005-0000-0000-00003A400000}"/>
    <cellStyle name="Note 2 8 5 7 2" xfId="26850" xr:uid="{00000000-0005-0000-0000-00003B400000}"/>
    <cellStyle name="Note 2 8 5 8" xfId="9678" xr:uid="{00000000-0005-0000-0000-00003C400000}"/>
    <cellStyle name="Note 2 8 5 8 2" xfId="19978" xr:uid="{00000000-0005-0000-0000-00003D400000}"/>
    <cellStyle name="Note 2 8 6" xfId="1768" xr:uid="{00000000-0005-0000-0000-00003E400000}"/>
    <cellStyle name="Note 2 8 6 2" xfId="3699" xr:uid="{00000000-0005-0000-0000-00003F400000}"/>
    <cellStyle name="Note 2 8 6 2 2" xfId="7755" xr:uid="{00000000-0005-0000-0000-000040400000}"/>
    <cellStyle name="Note 2 8 6 2 2 2" xfId="17323" xr:uid="{00000000-0005-0000-0000-000041400000}"/>
    <cellStyle name="Note 2 8 6 2 2 2 2" xfId="32155" xr:uid="{00000000-0005-0000-0000-000042400000}"/>
    <cellStyle name="Note 2 8 6 2 2 3" xfId="23639" xr:uid="{00000000-0005-0000-0000-000043400000}"/>
    <cellStyle name="Note 2 8 6 2 3" xfId="14034" xr:uid="{00000000-0005-0000-0000-000044400000}"/>
    <cellStyle name="Note 2 8 6 2 3 2" xfId="28866" xr:uid="{00000000-0005-0000-0000-000045400000}"/>
    <cellStyle name="Note 2 8 6 2 4" xfId="10941" xr:uid="{00000000-0005-0000-0000-000046400000}"/>
    <cellStyle name="Note 2 8 6 2 4 2" xfId="25773" xr:uid="{00000000-0005-0000-0000-000047400000}"/>
    <cellStyle name="Note 2 8 6 2 5" xfId="21300" xr:uid="{00000000-0005-0000-0000-000048400000}"/>
    <cellStyle name="Note 2 8 6 3" xfId="4746" xr:uid="{00000000-0005-0000-0000-000049400000}"/>
    <cellStyle name="Note 2 8 6 3 2" xfId="8785" xr:uid="{00000000-0005-0000-0000-00004A400000}"/>
    <cellStyle name="Note 2 8 6 3 2 2" xfId="17857" xr:uid="{00000000-0005-0000-0000-00004B400000}"/>
    <cellStyle name="Note 2 8 6 3 2 2 2" xfId="32689" xr:uid="{00000000-0005-0000-0000-00004C400000}"/>
    <cellStyle name="Note 2 8 6 3 2 3" xfId="24315" xr:uid="{00000000-0005-0000-0000-00004D400000}"/>
    <cellStyle name="Note 2 8 6 3 3" xfId="15070" xr:uid="{00000000-0005-0000-0000-00004E400000}"/>
    <cellStyle name="Note 2 8 6 3 3 2" xfId="29902" xr:uid="{00000000-0005-0000-0000-00004F400000}"/>
    <cellStyle name="Note 2 8 6 3 4" xfId="11460" xr:uid="{00000000-0005-0000-0000-000050400000}"/>
    <cellStyle name="Note 2 8 6 3 4 2" xfId="26292" xr:uid="{00000000-0005-0000-0000-000051400000}"/>
    <cellStyle name="Note 2 8 6 3 5" xfId="21853" xr:uid="{00000000-0005-0000-0000-000052400000}"/>
    <cellStyle name="Note 2 8 6 4" xfId="2736" xr:uid="{00000000-0005-0000-0000-000053400000}"/>
    <cellStyle name="Note 2 8 6 4 2" xfId="6827" xr:uid="{00000000-0005-0000-0000-000054400000}"/>
    <cellStyle name="Note 2 8 6 4 2 2" xfId="16751" xr:uid="{00000000-0005-0000-0000-000055400000}"/>
    <cellStyle name="Note 2 8 6 4 2 2 2" xfId="31583" xr:uid="{00000000-0005-0000-0000-000056400000}"/>
    <cellStyle name="Note 2 8 6 4 2 3" xfId="23066" xr:uid="{00000000-0005-0000-0000-000057400000}"/>
    <cellStyle name="Note 2 8 6 4 3" xfId="13074" xr:uid="{00000000-0005-0000-0000-000058400000}"/>
    <cellStyle name="Note 2 8 6 4 3 2" xfId="27906" xr:uid="{00000000-0005-0000-0000-000059400000}"/>
    <cellStyle name="Note 2 8 6 4 4" xfId="10404" xr:uid="{00000000-0005-0000-0000-00005A400000}"/>
    <cellStyle name="Note 2 8 6 4 4 2" xfId="25236" xr:uid="{00000000-0005-0000-0000-00005B400000}"/>
    <cellStyle name="Note 2 8 6 4 5" xfId="20726" xr:uid="{00000000-0005-0000-0000-00005C400000}"/>
    <cellStyle name="Note 2 8 6 5" xfId="5900" xr:uid="{00000000-0005-0000-0000-00005D400000}"/>
    <cellStyle name="Note 2 8 6 5 2" xfId="16092" xr:uid="{00000000-0005-0000-0000-00005E400000}"/>
    <cellStyle name="Note 2 8 6 5 2 2" xfId="30924" xr:uid="{00000000-0005-0000-0000-00005F400000}"/>
    <cellStyle name="Note 2 8 6 5 3" xfId="22497" xr:uid="{00000000-0005-0000-0000-000060400000}"/>
    <cellStyle name="Note 2 8 6 6" xfId="12162" xr:uid="{00000000-0005-0000-0000-000061400000}"/>
    <cellStyle name="Note 2 8 6 6 2" xfId="26994" xr:uid="{00000000-0005-0000-0000-000062400000}"/>
    <cellStyle name="Note 2 8 6 7" xfId="9758" xr:uid="{00000000-0005-0000-0000-000063400000}"/>
    <cellStyle name="Note 2 8 6 7 2" xfId="24715" xr:uid="{00000000-0005-0000-0000-000064400000}"/>
    <cellStyle name="Note 2 8 6 8" xfId="20305" xr:uid="{00000000-0005-0000-0000-000065400000}"/>
    <cellStyle name="Note 2 8 7" xfId="2198" xr:uid="{00000000-0005-0000-0000-000066400000}"/>
    <cellStyle name="Note 2 8 7 2" xfId="3421" xr:uid="{00000000-0005-0000-0000-000067400000}"/>
    <cellStyle name="Note 2 8 7 2 2" xfId="7484" xr:uid="{00000000-0005-0000-0000-000068400000}"/>
    <cellStyle name="Note 2 8 7 2 2 2" xfId="17182" xr:uid="{00000000-0005-0000-0000-000069400000}"/>
    <cellStyle name="Note 2 8 7 2 2 2 2" xfId="32014" xr:uid="{00000000-0005-0000-0000-00006A400000}"/>
    <cellStyle name="Note 2 8 7 2 2 3" xfId="23464" xr:uid="{00000000-0005-0000-0000-00006B400000}"/>
    <cellStyle name="Note 2 8 7 2 3" xfId="13758" xr:uid="{00000000-0005-0000-0000-00006C400000}"/>
    <cellStyle name="Note 2 8 7 2 3 2" xfId="28590" xr:uid="{00000000-0005-0000-0000-00006D400000}"/>
    <cellStyle name="Note 2 8 7 2 4" xfId="10801" xr:uid="{00000000-0005-0000-0000-00006E400000}"/>
    <cellStyle name="Note 2 8 7 2 4 2" xfId="25633" xr:uid="{00000000-0005-0000-0000-00006F400000}"/>
    <cellStyle name="Note 2 8 7 2 5" xfId="21141" xr:uid="{00000000-0005-0000-0000-000070400000}"/>
    <cellStyle name="Note 2 8 7 3" xfId="5166" xr:uid="{00000000-0005-0000-0000-000071400000}"/>
    <cellStyle name="Note 2 8 7 3 2" xfId="9205" xr:uid="{00000000-0005-0000-0000-000072400000}"/>
    <cellStyle name="Note 2 8 7 3 2 2" xfId="18128" xr:uid="{00000000-0005-0000-0000-000073400000}"/>
    <cellStyle name="Note 2 8 7 3 2 2 2" xfId="32960" xr:uid="{00000000-0005-0000-0000-000074400000}"/>
    <cellStyle name="Note 2 8 7 3 2 3" xfId="24543" xr:uid="{00000000-0005-0000-0000-000075400000}"/>
    <cellStyle name="Note 2 8 7 3 3" xfId="15484" xr:uid="{00000000-0005-0000-0000-000076400000}"/>
    <cellStyle name="Note 2 8 7 3 3 2" xfId="30316" xr:uid="{00000000-0005-0000-0000-000077400000}"/>
    <cellStyle name="Note 2 8 7 3 4" xfId="11725" xr:uid="{00000000-0005-0000-0000-000078400000}"/>
    <cellStyle name="Note 2 8 7 3 4 2" xfId="26557" xr:uid="{00000000-0005-0000-0000-000079400000}"/>
    <cellStyle name="Note 2 8 7 3 5" xfId="22050" xr:uid="{00000000-0005-0000-0000-00007A400000}"/>
    <cellStyle name="Note 2 8 7 4" xfId="4196" xr:uid="{00000000-0005-0000-0000-00007B400000}"/>
    <cellStyle name="Note 2 8 7 4 2" xfId="8237" xr:uid="{00000000-0005-0000-0000-00007C400000}"/>
    <cellStyle name="Note 2 8 7 4 2 2" xfId="17584" xr:uid="{00000000-0005-0000-0000-00007D400000}"/>
    <cellStyle name="Note 2 8 7 4 2 2 2" xfId="32416" xr:uid="{00000000-0005-0000-0000-00007E400000}"/>
    <cellStyle name="Note 2 8 7 4 2 3" xfId="23932" xr:uid="{00000000-0005-0000-0000-00007F400000}"/>
    <cellStyle name="Note 2 8 7 4 3" xfId="14528" xr:uid="{00000000-0005-0000-0000-000080400000}"/>
    <cellStyle name="Note 2 8 7 4 3 2" xfId="29360" xr:uid="{00000000-0005-0000-0000-000081400000}"/>
    <cellStyle name="Note 2 8 7 4 4" xfId="11204" xr:uid="{00000000-0005-0000-0000-000082400000}"/>
    <cellStyle name="Note 2 8 7 4 4 2" xfId="26036" xr:uid="{00000000-0005-0000-0000-000083400000}"/>
    <cellStyle name="Note 2 8 7 4 5" xfId="21557" xr:uid="{00000000-0005-0000-0000-000084400000}"/>
    <cellStyle name="Note 2 8 7 5" xfId="6312" xr:uid="{00000000-0005-0000-0000-000085400000}"/>
    <cellStyle name="Note 2 8 7 5 2" xfId="16496" xr:uid="{00000000-0005-0000-0000-000086400000}"/>
    <cellStyle name="Note 2 8 7 5 2 2" xfId="31328" xr:uid="{00000000-0005-0000-0000-000087400000}"/>
    <cellStyle name="Note 2 8 7 5 3" xfId="22714" xr:uid="{00000000-0005-0000-0000-000088400000}"/>
    <cellStyle name="Note 2 8 7 6" xfId="12566" xr:uid="{00000000-0005-0000-0000-000089400000}"/>
    <cellStyle name="Note 2 8 7 6 2" xfId="27398" xr:uid="{00000000-0005-0000-0000-00008A400000}"/>
    <cellStyle name="Note 2 8 7 7" xfId="10148" xr:uid="{00000000-0005-0000-0000-00008B400000}"/>
    <cellStyle name="Note 2 8 7 7 2" xfId="24980" xr:uid="{00000000-0005-0000-0000-00008C400000}"/>
    <cellStyle name="Note 2 8 7 8" xfId="20393" xr:uid="{00000000-0005-0000-0000-00008D400000}"/>
    <cellStyle name="Note 2 8 8" xfId="3696" xr:uid="{00000000-0005-0000-0000-00008E400000}"/>
    <cellStyle name="Note 2 8 8 2" xfId="7752" xr:uid="{00000000-0005-0000-0000-00008F400000}"/>
    <cellStyle name="Note 2 8 8 2 2" xfId="17320" xr:uid="{00000000-0005-0000-0000-000090400000}"/>
    <cellStyle name="Note 2 8 8 2 2 2" xfId="32152" xr:uid="{00000000-0005-0000-0000-000091400000}"/>
    <cellStyle name="Note 2 8 8 2 3" xfId="23637" xr:uid="{00000000-0005-0000-0000-000092400000}"/>
    <cellStyle name="Note 2 8 8 3" xfId="14031" xr:uid="{00000000-0005-0000-0000-000093400000}"/>
    <cellStyle name="Note 2 8 8 3 2" xfId="28863" xr:uid="{00000000-0005-0000-0000-000094400000}"/>
    <cellStyle name="Note 2 8 8 4" xfId="10938" xr:uid="{00000000-0005-0000-0000-000095400000}"/>
    <cellStyle name="Note 2 8 8 4 2" xfId="25770" xr:uid="{00000000-0005-0000-0000-000096400000}"/>
    <cellStyle name="Note 2 8 8 5" xfId="21298" xr:uid="{00000000-0005-0000-0000-000097400000}"/>
    <cellStyle name="Note 2 8 9" xfId="4272" xr:uid="{00000000-0005-0000-0000-000098400000}"/>
    <cellStyle name="Note 2 8 9 2" xfId="8311" xr:uid="{00000000-0005-0000-0000-000099400000}"/>
    <cellStyle name="Note 2 8 9 2 2" xfId="17598" xr:uid="{00000000-0005-0000-0000-00009A400000}"/>
    <cellStyle name="Note 2 8 9 2 2 2" xfId="32430" xr:uid="{00000000-0005-0000-0000-00009B400000}"/>
    <cellStyle name="Note 2 8 9 2 3" xfId="24005" xr:uid="{00000000-0005-0000-0000-00009C400000}"/>
    <cellStyle name="Note 2 8 9 3" xfId="14604" xr:uid="{00000000-0005-0000-0000-00009D400000}"/>
    <cellStyle name="Note 2 8 9 3 2" xfId="29436" xr:uid="{00000000-0005-0000-0000-00009E400000}"/>
    <cellStyle name="Note 2 8 9 4" xfId="11217" xr:uid="{00000000-0005-0000-0000-00009F400000}"/>
    <cellStyle name="Note 2 8 9 4 2" xfId="26049" xr:uid="{00000000-0005-0000-0000-0000A0400000}"/>
    <cellStyle name="Note 2 8 9 5" xfId="21605" xr:uid="{00000000-0005-0000-0000-0000A1400000}"/>
    <cellStyle name="Note 2 9" xfId="1335" xr:uid="{00000000-0005-0000-0000-0000A2400000}"/>
    <cellStyle name="Note 2 9 2" xfId="1839" xr:uid="{00000000-0005-0000-0000-0000A3400000}"/>
    <cellStyle name="Note 2 9 2 2" xfId="3585" xr:uid="{00000000-0005-0000-0000-0000A4400000}"/>
    <cellStyle name="Note 2 9 2 2 2" xfId="7647" xr:uid="{00000000-0005-0000-0000-0000A5400000}"/>
    <cellStyle name="Note 2 9 2 2 2 2" xfId="17271" xr:uid="{00000000-0005-0000-0000-0000A6400000}"/>
    <cellStyle name="Note 2 9 2 2 2 2 2" xfId="32103" xr:uid="{00000000-0005-0000-0000-0000A7400000}"/>
    <cellStyle name="Note 2 9 2 2 2 3" xfId="23566" xr:uid="{00000000-0005-0000-0000-0000A8400000}"/>
    <cellStyle name="Note 2 9 2 2 3" xfId="13921" xr:uid="{00000000-0005-0000-0000-0000A9400000}"/>
    <cellStyle name="Note 2 9 2 2 3 2" xfId="28753" xr:uid="{00000000-0005-0000-0000-0000AA400000}"/>
    <cellStyle name="Note 2 9 2 2 4" xfId="10888" xr:uid="{00000000-0005-0000-0000-0000AB400000}"/>
    <cellStyle name="Note 2 9 2 2 4 2" xfId="25720" xr:uid="{00000000-0005-0000-0000-0000AC400000}"/>
    <cellStyle name="Note 2 9 2 2 5" xfId="21235" xr:uid="{00000000-0005-0000-0000-0000AD400000}"/>
    <cellStyle name="Note 2 9 2 3" xfId="4817" xr:uid="{00000000-0005-0000-0000-0000AE400000}"/>
    <cellStyle name="Note 2 9 2 3 2" xfId="8856" xr:uid="{00000000-0005-0000-0000-0000AF400000}"/>
    <cellStyle name="Note 2 9 2 3 2 2" xfId="17897" xr:uid="{00000000-0005-0000-0000-0000B0400000}"/>
    <cellStyle name="Note 2 9 2 3 2 2 2" xfId="32729" xr:uid="{00000000-0005-0000-0000-0000B1400000}"/>
    <cellStyle name="Note 2 9 2 3 2 3" xfId="24354" xr:uid="{00000000-0005-0000-0000-0000B2400000}"/>
    <cellStyle name="Note 2 9 2 3 3" xfId="15141" xr:uid="{00000000-0005-0000-0000-0000B3400000}"/>
    <cellStyle name="Note 2 9 2 3 3 2" xfId="29973" xr:uid="{00000000-0005-0000-0000-0000B4400000}"/>
    <cellStyle name="Note 2 9 2 3 4" xfId="11500" xr:uid="{00000000-0005-0000-0000-0000B5400000}"/>
    <cellStyle name="Note 2 9 2 3 4 2" xfId="26332" xr:uid="{00000000-0005-0000-0000-0000B6400000}"/>
    <cellStyle name="Note 2 9 2 3 5" xfId="21892" xr:uid="{00000000-0005-0000-0000-0000B7400000}"/>
    <cellStyle name="Note 2 9 2 4" xfId="2807" xr:uid="{00000000-0005-0000-0000-0000B8400000}"/>
    <cellStyle name="Note 2 9 2 4 2" xfId="6898" xr:uid="{00000000-0005-0000-0000-0000B9400000}"/>
    <cellStyle name="Note 2 9 2 4 2 2" xfId="16791" xr:uid="{00000000-0005-0000-0000-0000BA400000}"/>
    <cellStyle name="Note 2 9 2 4 2 2 2" xfId="31623" xr:uid="{00000000-0005-0000-0000-0000BB400000}"/>
    <cellStyle name="Note 2 9 2 4 2 3" xfId="23105" xr:uid="{00000000-0005-0000-0000-0000BC400000}"/>
    <cellStyle name="Note 2 9 2 4 3" xfId="13145" xr:uid="{00000000-0005-0000-0000-0000BD400000}"/>
    <cellStyle name="Note 2 9 2 4 3 2" xfId="27977" xr:uid="{00000000-0005-0000-0000-0000BE400000}"/>
    <cellStyle name="Note 2 9 2 4 4" xfId="10444" xr:uid="{00000000-0005-0000-0000-0000BF400000}"/>
    <cellStyle name="Note 2 9 2 4 4 2" xfId="25276" xr:uid="{00000000-0005-0000-0000-0000C0400000}"/>
    <cellStyle name="Note 2 9 2 4 5" xfId="20765" xr:uid="{00000000-0005-0000-0000-0000C1400000}"/>
    <cellStyle name="Note 2 9 2 5" xfId="5971" xr:uid="{00000000-0005-0000-0000-0000C2400000}"/>
    <cellStyle name="Note 2 9 2 5 2" xfId="16163" xr:uid="{00000000-0005-0000-0000-0000C3400000}"/>
    <cellStyle name="Note 2 9 2 5 2 2" xfId="30995" xr:uid="{00000000-0005-0000-0000-0000C4400000}"/>
    <cellStyle name="Note 2 9 2 5 3" xfId="22536" xr:uid="{00000000-0005-0000-0000-0000C5400000}"/>
    <cellStyle name="Note 2 9 2 6" xfId="12233" xr:uid="{00000000-0005-0000-0000-0000C6400000}"/>
    <cellStyle name="Note 2 9 2 6 2" xfId="27065" xr:uid="{00000000-0005-0000-0000-0000C7400000}"/>
    <cellStyle name="Note 2 9 2 7" xfId="9829" xr:uid="{00000000-0005-0000-0000-0000C8400000}"/>
    <cellStyle name="Note 2 9 2 7 2" xfId="24755" xr:uid="{00000000-0005-0000-0000-0000C9400000}"/>
    <cellStyle name="Note 2 9 2 8" xfId="20313" xr:uid="{00000000-0005-0000-0000-0000CA400000}"/>
    <cellStyle name="Note 2 9 3" xfId="4052" xr:uid="{00000000-0005-0000-0000-0000CB400000}"/>
    <cellStyle name="Note 2 9 3 2" xfId="8099" xr:uid="{00000000-0005-0000-0000-0000CC400000}"/>
    <cellStyle name="Note 2 9 3 2 2" xfId="17494" xr:uid="{00000000-0005-0000-0000-0000CD400000}"/>
    <cellStyle name="Note 2 9 3 2 2 2" xfId="32326" xr:uid="{00000000-0005-0000-0000-0000CE400000}"/>
    <cellStyle name="Note 2 9 3 2 3" xfId="23861" xr:uid="{00000000-0005-0000-0000-0000CF400000}"/>
    <cellStyle name="Note 2 9 3 3" xfId="14384" xr:uid="{00000000-0005-0000-0000-0000D0400000}"/>
    <cellStyle name="Note 2 9 3 3 2" xfId="29216" xr:uid="{00000000-0005-0000-0000-0000D1400000}"/>
    <cellStyle name="Note 2 9 3 4" xfId="11110" xr:uid="{00000000-0005-0000-0000-0000D2400000}"/>
    <cellStyle name="Note 2 9 3 4 2" xfId="25942" xr:uid="{00000000-0005-0000-0000-0000D3400000}"/>
    <cellStyle name="Note 2 9 3 5" xfId="21495" xr:uid="{00000000-0005-0000-0000-0000D4400000}"/>
    <cellStyle name="Note 2 9 4" xfId="4397" xr:uid="{00000000-0005-0000-0000-0000D5400000}"/>
    <cellStyle name="Note 2 9 4 2" xfId="8436" xr:uid="{00000000-0005-0000-0000-0000D6400000}"/>
    <cellStyle name="Note 2 9 4 2 2" xfId="17657" xr:uid="{00000000-0005-0000-0000-0000D7400000}"/>
    <cellStyle name="Note 2 9 4 2 2 2" xfId="32489" xr:uid="{00000000-0005-0000-0000-0000D8400000}"/>
    <cellStyle name="Note 2 9 4 2 3" xfId="24094" xr:uid="{00000000-0005-0000-0000-0000D9400000}"/>
    <cellStyle name="Note 2 9 4 3" xfId="14726" xr:uid="{00000000-0005-0000-0000-0000DA400000}"/>
    <cellStyle name="Note 2 9 4 3 2" xfId="29558" xr:uid="{00000000-0005-0000-0000-0000DB400000}"/>
    <cellStyle name="Note 2 9 4 4" xfId="11265" xr:uid="{00000000-0005-0000-0000-0000DC400000}"/>
    <cellStyle name="Note 2 9 4 4 2" xfId="26097" xr:uid="{00000000-0005-0000-0000-0000DD400000}"/>
    <cellStyle name="Note 2 9 4 5" xfId="21662" xr:uid="{00000000-0005-0000-0000-0000DE400000}"/>
    <cellStyle name="Note 2 9 5" xfId="2387" xr:uid="{00000000-0005-0000-0000-0000DF400000}"/>
    <cellStyle name="Note 2 9 5 2" xfId="6499" xr:uid="{00000000-0005-0000-0000-0000E0400000}"/>
    <cellStyle name="Note 2 9 5 2 2" xfId="16555" xr:uid="{00000000-0005-0000-0000-0000E1400000}"/>
    <cellStyle name="Note 2 9 5 2 2 2" xfId="31387" xr:uid="{00000000-0005-0000-0000-0000E2400000}"/>
    <cellStyle name="Note 2 9 5 2 3" xfId="22869" xr:uid="{00000000-0005-0000-0000-0000E3400000}"/>
    <cellStyle name="Note 2 9 5 3" xfId="12726" xr:uid="{00000000-0005-0000-0000-0000E4400000}"/>
    <cellStyle name="Note 2 9 5 3 2" xfId="27558" xr:uid="{00000000-0005-0000-0000-0000E5400000}"/>
    <cellStyle name="Note 2 9 5 4" xfId="10205" xr:uid="{00000000-0005-0000-0000-0000E6400000}"/>
    <cellStyle name="Note 2 9 5 4 2" xfId="25037" xr:uid="{00000000-0005-0000-0000-0000E7400000}"/>
    <cellStyle name="Note 2 9 5 5" xfId="20511" xr:uid="{00000000-0005-0000-0000-0000E8400000}"/>
    <cellStyle name="Note 2 9 6" xfId="5512" xr:uid="{00000000-0005-0000-0000-0000E9400000}"/>
    <cellStyle name="Note 2 9 6 2" xfId="15747" xr:uid="{00000000-0005-0000-0000-0000EA400000}"/>
    <cellStyle name="Note 2 9 6 2 2" xfId="30579" xr:uid="{00000000-0005-0000-0000-0000EB400000}"/>
    <cellStyle name="Note 2 9 6 3" xfId="22240" xr:uid="{00000000-0005-0000-0000-0000EC400000}"/>
    <cellStyle name="Note 2 9 7" xfId="11762" xr:uid="{00000000-0005-0000-0000-0000ED400000}"/>
    <cellStyle name="Note 2 9 7 2" xfId="26594" xr:uid="{00000000-0005-0000-0000-0000EE400000}"/>
    <cellStyle name="Note 2 9 8" xfId="9433" xr:uid="{00000000-0005-0000-0000-0000EF400000}"/>
    <cellStyle name="Note 2 9 8 2" xfId="19737" xr:uid="{00000000-0005-0000-0000-0000F0400000}"/>
    <cellStyle name="Note 3" xfId="1224" xr:uid="{00000000-0005-0000-0000-0000F1400000}"/>
    <cellStyle name="Note 3 10" xfId="2310" xr:uid="{00000000-0005-0000-0000-0000F2400000}"/>
    <cellStyle name="Note 3 10 2" xfId="6422" xr:uid="{00000000-0005-0000-0000-0000F3400000}"/>
    <cellStyle name="Note 3 10 2 2" xfId="16515" xr:uid="{00000000-0005-0000-0000-0000F4400000}"/>
    <cellStyle name="Note 3 10 2 2 2" xfId="31347" xr:uid="{00000000-0005-0000-0000-0000F5400000}"/>
    <cellStyle name="Note 3 10 2 3" xfId="22824" xr:uid="{00000000-0005-0000-0000-0000F6400000}"/>
    <cellStyle name="Note 3 10 3" xfId="12650" xr:uid="{00000000-0005-0000-0000-0000F7400000}"/>
    <cellStyle name="Note 3 10 3 2" xfId="27482" xr:uid="{00000000-0005-0000-0000-0000F8400000}"/>
    <cellStyle name="Note 3 10 4" xfId="10166" xr:uid="{00000000-0005-0000-0000-0000F9400000}"/>
    <cellStyle name="Note 3 10 4 2" xfId="24998" xr:uid="{00000000-0005-0000-0000-0000FA400000}"/>
    <cellStyle name="Note 3 10 5" xfId="20473" xr:uid="{00000000-0005-0000-0000-0000FB400000}"/>
    <cellStyle name="Note 3 11" xfId="5273" xr:uid="{00000000-0005-0000-0000-0000FC400000}"/>
    <cellStyle name="Note 3 11 2" xfId="9281" xr:uid="{00000000-0005-0000-0000-0000FD400000}"/>
    <cellStyle name="Note 3 11 2 2" xfId="18148" xr:uid="{00000000-0005-0000-0000-0000FE400000}"/>
    <cellStyle name="Note 3 11 2 2 2" xfId="32980" xr:uid="{00000000-0005-0000-0000-0000FF400000}"/>
    <cellStyle name="Note 3 11 2 3" xfId="24619" xr:uid="{00000000-0005-0000-0000-000000410000}"/>
    <cellStyle name="Note 3 11 3" xfId="15589" xr:uid="{00000000-0005-0000-0000-000001410000}"/>
    <cellStyle name="Note 3 11 3 2" xfId="30421" xr:uid="{00000000-0005-0000-0000-000002410000}"/>
    <cellStyle name="Note 3 11 4" xfId="22130" xr:uid="{00000000-0005-0000-0000-000003410000}"/>
    <cellStyle name="Note 3 12" xfId="5431" xr:uid="{00000000-0005-0000-0000-000004410000}"/>
    <cellStyle name="Note 3 12 2" xfId="15667" xr:uid="{00000000-0005-0000-0000-000005410000}"/>
    <cellStyle name="Note 3 12 2 2" xfId="30499" xr:uid="{00000000-0005-0000-0000-000006410000}"/>
    <cellStyle name="Note 3 12 3" xfId="22192" xr:uid="{00000000-0005-0000-0000-000007410000}"/>
    <cellStyle name="Note 3 13" xfId="9360" xr:uid="{00000000-0005-0000-0000-000008410000}"/>
    <cellStyle name="Note 3 13 2" xfId="24666" xr:uid="{00000000-0005-0000-0000-000009410000}"/>
    <cellStyle name="Note 3 14" xfId="5349" xr:uid="{00000000-0005-0000-0000-00000A410000}"/>
    <cellStyle name="Note 3 14 2" xfId="18223" xr:uid="{00000000-0005-0000-0000-00000B410000}"/>
    <cellStyle name="Note 3 2" xfId="1343" xr:uid="{00000000-0005-0000-0000-00000C410000}"/>
    <cellStyle name="Note 3 2 2" xfId="1847" xr:uid="{00000000-0005-0000-0000-00000D410000}"/>
    <cellStyle name="Note 3 2 2 2" xfId="4015" xr:uid="{00000000-0005-0000-0000-00000E410000}"/>
    <cellStyle name="Note 3 2 2 2 2" xfId="8062" xr:uid="{00000000-0005-0000-0000-00000F410000}"/>
    <cellStyle name="Note 3 2 2 2 2 2" xfId="17475" xr:uid="{00000000-0005-0000-0000-000010410000}"/>
    <cellStyle name="Note 3 2 2 2 2 2 2" xfId="32307" xr:uid="{00000000-0005-0000-0000-000011410000}"/>
    <cellStyle name="Note 3 2 2 2 2 3" xfId="23839" xr:uid="{00000000-0005-0000-0000-000012410000}"/>
    <cellStyle name="Note 3 2 2 2 3" xfId="14347" xr:uid="{00000000-0005-0000-0000-000013410000}"/>
    <cellStyle name="Note 3 2 2 2 3 2" xfId="29179" xr:uid="{00000000-0005-0000-0000-000014410000}"/>
    <cellStyle name="Note 3 2 2 2 4" xfId="11091" xr:uid="{00000000-0005-0000-0000-000015410000}"/>
    <cellStyle name="Note 3 2 2 2 4 2" xfId="25923" xr:uid="{00000000-0005-0000-0000-000016410000}"/>
    <cellStyle name="Note 3 2 2 2 5" xfId="21477" xr:uid="{00000000-0005-0000-0000-000017410000}"/>
    <cellStyle name="Note 3 2 2 3" xfId="4825" xr:uid="{00000000-0005-0000-0000-000018410000}"/>
    <cellStyle name="Note 3 2 2 3 2" xfId="8864" xr:uid="{00000000-0005-0000-0000-000019410000}"/>
    <cellStyle name="Note 3 2 2 3 2 2" xfId="17905" xr:uid="{00000000-0005-0000-0000-00001A410000}"/>
    <cellStyle name="Note 3 2 2 3 2 2 2" xfId="32737" xr:uid="{00000000-0005-0000-0000-00001B410000}"/>
    <cellStyle name="Note 3 2 2 3 2 3" xfId="24362" xr:uid="{00000000-0005-0000-0000-00001C410000}"/>
    <cellStyle name="Note 3 2 2 3 3" xfId="15149" xr:uid="{00000000-0005-0000-0000-00001D410000}"/>
    <cellStyle name="Note 3 2 2 3 3 2" xfId="29981" xr:uid="{00000000-0005-0000-0000-00001E410000}"/>
    <cellStyle name="Note 3 2 2 3 4" xfId="11508" xr:uid="{00000000-0005-0000-0000-00001F410000}"/>
    <cellStyle name="Note 3 2 2 3 4 2" xfId="26340" xr:uid="{00000000-0005-0000-0000-000020410000}"/>
    <cellStyle name="Note 3 2 2 3 5" xfId="21900" xr:uid="{00000000-0005-0000-0000-000021410000}"/>
    <cellStyle name="Note 3 2 2 4" xfId="2815" xr:uid="{00000000-0005-0000-0000-000022410000}"/>
    <cellStyle name="Note 3 2 2 4 2" xfId="6906" xr:uid="{00000000-0005-0000-0000-000023410000}"/>
    <cellStyle name="Note 3 2 2 4 2 2" xfId="16799" xr:uid="{00000000-0005-0000-0000-000024410000}"/>
    <cellStyle name="Note 3 2 2 4 2 2 2" xfId="31631" xr:uid="{00000000-0005-0000-0000-000025410000}"/>
    <cellStyle name="Note 3 2 2 4 2 3" xfId="23113" xr:uid="{00000000-0005-0000-0000-000026410000}"/>
    <cellStyle name="Note 3 2 2 4 3" xfId="13153" xr:uid="{00000000-0005-0000-0000-000027410000}"/>
    <cellStyle name="Note 3 2 2 4 3 2" xfId="27985" xr:uid="{00000000-0005-0000-0000-000028410000}"/>
    <cellStyle name="Note 3 2 2 4 4" xfId="10452" xr:uid="{00000000-0005-0000-0000-000029410000}"/>
    <cellStyle name="Note 3 2 2 4 4 2" xfId="25284" xr:uid="{00000000-0005-0000-0000-00002A410000}"/>
    <cellStyle name="Note 3 2 2 4 5" xfId="20773" xr:uid="{00000000-0005-0000-0000-00002B410000}"/>
    <cellStyle name="Note 3 2 2 5" xfId="5979" xr:uid="{00000000-0005-0000-0000-00002C410000}"/>
    <cellStyle name="Note 3 2 2 5 2" xfId="16171" xr:uid="{00000000-0005-0000-0000-00002D410000}"/>
    <cellStyle name="Note 3 2 2 5 2 2" xfId="31003" xr:uid="{00000000-0005-0000-0000-00002E410000}"/>
    <cellStyle name="Note 3 2 2 5 3" xfId="22544" xr:uid="{00000000-0005-0000-0000-00002F410000}"/>
    <cellStyle name="Note 3 2 2 6" xfId="12241" xr:uid="{00000000-0005-0000-0000-000030410000}"/>
    <cellStyle name="Note 3 2 2 6 2" xfId="27073" xr:uid="{00000000-0005-0000-0000-000031410000}"/>
    <cellStyle name="Note 3 2 2 7" xfId="9837" xr:uid="{00000000-0005-0000-0000-000032410000}"/>
    <cellStyle name="Note 3 2 2 7 2" xfId="24763" xr:uid="{00000000-0005-0000-0000-000033410000}"/>
    <cellStyle name="Note 3 2 2 8" xfId="20321" xr:uid="{00000000-0005-0000-0000-000034410000}"/>
    <cellStyle name="Note 3 2 3" xfId="3430" xr:uid="{00000000-0005-0000-0000-000035410000}"/>
    <cellStyle name="Note 3 2 3 2" xfId="7493" xr:uid="{00000000-0005-0000-0000-000036410000}"/>
    <cellStyle name="Note 3 2 3 2 2" xfId="17187" xr:uid="{00000000-0005-0000-0000-000037410000}"/>
    <cellStyle name="Note 3 2 3 2 2 2" xfId="32019" xr:uid="{00000000-0005-0000-0000-000038410000}"/>
    <cellStyle name="Note 3 2 3 2 3" xfId="23470" xr:uid="{00000000-0005-0000-0000-000039410000}"/>
    <cellStyle name="Note 3 2 3 3" xfId="13767" xr:uid="{00000000-0005-0000-0000-00003A410000}"/>
    <cellStyle name="Note 3 2 3 3 2" xfId="28599" xr:uid="{00000000-0005-0000-0000-00003B410000}"/>
    <cellStyle name="Note 3 2 3 4" xfId="10806" xr:uid="{00000000-0005-0000-0000-00003C410000}"/>
    <cellStyle name="Note 3 2 3 4 2" xfId="25638" xr:uid="{00000000-0005-0000-0000-00003D410000}"/>
    <cellStyle name="Note 3 2 3 5" xfId="21146" xr:uid="{00000000-0005-0000-0000-00003E410000}"/>
    <cellStyle name="Note 3 2 4" xfId="4405" xr:uid="{00000000-0005-0000-0000-00003F410000}"/>
    <cellStyle name="Note 3 2 4 2" xfId="8444" xr:uid="{00000000-0005-0000-0000-000040410000}"/>
    <cellStyle name="Note 3 2 4 2 2" xfId="17665" xr:uid="{00000000-0005-0000-0000-000041410000}"/>
    <cellStyle name="Note 3 2 4 2 2 2" xfId="32497" xr:uid="{00000000-0005-0000-0000-000042410000}"/>
    <cellStyle name="Note 3 2 4 2 3" xfId="24102" xr:uid="{00000000-0005-0000-0000-000043410000}"/>
    <cellStyle name="Note 3 2 4 3" xfId="14734" xr:uid="{00000000-0005-0000-0000-000044410000}"/>
    <cellStyle name="Note 3 2 4 3 2" xfId="29566" xr:uid="{00000000-0005-0000-0000-000045410000}"/>
    <cellStyle name="Note 3 2 4 4" xfId="11273" xr:uid="{00000000-0005-0000-0000-000046410000}"/>
    <cellStyle name="Note 3 2 4 4 2" xfId="26105" xr:uid="{00000000-0005-0000-0000-000047410000}"/>
    <cellStyle name="Note 3 2 4 5" xfId="21670" xr:uid="{00000000-0005-0000-0000-000048410000}"/>
    <cellStyle name="Note 3 2 5" xfId="2395" xr:uid="{00000000-0005-0000-0000-000049410000}"/>
    <cellStyle name="Note 3 2 5 2" xfId="6507" xr:uid="{00000000-0005-0000-0000-00004A410000}"/>
    <cellStyle name="Note 3 2 5 2 2" xfId="16563" xr:uid="{00000000-0005-0000-0000-00004B410000}"/>
    <cellStyle name="Note 3 2 5 2 2 2" xfId="31395" xr:uid="{00000000-0005-0000-0000-00004C410000}"/>
    <cellStyle name="Note 3 2 5 2 3" xfId="22877" xr:uid="{00000000-0005-0000-0000-00004D410000}"/>
    <cellStyle name="Note 3 2 5 3" xfId="12734" xr:uid="{00000000-0005-0000-0000-00004E410000}"/>
    <cellStyle name="Note 3 2 5 3 2" xfId="27566" xr:uid="{00000000-0005-0000-0000-00004F410000}"/>
    <cellStyle name="Note 3 2 5 4" xfId="10213" xr:uid="{00000000-0005-0000-0000-000050410000}"/>
    <cellStyle name="Note 3 2 5 4 2" xfId="25045" xr:uid="{00000000-0005-0000-0000-000051410000}"/>
    <cellStyle name="Note 3 2 5 5" xfId="20519" xr:uid="{00000000-0005-0000-0000-000052410000}"/>
    <cellStyle name="Note 3 2 6" xfId="5520" xr:uid="{00000000-0005-0000-0000-000053410000}"/>
    <cellStyle name="Note 3 2 6 2" xfId="15755" xr:uid="{00000000-0005-0000-0000-000054410000}"/>
    <cellStyle name="Note 3 2 6 2 2" xfId="30587" xr:uid="{00000000-0005-0000-0000-000055410000}"/>
    <cellStyle name="Note 3 2 6 3" xfId="22248" xr:uid="{00000000-0005-0000-0000-000056410000}"/>
    <cellStyle name="Note 3 2 7" xfId="11770" xr:uid="{00000000-0005-0000-0000-000057410000}"/>
    <cellStyle name="Note 3 2 7 2" xfId="26602" xr:uid="{00000000-0005-0000-0000-000058410000}"/>
    <cellStyle name="Note 3 2 8" xfId="9441" xr:uid="{00000000-0005-0000-0000-000059410000}"/>
    <cellStyle name="Note 3 2 8 2" xfId="19745" xr:uid="{00000000-0005-0000-0000-00005A410000}"/>
    <cellStyle name="Note 3 3" xfId="1513" xr:uid="{00000000-0005-0000-0000-00005B410000}"/>
    <cellStyle name="Note 3 3 2" xfId="2010" xr:uid="{00000000-0005-0000-0000-00005C410000}"/>
    <cellStyle name="Note 3 3 2 2" xfId="3872" xr:uid="{00000000-0005-0000-0000-00005D410000}"/>
    <cellStyle name="Note 3 3 2 2 2" xfId="7924" xr:uid="{00000000-0005-0000-0000-00005E410000}"/>
    <cellStyle name="Note 3 3 2 2 2 2" xfId="17403" xr:uid="{00000000-0005-0000-0000-00005F410000}"/>
    <cellStyle name="Note 3 3 2 2 2 2 2" xfId="32235" xr:uid="{00000000-0005-0000-0000-000060410000}"/>
    <cellStyle name="Note 3 3 2 2 2 3" xfId="23753" xr:uid="{00000000-0005-0000-0000-000061410000}"/>
    <cellStyle name="Note 3 3 2 2 3" xfId="14207" xr:uid="{00000000-0005-0000-0000-000062410000}"/>
    <cellStyle name="Note 3 3 2 2 3 2" xfId="29039" xr:uid="{00000000-0005-0000-0000-000063410000}"/>
    <cellStyle name="Note 3 3 2 2 4" xfId="11022" xr:uid="{00000000-0005-0000-0000-000064410000}"/>
    <cellStyle name="Note 3 3 2 2 4 2" xfId="25854" xr:uid="{00000000-0005-0000-0000-000065410000}"/>
    <cellStyle name="Note 3 3 2 2 5" xfId="21395" xr:uid="{00000000-0005-0000-0000-000066410000}"/>
    <cellStyle name="Note 3 3 2 3" xfId="4978" xr:uid="{00000000-0005-0000-0000-000067410000}"/>
    <cellStyle name="Note 3 3 2 3 2" xfId="9017" xr:uid="{00000000-0005-0000-0000-000068410000}"/>
    <cellStyle name="Note 3 3 2 3 2 2" xfId="17955" xr:uid="{00000000-0005-0000-0000-000069410000}"/>
    <cellStyle name="Note 3 3 2 3 2 2 2" xfId="32787" xr:uid="{00000000-0005-0000-0000-00006A410000}"/>
    <cellStyle name="Note 3 3 2 3 2 3" xfId="24483" xr:uid="{00000000-0005-0000-0000-00006B410000}"/>
    <cellStyle name="Note 3 3 2 3 3" xfId="15300" xr:uid="{00000000-0005-0000-0000-00006C410000}"/>
    <cellStyle name="Note 3 3 2 3 3 2" xfId="30132" xr:uid="{00000000-0005-0000-0000-00006D410000}"/>
    <cellStyle name="Note 3 3 2 3 4" xfId="11556" xr:uid="{00000000-0005-0000-0000-00006E410000}"/>
    <cellStyle name="Note 3 3 2 3 4 2" xfId="26388" xr:uid="{00000000-0005-0000-0000-00006F410000}"/>
    <cellStyle name="Note 3 3 2 3 5" xfId="22009" xr:uid="{00000000-0005-0000-0000-000070410000}"/>
    <cellStyle name="Note 3 3 2 4" xfId="2968" xr:uid="{00000000-0005-0000-0000-000071410000}"/>
    <cellStyle name="Note 3 3 2 4 2" xfId="7048" xr:uid="{00000000-0005-0000-0000-000072410000}"/>
    <cellStyle name="Note 3 3 2 4 2 2" xfId="16847" xr:uid="{00000000-0005-0000-0000-000073410000}"/>
    <cellStyle name="Note 3 3 2 4 2 2 2" xfId="31679" xr:uid="{00000000-0005-0000-0000-000074410000}"/>
    <cellStyle name="Note 3 3 2 4 2 3" xfId="23222" xr:uid="{00000000-0005-0000-0000-000075410000}"/>
    <cellStyle name="Note 3 3 2 4 3" xfId="13306" xr:uid="{00000000-0005-0000-0000-000076410000}"/>
    <cellStyle name="Note 3 3 2 4 3 2" xfId="28138" xr:uid="{00000000-0005-0000-0000-000077410000}"/>
    <cellStyle name="Note 3 3 2 4 4" xfId="10502" xr:uid="{00000000-0005-0000-0000-000078410000}"/>
    <cellStyle name="Note 3 3 2 4 4 2" xfId="25334" xr:uid="{00000000-0005-0000-0000-000079410000}"/>
    <cellStyle name="Note 3 3 2 4 5" xfId="20894" xr:uid="{00000000-0005-0000-0000-00007A410000}"/>
    <cellStyle name="Note 3 3 2 5" xfId="6140" xr:uid="{00000000-0005-0000-0000-00007B410000}"/>
    <cellStyle name="Note 3 3 2 5 2" xfId="16327" xr:uid="{00000000-0005-0000-0000-00007C410000}"/>
    <cellStyle name="Note 3 3 2 5 2 2" xfId="31159" xr:uid="{00000000-0005-0000-0000-00007D410000}"/>
    <cellStyle name="Note 3 3 2 5 3" xfId="22673" xr:uid="{00000000-0005-0000-0000-00007E410000}"/>
    <cellStyle name="Note 3 3 2 6" xfId="12397" xr:uid="{00000000-0005-0000-0000-00007F410000}"/>
    <cellStyle name="Note 3 3 2 6 2" xfId="27229" xr:uid="{00000000-0005-0000-0000-000080410000}"/>
    <cellStyle name="Note 3 3 2 7" xfId="9979" xr:uid="{00000000-0005-0000-0000-000081410000}"/>
    <cellStyle name="Note 3 3 2 7 2" xfId="24811" xr:uid="{00000000-0005-0000-0000-000082410000}"/>
    <cellStyle name="Note 3 3 2 8" xfId="20352" xr:uid="{00000000-0005-0000-0000-000083410000}"/>
    <cellStyle name="Note 3 3 3" xfId="3985" xr:uid="{00000000-0005-0000-0000-000084410000}"/>
    <cellStyle name="Note 3 3 3 2" xfId="8033" xr:uid="{00000000-0005-0000-0000-000085410000}"/>
    <cellStyle name="Note 3 3 3 2 2" xfId="17458" xr:uid="{00000000-0005-0000-0000-000086410000}"/>
    <cellStyle name="Note 3 3 3 2 2 2" xfId="32290" xr:uid="{00000000-0005-0000-0000-000087410000}"/>
    <cellStyle name="Note 3 3 3 2 3" xfId="23822" xr:uid="{00000000-0005-0000-0000-000088410000}"/>
    <cellStyle name="Note 3 3 3 3" xfId="14318" xr:uid="{00000000-0005-0000-0000-000089410000}"/>
    <cellStyle name="Note 3 3 3 3 2" xfId="29150" xr:uid="{00000000-0005-0000-0000-00008A410000}"/>
    <cellStyle name="Note 3 3 3 4" xfId="11075" xr:uid="{00000000-0005-0000-0000-00008B410000}"/>
    <cellStyle name="Note 3 3 3 4 2" xfId="25907" xr:uid="{00000000-0005-0000-0000-00008C410000}"/>
    <cellStyle name="Note 3 3 3 5" xfId="21461" xr:uid="{00000000-0005-0000-0000-00008D410000}"/>
    <cellStyle name="Note 3 3 4" xfId="4558" xr:uid="{00000000-0005-0000-0000-00008E410000}"/>
    <cellStyle name="Note 3 3 4 2" xfId="8597" xr:uid="{00000000-0005-0000-0000-00008F410000}"/>
    <cellStyle name="Note 3 3 4 2 2" xfId="17715" xr:uid="{00000000-0005-0000-0000-000090410000}"/>
    <cellStyle name="Note 3 3 4 2 2 2" xfId="32547" xr:uid="{00000000-0005-0000-0000-000091410000}"/>
    <cellStyle name="Note 3 3 4 2 3" xfId="24223" xr:uid="{00000000-0005-0000-0000-000092410000}"/>
    <cellStyle name="Note 3 3 4 3" xfId="14885" xr:uid="{00000000-0005-0000-0000-000093410000}"/>
    <cellStyle name="Note 3 3 4 3 2" xfId="29717" xr:uid="{00000000-0005-0000-0000-000094410000}"/>
    <cellStyle name="Note 3 3 4 4" xfId="11321" xr:uid="{00000000-0005-0000-0000-000095410000}"/>
    <cellStyle name="Note 3 3 4 4 2" xfId="26153" xr:uid="{00000000-0005-0000-0000-000096410000}"/>
    <cellStyle name="Note 3 3 4 5" xfId="21779" xr:uid="{00000000-0005-0000-0000-000097410000}"/>
    <cellStyle name="Note 3 3 5" xfId="2548" xr:uid="{00000000-0005-0000-0000-000098410000}"/>
    <cellStyle name="Note 3 3 5 2" xfId="6654" xr:uid="{00000000-0005-0000-0000-000099410000}"/>
    <cellStyle name="Note 3 3 5 2 2" xfId="16612" xr:uid="{00000000-0005-0000-0000-00009A410000}"/>
    <cellStyle name="Note 3 3 5 2 2 2" xfId="31444" xr:uid="{00000000-0005-0000-0000-00009B410000}"/>
    <cellStyle name="Note 3 3 5 2 3" xfId="22992" xr:uid="{00000000-0005-0000-0000-00009C410000}"/>
    <cellStyle name="Note 3 3 5 3" xfId="12886" xr:uid="{00000000-0005-0000-0000-00009D410000}"/>
    <cellStyle name="Note 3 3 5 3 2" xfId="27718" xr:uid="{00000000-0005-0000-0000-00009E410000}"/>
    <cellStyle name="Note 3 3 5 4" xfId="10262" xr:uid="{00000000-0005-0000-0000-00009F410000}"/>
    <cellStyle name="Note 3 3 5 4 2" xfId="25094" xr:uid="{00000000-0005-0000-0000-0000A0410000}"/>
    <cellStyle name="Note 3 3 5 5" xfId="20634" xr:uid="{00000000-0005-0000-0000-0000A1410000}"/>
    <cellStyle name="Note 3 3 6" xfId="5671" xr:uid="{00000000-0005-0000-0000-0000A2410000}"/>
    <cellStyle name="Note 3 3 6 2" xfId="15906" xr:uid="{00000000-0005-0000-0000-0000A3410000}"/>
    <cellStyle name="Note 3 3 6 2 2" xfId="30738" xr:uid="{00000000-0005-0000-0000-0000A4410000}"/>
    <cellStyle name="Note 3 3 6 3" xfId="22367" xr:uid="{00000000-0005-0000-0000-0000A5410000}"/>
    <cellStyle name="Note 3 3 7" xfId="11926" xr:uid="{00000000-0005-0000-0000-0000A6410000}"/>
    <cellStyle name="Note 3 3 7 2" xfId="26758" xr:uid="{00000000-0005-0000-0000-0000A7410000}"/>
    <cellStyle name="Note 3 3 8" xfId="9584" xr:uid="{00000000-0005-0000-0000-0000A8410000}"/>
    <cellStyle name="Note 3 3 8 2" xfId="19886" xr:uid="{00000000-0005-0000-0000-0000A9410000}"/>
    <cellStyle name="Note 3 4" xfId="1568" xr:uid="{00000000-0005-0000-0000-0000AA410000}"/>
    <cellStyle name="Note 3 4 2" xfId="2065" xr:uid="{00000000-0005-0000-0000-0000AB410000}"/>
    <cellStyle name="Note 3 4 2 2" xfId="3406" xr:uid="{00000000-0005-0000-0000-0000AC410000}"/>
    <cellStyle name="Note 3 4 2 2 2" xfId="7469" xr:uid="{00000000-0005-0000-0000-0000AD410000}"/>
    <cellStyle name="Note 3 4 2 2 2 2" xfId="17168" xr:uid="{00000000-0005-0000-0000-0000AE410000}"/>
    <cellStyle name="Note 3 4 2 2 2 2 2" xfId="32000" xr:uid="{00000000-0005-0000-0000-0000AF410000}"/>
    <cellStyle name="Note 3 4 2 2 2 3" xfId="23457" xr:uid="{00000000-0005-0000-0000-0000B0410000}"/>
    <cellStyle name="Note 3 4 2 2 3" xfId="13743" xr:uid="{00000000-0005-0000-0000-0000B1410000}"/>
    <cellStyle name="Note 3 4 2 2 3 2" xfId="28575" xr:uid="{00000000-0005-0000-0000-0000B2410000}"/>
    <cellStyle name="Note 3 4 2 2 4" xfId="10787" xr:uid="{00000000-0005-0000-0000-0000B3410000}"/>
    <cellStyle name="Note 3 4 2 2 4 2" xfId="25619" xr:uid="{00000000-0005-0000-0000-0000B4410000}"/>
    <cellStyle name="Note 3 4 2 2 5" xfId="21135" xr:uid="{00000000-0005-0000-0000-0000B5410000}"/>
    <cellStyle name="Note 3 4 2 3" xfId="5033" xr:uid="{00000000-0005-0000-0000-0000B6410000}"/>
    <cellStyle name="Note 3 4 2 3 2" xfId="9072" xr:uid="{00000000-0005-0000-0000-0000B7410000}"/>
    <cellStyle name="Note 3 4 2 3 2 2" xfId="18005" xr:uid="{00000000-0005-0000-0000-0000B8410000}"/>
    <cellStyle name="Note 3 4 2 3 2 2 2" xfId="32837" xr:uid="{00000000-0005-0000-0000-0000B9410000}"/>
    <cellStyle name="Note 3 4 2 3 2 3" xfId="24506" xr:uid="{00000000-0005-0000-0000-0000BA410000}"/>
    <cellStyle name="Note 3 4 2 3 3" xfId="15354" xr:uid="{00000000-0005-0000-0000-0000BB410000}"/>
    <cellStyle name="Note 3 4 2 3 3 2" xfId="30186" xr:uid="{00000000-0005-0000-0000-0000BC410000}"/>
    <cellStyle name="Note 3 4 2 3 4" xfId="11605" xr:uid="{00000000-0005-0000-0000-0000BD410000}"/>
    <cellStyle name="Note 3 4 2 3 4 2" xfId="26437" xr:uid="{00000000-0005-0000-0000-0000BE410000}"/>
    <cellStyle name="Note 3 4 2 3 5" xfId="22026" xr:uid="{00000000-0005-0000-0000-0000BF410000}"/>
    <cellStyle name="Note 3 4 2 4" xfId="3023" xr:uid="{00000000-0005-0000-0000-0000C0410000}"/>
    <cellStyle name="Note 3 4 2 4 2" xfId="7098" xr:uid="{00000000-0005-0000-0000-0000C1410000}"/>
    <cellStyle name="Note 3 4 2 4 2 2" xfId="16896" xr:uid="{00000000-0005-0000-0000-0000C2410000}"/>
    <cellStyle name="Note 3 4 2 4 2 2 2" xfId="31728" xr:uid="{00000000-0005-0000-0000-0000C3410000}"/>
    <cellStyle name="Note 3 4 2 4 2 3" xfId="23239" xr:uid="{00000000-0005-0000-0000-0000C4410000}"/>
    <cellStyle name="Note 3 4 2 4 3" xfId="13361" xr:uid="{00000000-0005-0000-0000-0000C5410000}"/>
    <cellStyle name="Note 3 4 2 4 3 2" xfId="28193" xr:uid="{00000000-0005-0000-0000-0000C6410000}"/>
    <cellStyle name="Note 3 4 2 4 4" xfId="10552" xr:uid="{00000000-0005-0000-0000-0000C7410000}"/>
    <cellStyle name="Note 3 4 2 4 4 2" xfId="25384" xr:uid="{00000000-0005-0000-0000-0000C8410000}"/>
    <cellStyle name="Note 3 4 2 4 5" xfId="20917" xr:uid="{00000000-0005-0000-0000-0000C9410000}"/>
    <cellStyle name="Note 3 4 2 5" xfId="6190" xr:uid="{00000000-0005-0000-0000-0000CA410000}"/>
    <cellStyle name="Note 3 4 2 5 2" xfId="16376" xr:uid="{00000000-0005-0000-0000-0000CB410000}"/>
    <cellStyle name="Note 3 4 2 5 2 2" xfId="31208" xr:uid="{00000000-0005-0000-0000-0000CC410000}"/>
    <cellStyle name="Note 3 4 2 5 3" xfId="22690" xr:uid="{00000000-0005-0000-0000-0000CD410000}"/>
    <cellStyle name="Note 3 4 2 6" xfId="12446" xr:uid="{00000000-0005-0000-0000-0000CE410000}"/>
    <cellStyle name="Note 3 4 2 6 2" xfId="27278" xr:uid="{00000000-0005-0000-0000-0000CF410000}"/>
    <cellStyle name="Note 3 4 2 7" xfId="10028" xr:uid="{00000000-0005-0000-0000-0000D0410000}"/>
    <cellStyle name="Note 3 4 2 7 2" xfId="24860" xr:uid="{00000000-0005-0000-0000-0000D1410000}"/>
    <cellStyle name="Note 3 4 2 8" xfId="20369" xr:uid="{00000000-0005-0000-0000-0000D2410000}"/>
    <cellStyle name="Note 3 4 3" xfId="3290" xr:uid="{00000000-0005-0000-0000-0000D3410000}"/>
    <cellStyle name="Note 3 4 3 2" xfId="7354" xr:uid="{00000000-0005-0000-0000-0000D4410000}"/>
    <cellStyle name="Note 3 4 3 2 2" xfId="17096" xr:uid="{00000000-0005-0000-0000-0000D5410000}"/>
    <cellStyle name="Note 3 4 3 2 2 2" xfId="31928" xr:uid="{00000000-0005-0000-0000-0000D6410000}"/>
    <cellStyle name="Note 3 4 3 2 3" xfId="23380" xr:uid="{00000000-0005-0000-0000-0000D7410000}"/>
    <cellStyle name="Note 3 4 3 3" xfId="13627" xr:uid="{00000000-0005-0000-0000-0000D8410000}"/>
    <cellStyle name="Note 3 4 3 3 2" xfId="28459" xr:uid="{00000000-0005-0000-0000-0000D9410000}"/>
    <cellStyle name="Note 3 4 3 4" xfId="10722" xr:uid="{00000000-0005-0000-0000-0000DA410000}"/>
    <cellStyle name="Note 3 4 3 4 2" xfId="25554" xr:uid="{00000000-0005-0000-0000-0000DB410000}"/>
    <cellStyle name="Note 3 4 3 5" xfId="21067" xr:uid="{00000000-0005-0000-0000-0000DC410000}"/>
    <cellStyle name="Note 3 4 4" xfId="4613" xr:uid="{00000000-0005-0000-0000-0000DD410000}"/>
    <cellStyle name="Note 3 4 4 2" xfId="8652" xr:uid="{00000000-0005-0000-0000-0000DE410000}"/>
    <cellStyle name="Note 3 4 4 2 2" xfId="17765" xr:uid="{00000000-0005-0000-0000-0000DF410000}"/>
    <cellStyle name="Note 3 4 4 2 2 2" xfId="32597" xr:uid="{00000000-0005-0000-0000-0000E0410000}"/>
    <cellStyle name="Note 3 4 4 2 3" xfId="24246" xr:uid="{00000000-0005-0000-0000-0000E1410000}"/>
    <cellStyle name="Note 3 4 4 3" xfId="14939" xr:uid="{00000000-0005-0000-0000-0000E2410000}"/>
    <cellStyle name="Note 3 4 4 3 2" xfId="29771" xr:uid="{00000000-0005-0000-0000-0000E3410000}"/>
    <cellStyle name="Note 3 4 4 4" xfId="11370" xr:uid="{00000000-0005-0000-0000-0000E4410000}"/>
    <cellStyle name="Note 3 4 4 4 2" xfId="26202" xr:uid="{00000000-0005-0000-0000-0000E5410000}"/>
    <cellStyle name="Note 3 4 4 5" xfId="21796" xr:uid="{00000000-0005-0000-0000-0000E6410000}"/>
    <cellStyle name="Note 3 4 5" xfId="2603" xr:uid="{00000000-0005-0000-0000-0000E7410000}"/>
    <cellStyle name="Note 3 4 5 2" xfId="6704" xr:uid="{00000000-0005-0000-0000-0000E8410000}"/>
    <cellStyle name="Note 3 4 5 2 2" xfId="16661" xr:uid="{00000000-0005-0000-0000-0000E9410000}"/>
    <cellStyle name="Note 3 4 5 2 2 2" xfId="31493" xr:uid="{00000000-0005-0000-0000-0000EA410000}"/>
    <cellStyle name="Note 3 4 5 2 3" xfId="23009" xr:uid="{00000000-0005-0000-0000-0000EB410000}"/>
    <cellStyle name="Note 3 4 5 3" xfId="12941" xr:uid="{00000000-0005-0000-0000-0000EC410000}"/>
    <cellStyle name="Note 3 4 5 3 2" xfId="27773" xr:uid="{00000000-0005-0000-0000-0000ED410000}"/>
    <cellStyle name="Note 3 4 5 4" xfId="10312" xr:uid="{00000000-0005-0000-0000-0000EE410000}"/>
    <cellStyle name="Note 3 4 5 4 2" xfId="25144" xr:uid="{00000000-0005-0000-0000-0000EF410000}"/>
    <cellStyle name="Note 3 4 5 5" xfId="20657" xr:uid="{00000000-0005-0000-0000-0000F0410000}"/>
    <cellStyle name="Note 3 4 6" xfId="5720" xr:uid="{00000000-0005-0000-0000-0000F1410000}"/>
    <cellStyle name="Note 3 4 6 2" xfId="15955" xr:uid="{00000000-0005-0000-0000-0000F2410000}"/>
    <cellStyle name="Note 3 4 6 2 2" xfId="30787" xr:uid="{00000000-0005-0000-0000-0000F3410000}"/>
    <cellStyle name="Note 3 4 6 3" xfId="22384" xr:uid="{00000000-0005-0000-0000-0000F4410000}"/>
    <cellStyle name="Note 3 4 7" xfId="11975" xr:uid="{00000000-0005-0000-0000-0000F5410000}"/>
    <cellStyle name="Note 3 4 7 2" xfId="26807" xr:uid="{00000000-0005-0000-0000-0000F6410000}"/>
    <cellStyle name="Note 3 4 8" xfId="9634" xr:uid="{00000000-0005-0000-0000-0000F7410000}"/>
    <cellStyle name="Note 3 4 8 2" xfId="19935" xr:uid="{00000000-0005-0000-0000-0000F8410000}"/>
    <cellStyle name="Note 3 5" xfId="1618" xr:uid="{00000000-0005-0000-0000-0000F9410000}"/>
    <cellStyle name="Note 3 5 2" xfId="2115" xr:uid="{00000000-0005-0000-0000-0000FA410000}"/>
    <cellStyle name="Note 3 5 2 2" xfId="3475" xr:uid="{00000000-0005-0000-0000-0000FB410000}"/>
    <cellStyle name="Note 3 5 2 2 2" xfId="7537" xr:uid="{00000000-0005-0000-0000-0000FC410000}"/>
    <cellStyle name="Note 3 5 2 2 2 2" xfId="17206" xr:uid="{00000000-0005-0000-0000-0000FD410000}"/>
    <cellStyle name="Note 3 5 2 2 2 2 2" xfId="32038" xr:uid="{00000000-0005-0000-0000-0000FE410000}"/>
    <cellStyle name="Note 3 5 2 2 2 3" xfId="23503" xr:uid="{00000000-0005-0000-0000-0000FF410000}"/>
    <cellStyle name="Note 3 5 2 2 3" xfId="13812" xr:uid="{00000000-0005-0000-0000-000000420000}"/>
    <cellStyle name="Note 3 5 2 2 3 2" xfId="28644" xr:uid="{00000000-0005-0000-0000-000001420000}"/>
    <cellStyle name="Note 3 5 2 2 4" xfId="10824" xr:uid="{00000000-0005-0000-0000-000002420000}"/>
    <cellStyle name="Note 3 5 2 2 4 2" xfId="25656" xr:uid="{00000000-0005-0000-0000-000003420000}"/>
    <cellStyle name="Note 3 5 2 2 5" xfId="21179" xr:uid="{00000000-0005-0000-0000-000004420000}"/>
    <cellStyle name="Note 3 5 2 3" xfId="5083" xr:uid="{00000000-0005-0000-0000-000005420000}"/>
    <cellStyle name="Note 3 5 2 3 2" xfId="9122" xr:uid="{00000000-0005-0000-0000-000006420000}"/>
    <cellStyle name="Note 3 5 2 3 2 2" xfId="18050" xr:uid="{00000000-0005-0000-0000-000007420000}"/>
    <cellStyle name="Note 3 5 2 3 2 2 2" xfId="32882" xr:uid="{00000000-0005-0000-0000-000008420000}"/>
    <cellStyle name="Note 3 5 2 3 2 3" xfId="24524" xr:uid="{00000000-0005-0000-0000-000009420000}"/>
    <cellStyle name="Note 3 5 2 3 3" xfId="15403" xr:uid="{00000000-0005-0000-0000-00000A420000}"/>
    <cellStyle name="Note 3 5 2 3 3 2" xfId="30235" xr:uid="{00000000-0005-0000-0000-00000B420000}"/>
    <cellStyle name="Note 3 5 2 3 4" xfId="11649" xr:uid="{00000000-0005-0000-0000-00000C420000}"/>
    <cellStyle name="Note 3 5 2 3 4 2" xfId="26481" xr:uid="{00000000-0005-0000-0000-00000D420000}"/>
    <cellStyle name="Note 3 5 2 3 5" xfId="22038" xr:uid="{00000000-0005-0000-0000-00000E420000}"/>
    <cellStyle name="Note 3 5 2 4" xfId="3073" xr:uid="{00000000-0005-0000-0000-00000F420000}"/>
    <cellStyle name="Note 3 5 2 4 2" xfId="7143" xr:uid="{00000000-0005-0000-0000-000010420000}"/>
    <cellStyle name="Note 3 5 2 4 2 2" xfId="16940" xr:uid="{00000000-0005-0000-0000-000011420000}"/>
    <cellStyle name="Note 3 5 2 4 2 2 2" xfId="31772" xr:uid="{00000000-0005-0000-0000-000012420000}"/>
    <cellStyle name="Note 3 5 2 4 2 3" xfId="23251" xr:uid="{00000000-0005-0000-0000-000013420000}"/>
    <cellStyle name="Note 3 5 2 4 3" xfId="13411" xr:uid="{00000000-0005-0000-0000-000014420000}"/>
    <cellStyle name="Note 3 5 2 4 3 2" xfId="28243" xr:uid="{00000000-0005-0000-0000-000015420000}"/>
    <cellStyle name="Note 3 5 2 4 4" xfId="10597" xr:uid="{00000000-0005-0000-0000-000016420000}"/>
    <cellStyle name="Note 3 5 2 4 4 2" xfId="25429" xr:uid="{00000000-0005-0000-0000-000017420000}"/>
    <cellStyle name="Note 3 5 2 4 5" xfId="20935" xr:uid="{00000000-0005-0000-0000-000018420000}"/>
    <cellStyle name="Note 3 5 2 5" xfId="6235" xr:uid="{00000000-0005-0000-0000-000019420000}"/>
    <cellStyle name="Note 3 5 2 5 2" xfId="16420" xr:uid="{00000000-0005-0000-0000-00001A420000}"/>
    <cellStyle name="Note 3 5 2 5 2 2" xfId="31252" xr:uid="{00000000-0005-0000-0000-00001B420000}"/>
    <cellStyle name="Note 3 5 2 5 3" xfId="22702" xr:uid="{00000000-0005-0000-0000-00001C420000}"/>
    <cellStyle name="Note 3 5 2 6" xfId="12490" xr:uid="{00000000-0005-0000-0000-00001D420000}"/>
    <cellStyle name="Note 3 5 2 6 2" xfId="27322" xr:uid="{00000000-0005-0000-0000-00001E420000}"/>
    <cellStyle name="Note 3 5 2 7" xfId="10072" xr:uid="{00000000-0005-0000-0000-00001F420000}"/>
    <cellStyle name="Note 3 5 2 7 2" xfId="24904" xr:uid="{00000000-0005-0000-0000-000020420000}"/>
    <cellStyle name="Note 3 5 2 8" xfId="20381" xr:uid="{00000000-0005-0000-0000-000021420000}"/>
    <cellStyle name="Note 3 5 3" xfId="4063" xr:uid="{00000000-0005-0000-0000-000022420000}"/>
    <cellStyle name="Note 3 5 3 2" xfId="8110" xr:uid="{00000000-0005-0000-0000-000023420000}"/>
    <cellStyle name="Note 3 5 3 2 2" xfId="17500" xr:uid="{00000000-0005-0000-0000-000024420000}"/>
    <cellStyle name="Note 3 5 3 2 2 2" xfId="32332" xr:uid="{00000000-0005-0000-0000-000025420000}"/>
    <cellStyle name="Note 3 5 3 2 3" xfId="23868" xr:uid="{00000000-0005-0000-0000-000026420000}"/>
    <cellStyle name="Note 3 5 3 3" xfId="14395" xr:uid="{00000000-0005-0000-0000-000027420000}"/>
    <cellStyle name="Note 3 5 3 3 2" xfId="29227" xr:uid="{00000000-0005-0000-0000-000028420000}"/>
    <cellStyle name="Note 3 5 3 4" xfId="11116" xr:uid="{00000000-0005-0000-0000-000029420000}"/>
    <cellStyle name="Note 3 5 3 4 2" xfId="25948" xr:uid="{00000000-0005-0000-0000-00002A420000}"/>
    <cellStyle name="Note 3 5 3 5" xfId="21502" xr:uid="{00000000-0005-0000-0000-00002B420000}"/>
    <cellStyle name="Note 3 5 4" xfId="4663" xr:uid="{00000000-0005-0000-0000-00002C420000}"/>
    <cellStyle name="Note 3 5 4 2" xfId="8702" xr:uid="{00000000-0005-0000-0000-00002D420000}"/>
    <cellStyle name="Note 3 5 4 2 2" xfId="17810" xr:uid="{00000000-0005-0000-0000-00002E420000}"/>
    <cellStyle name="Note 3 5 4 2 2 2" xfId="32642" xr:uid="{00000000-0005-0000-0000-00002F420000}"/>
    <cellStyle name="Note 3 5 4 2 3" xfId="24264" xr:uid="{00000000-0005-0000-0000-000030420000}"/>
    <cellStyle name="Note 3 5 4 3" xfId="14988" xr:uid="{00000000-0005-0000-0000-000031420000}"/>
    <cellStyle name="Note 3 5 4 3 2" xfId="29820" xr:uid="{00000000-0005-0000-0000-000032420000}"/>
    <cellStyle name="Note 3 5 4 4" xfId="11414" xr:uid="{00000000-0005-0000-0000-000033420000}"/>
    <cellStyle name="Note 3 5 4 4 2" xfId="26246" xr:uid="{00000000-0005-0000-0000-000034420000}"/>
    <cellStyle name="Note 3 5 4 5" xfId="21808" xr:uid="{00000000-0005-0000-0000-000035420000}"/>
    <cellStyle name="Note 3 5 5" xfId="2653" xr:uid="{00000000-0005-0000-0000-000036420000}"/>
    <cellStyle name="Note 3 5 5 2" xfId="6749" xr:uid="{00000000-0005-0000-0000-000037420000}"/>
    <cellStyle name="Note 3 5 5 2 2" xfId="16705" xr:uid="{00000000-0005-0000-0000-000038420000}"/>
    <cellStyle name="Note 3 5 5 2 2 2" xfId="31537" xr:uid="{00000000-0005-0000-0000-000039420000}"/>
    <cellStyle name="Note 3 5 5 2 3" xfId="23021" xr:uid="{00000000-0005-0000-0000-00003A420000}"/>
    <cellStyle name="Note 3 5 5 3" xfId="12991" xr:uid="{00000000-0005-0000-0000-00003B420000}"/>
    <cellStyle name="Note 3 5 5 3 2" xfId="27823" xr:uid="{00000000-0005-0000-0000-00003C420000}"/>
    <cellStyle name="Note 3 5 5 4" xfId="10357" xr:uid="{00000000-0005-0000-0000-00003D420000}"/>
    <cellStyle name="Note 3 5 5 4 2" xfId="25189" xr:uid="{00000000-0005-0000-0000-00003E420000}"/>
    <cellStyle name="Note 3 5 5 5" xfId="20675" xr:uid="{00000000-0005-0000-0000-00003F420000}"/>
    <cellStyle name="Note 3 5 6" xfId="5765" xr:uid="{00000000-0005-0000-0000-000040420000}"/>
    <cellStyle name="Note 3 5 6 2" xfId="15999" xr:uid="{00000000-0005-0000-0000-000041420000}"/>
    <cellStyle name="Note 3 5 6 2 2" xfId="30831" xr:uid="{00000000-0005-0000-0000-000042420000}"/>
    <cellStyle name="Note 3 5 6 3" xfId="22396" xr:uid="{00000000-0005-0000-0000-000043420000}"/>
    <cellStyle name="Note 3 5 7" xfId="12019" xr:uid="{00000000-0005-0000-0000-000044420000}"/>
    <cellStyle name="Note 3 5 7 2" xfId="26851" xr:uid="{00000000-0005-0000-0000-000045420000}"/>
    <cellStyle name="Note 3 5 8" xfId="9679" xr:uid="{00000000-0005-0000-0000-000046420000}"/>
    <cellStyle name="Note 3 5 8 2" xfId="19979" xr:uid="{00000000-0005-0000-0000-000047420000}"/>
    <cellStyle name="Note 3 6" xfId="1769" xr:uid="{00000000-0005-0000-0000-000048420000}"/>
    <cellStyle name="Note 3 6 2" xfId="4087" xr:uid="{00000000-0005-0000-0000-000049420000}"/>
    <cellStyle name="Note 3 6 2 2" xfId="8133" xr:uid="{00000000-0005-0000-0000-00004A420000}"/>
    <cellStyle name="Note 3 6 2 2 2" xfId="17512" xr:uid="{00000000-0005-0000-0000-00004B420000}"/>
    <cellStyle name="Note 3 6 2 2 2 2" xfId="32344" xr:uid="{00000000-0005-0000-0000-00004C420000}"/>
    <cellStyle name="Note 3 6 2 2 3" xfId="23881" xr:uid="{00000000-0005-0000-0000-00004D420000}"/>
    <cellStyle name="Note 3 6 2 3" xfId="14419" xr:uid="{00000000-0005-0000-0000-00004E420000}"/>
    <cellStyle name="Note 3 6 2 3 2" xfId="29251" xr:uid="{00000000-0005-0000-0000-00004F420000}"/>
    <cellStyle name="Note 3 6 2 4" xfId="11129" xr:uid="{00000000-0005-0000-0000-000050420000}"/>
    <cellStyle name="Note 3 6 2 4 2" xfId="25961" xr:uid="{00000000-0005-0000-0000-000051420000}"/>
    <cellStyle name="Note 3 6 2 5" xfId="21511" xr:uid="{00000000-0005-0000-0000-000052420000}"/>
    <cellStyle name="Note 3 6 3" xfId="4747" xr:uid="{00000000-0005-0000-0000-000053420000}"/>
    <cellStyle name="Note 3 6 3 2" xfId="8786" xr:uid="{00000000-0005-0000-0000-000054420000}"/>
    <cellStyle name="Note 3 6 3 2 2" xfId="17858" xr:uid="{00000000-0005-0000-0000-000055420000}"/>
    <cellStyle name="Note 3 6 3 2 2 2" xfId="32690" xr:uid="{00000000-0005-0000-0000-000056420000}"/>
    <cellStyle name="Note 3 6 3 2 3" xfId="24316" xr:uid="{00000000-0005-0000-0000-000057420000}"/>
    <cellStyle name="Note 3 6 3 3" xfId="15071" xr:uid="{00000000-0005-0000-0000-000058420000}"/>
    <cellStyle name="Note 3 6 3 3 2" xfId="29903" xr:uid="{00000000-0005-0000-0000-000059420000}"/>
    <cellStyle name="Note 3 6 3 4" xfId="11461" xr:uid="{00000000-0005-0000-0000-00005A420000}"/>
    <cellStyle name="Note 3 6 3 4 2" xfId="26293" xr:uid="{00000000-0005-0000-0000-00005B420000}"/>
    <cellStyle name="Note 3 6 3 5" xfId="21854" xr:uid="{00000000-0005-0000-0000-00005C420000}"/>
    <cellStyle name="Note 3 6 4" xfId="2737" xr:uid="{00000000-0005-0000-0000-00005D420000}"/>
    <cellStyle name="Note 3 6 4 2" xfId="6828" xr:uid="{00000000-0005-0000-0000-00005E420000}"/>
    <cellStyle name="Note 3 6 4 2 2" xfId="16752" xr:uid="{00000000-0005-0000-0000-00005F420000}"/>
    <cellStyle name="Note 3 6 4 2 2 2" xfId="31584" xr:uid="{00000000-0005-0000-0000-000060420000}"/>
    <cellStyle name="Note 3 6 4 2 3" xfId="23067" xr:uid="{00000000-0005-0000-0000-000061420000}"/>
    <cellStyle name="Note 3 6 4 3" xfId="13075" xr:uid="{00000000-0005-0000-0000-000062420000}"/>
    <cellStyle name="Note 3 6 4 3 2" xfId="27907" xr:uid="{00000000-0005-0000-0000-000063420000}"/>
    <cellStyle name="Note 3 6 4 4" xfId="10405" xr:uid="{00000000-0005-0000-0000-000064420000}"/>
    <cellStyle name="Note 3 6 4 4 2" xfId="25237" xr:uid="{00000000-0005-0000-0000-000065420000}"/>
    <cellStyle name="Note 3 6 4 5" xfId="20727" xr:uid="{00000000-0005-0000-0000-000066420000}"/>
    <cellStyle name="Note 3 6 5" xfId="5901" xr:uid="{00000000-0005-0000-0000-000067420000}"/>
    <cellStyle name="Note 3 6 5 2" xfId="16093" xr:uid="{00000000-0005-0000-0000-000068420000}"/>
    <cellStyle name="Note 3 6 5 2 2" xfId="30925" xr:uid="{00000000-0005-0000-0000-000069420000}"/>
    <cellStyle name="Note 3 6 5 3" xfId="22498" xr:uid="{00000000-0005-0000-0000-00006A420000}"/>
    <cellStyle name="Note 3 6 6" xfId="12163" xr:uid="{00000000-0005-0000-0000-00006B420000}"/>
    <cellStyle name="Note 3 6 6 2" xfId="26995" xr:uid="{00000000-0005-0000-0000-00006C420000}"/>
    <cellStyle name="Note 3 6 7" xfId="9759" xr:uid="{00000000-0005-0000-0000-00006D420000}"/>
    <cellStyle name="Note 3 6 7 2" xfId="24716" xr:uid="{00000000-0005-0000-0000-00006E420000}"/>
    <cellStyle name="Note 3 6 8" xfId="20306" xr:uid="{00000000-0005-0000-0000-00006F420000}"/>
    <cellStyle name="Note 3 7" xfId="2197" xr:uid="{00000000-0005-0000-0000-000070420000}"/>
    <cellStyle name="Note 3 7 2" xfId="3769" xr:uid="{00000000-0005-0000-0000-000071420000}"/>
    <cellStyle name="Note 3 7 2 2" xfId="7825" xr:uid="{00000000-0005-0000-0000-000072420000}"/>
    <cellStyle name="Note 3 7 2 2 2" xfId="17359" xr:uid="{00000000-0005-0000-0000-000073420000}"/>
    <cellStyle name="Note 3 7 2 2 2 2" xfId="32191" xr:uid="{00000000-0005-0000-0000-000074420000}"/>
    <cellStyle name="Note 3 7 2 2 3" xfId="23683" xr:uid="{00000000-0005-0000-0000-000075420000}"/>
    <cellStyle name="Note 3 7 2 3" xfId="14104" xr:uid="{00000000-0005-0000-0000-000076420000}"/>
    <cellStyle name="Note 3 7 2 3 2" xfId="28936" xr:uid="{00000000-0005-0000-0000-000077420000}"/>
    <cellStyle name="Note 3 7 2 4" xfId="10975" xr:uid="{00000000-0005-0000-0000-000078420000}"/>
    <cellStyle name="Note 3 7 2 4 2" xfId="25807" xr:uid="{00000000-0005-0000-0000-000079420000}"/>
    <cellStyle name="Note 3 7 2 5" xfId="21339" xr:uid="{00000000-0005-0000-0000-00007A420000}"/>
    <cellStyle name="Note 3 7 3" xfId="5165" xr:uid="{00000000-0005-0000-0000-00007B420000}"/>
    <cellStyle name="Note 3 7 3 2" xfId="9204" xr:uid="{00000000-0005-0000-0000-00007C420000}"/>
    <cellStyle name="Note 3 7 3 2 2" xfId="18127" xr:uid="{00000000-0005-0000-0000-00007D420000}"/>
    <cellStyle name="Note 3 7 3 2 2 2" xfId="32959" xr:uid="{00000000-0005-0000-0000-00007E420000}"/>
    <cellStyle name="Note 3 7 3 2 3" xfId="24542" xr:uid="{00000000-0005-0000-0000-00007F420000}"/>
    <cellStyle name="Note 3 7 3 3" xfId="15483" xr:uid="{00000000-0005-0000-0000-000080420000}"/>
    <cellStyle name="Note 3 7 3 3 2" xfId="30315" xr:uid="{00000000-0005-0000-0000-000081420000}"/>
    <cellStyle name="Note 3 7 3 4" xfId="11724" xr:uid="{00000000-0005-0000-0000-000082420000}"/>
    <cellStyle name="Note 3 7 3 4 2" xfId="26556" xr:uid="{00000000-0005-0000-0000-000083420000}"/>
    <cellStyle name="Note 3 7 3 5" xfId="22049" xr:uid="{00000000-0005-0000-0000-000084420000}"/>
    <cellStyle name="Note 3 7 4" xfId="4195" xr:uid="{00000000-0005-0000-0000-000085420000}"/>
    <cellStyle name="Note 3 7 4 2" xfId="8236" xr:uid="{00000000-0005-0000-0000-000086420000}"/>
    <cellStyle name="Note 3 7 4 2 2" xfId="17583" xr:uid="{00000000-0005-0000-0000-000087420000}"/>
    <cellStyle name="Note 3 7 4 2 2 2" xfId="32415" xr:uid="{00000000-0005-0000-0000-000088420000}"/>
    <cellStyle name="Note 3 7 4 2 3" xfId="23931" xr:uid="{00000000-0005-0000-0000-000089420000}"/>
    <cellStyle name="Note 3 7 4 3" xfId="14527" xr:uid="{00000000-0005-0000-0000-00008A420000}"/>
    <cellStyle name="Note 3 7 4 3 2" xfId="29359" xr:uid="{00000000-0005-0000-0000-00008B420000}"/>
    <cellStyle name="Note 3 7 4 4" xfId="11203" xr:uid="{00000000-0005-0000-0000-00008C420000}"/>
    <cellStyle name="Note 3 7 4 4 2" xfId="26035" xr:uid="{00000000-0005-0000-0000-00008D420000}"/>
    <cellStyle name="Note 3 7 4 5" xfId="21556" xr:uid="{00000000-0005-0000-0000-00008E420000}"/>
    <cellStyle name="Note 3 7 5" xfId="6311" xr:uid="{00000000-0005-0000-0000-00008F420000}"/>
    <cellStyle name="Note 3 7 5 2" xfId="16495" xr:uid="{00000000-0005-0000-0000-000090420000}"/>
    <cellStyle name="Note 3 7 5 2 2" xfId="31327" xr:uid="{00000000-0005-0000-0000-000091420000}"/>
    <cellStyle name="Note 3 7 5 3" xfId="22713" xr:uid="{00000000-0005-0000-0000-000092420000}"/>
    <cellStyle name="Note 3 7 6" xfId="12565" xr:uid="{00000000-0005-0000-0000-000093420000}"/>
    <cellStyle name="Note 3 7 6 2" xfId="27397" xr:uid="{00000000-0005-0000-0000-000094420000}"/>
    <cellStyle name="Note 3 7 7" xfId="10147" xr:uid="{00000000-0005-0000-0000-000095420000}"/>
    <cellStyle name="Note 3 7 7 2" xfId="24979" xr:uid="{00000000-0005-0000-0000-000096420000}"/>
    <cellStyle name="Note 3 7 8" xfId="20392" xr:uid="{00000000-0005-0000-0000-000097420000}"/>
    <cellStyle name="Note 3 8" xfId="3219" xr:uid="{00000000-0005-0000-0000-000098420000}"/>
    <cellStyle name="Note 3 8 2" xfId="7283" xr:uid="{00000000-0005-0000-0000-000099420000}"/>
    <cellStyle name="Note 3 8 2 2" xfId="17045" xr:uid="{00000000-0005-0000-0000-00009A420000}"/>
    <cellStyle name="Note 3 8 2 2 2" xfId="31877" xr:uid="{00000000-0005-0000-0000-00009B420000}"/>
    <cellStyle name="Note 3 8 2 3" xfId="23328" xr:uid="{00000000-0005-0000-0000-00009C420000}"/>
    <cellStyle name="Note 3 8 3" xfId="13557" xr:uid="{00000000-0005-0000-0000-00009D420000}"/>
    <cellStyle name="Note 3 8 3 2" xfId="28389" xr:uid="{00000000-0005-0000-0000-00009E420000}"/>
    <cellStyle name="Note 3 8 4" xfId="10686" xr:uid="{00000000-0005-0000-0000-00009F420000}"/>
    <cellStyle name="Note 3 8 4 2" xfId="25518" xr:uid="{00000000-0005-0000-0000-0000A0420000}"/>
    <cellStyle name="Note 3 8 5" xfId="21017" xr:uid="{00000000-0005-0000-0000-0000A1420000}"/>
    <cellStyle name="Note 3 9" xfId="3352" xr:uid="{00000000-0005-0000-0000-0000A2420000}"/>
    <cellStyle name="Note 3 9 2" xfId="7415" xr:uid="{00000000-0005-0000-0000-0000A3420000}"/>
    <cellStyle name="Note 3 9 2 2" xfId="17139" xr:uid="{00000000-0005-0000-0000-0000A4420000}"/>
    <cellStyle name="Note 3 9 2 2 2" xfId="31971" xr:uid="{00000000-0005-0000-0000-0000A5420000}"/>
    <cellStyle name="Note 3 9 2 3" xfId="23417" xr:uid="{00000000-0005-0000-0000-0000A6420000}"/>
    <cellStyle name="Note 3 9 3" xfId="13689" xr:uid="{00000000-0005-0000-0000-0000A7420000}"/>
    <cellStyle name="Note 3 9 3 2" xfId="28521" xr:uid="{00000000-0005-0000-0000-0000A8420000}"/>
    <cellStyle name="Note 3 9 4" xfId="10758" xr:uid="{00000000-0005-0000-0000-0000A9420000}"/>
    <cellStyle name="Note 3 9 4 2" xfId="25590" xr:uid="{00000000-0005-0000-0000-0000AA420000}"/>
    <cellStyle name="Note 3 9 5" xfId="21103" xr:uid="{00000000-0005-0000-0000-0000AB420000}"/>
    <cellStyle name="Note 4" xfId="1225" xr:uid="{00000000-0005-0000-0000-0000AC420000}"/>
    <cellStyle name="Note 4 10" xfId="2311" xr:uid="{00000000-0005-0000-0000-0000AD420000}"/>
    <cellStyle name="Note 4 10 2" xfId="6423" xr:uid="{00000000-0005-0000-0000-0000AE420000}"/>
    <cellStyle name="Note 4 10 2 2" xfId="16516" xr:uid="{00000000-0005-0000-0000-0000AF420000}"/>
    <cellStyle name="Note 4 10 2 2 2" xfId="31348" xr:uid="{00000000-0005-0000-0000-0000B0420000}"/>
    <cellStyle name="Note 4 10 2 3" xfId="22825" xr:uid="{00000000-0005-0000-0000-0000B1420000}"/>
    <cellStyle name="Note 4 10 3" xfId="12651" xr:uid="{00000000-0005-0000-0000-0000B2420000}"/>
    <cellStyle name="Note 4 10 3 2" xfId="27483" xr:uid="{00000000-0005-0000-0000-0000B3420000}"/>
    <cellStyle name="Note 4 10 4" xfId="10167" xr:uid="{00000000-0005-0000-0000-0000B4420000}"/>
    <cellStyle name="Note 4 10 4 2" xfId="24999" xr:uid="{00000000-0005-0000-0000-0000B5420000}"/>
    <cellStyle name="Note 4 10 5" xfId="20474" xr:uid="{00000000-0005-0000-0000-0000B6420000}"/>
    <cellStyle name="Note 4 11" xfId="5274" xr:uid="{00000000-0005-0000-0000-0000B7420000}"/>
    <cellStyle name="Note 4 11 2" xfId="9282" xr:uid="{00000000-0005-0000-0000-0000B8420000}"/>
    <cellStyle name="Note 4 11 2 2" xfId="18149" xr:uid="{00000000-0005-0000-0000-0000B9420000}"/>
    <cellStyle name="Note 4 11 2 2 2" xfId="32981" xr:uid="{00000000-0005-0000-0000-0000BA420000}"/>
    <cellStyle name="Note 4 11 2 3" xfId="24620" xr:uid="{00000000-0005-0000-0000-0000BB420000}"/>
    <cellStyle name="Note 4 11 3" xfId="15590" xr:uid="{00000000-0005-0000-0000-0000BC420000}"/>
    <cellStyle name="Note 4 11 3 2" xfId="30422" xr:uid="{00000000-0005-0000-0000-0000BD420000}"/>
    <cellStyle name="Note 4 11 4" xfId="22131" xr:uid="{00000000-0005-0000-0000-0000BE420000}"/>
    <cellStyle name="Note 4 12" xfId="5432" xr:uid="{00000000-0005-0000-0000-0000BF420000}"/>
    <cellStyle name="Note 4 12 2" xfId="15668" xr:uid="{00000000-0005-0000-0000-0000C0420000}"/>
    <cellStyle name="Note 4 12 2 2" xfId="30500" xr:uid="{00000000-0005-0000-0000-0000C1420000}"/>
    <cellStyle name="Note 4 12 3" xfId="22193" xr:uid="{00000000-0005-0000-0000-0000C2420000}"/>
    <cellStyle name="Note 4 13" xfId="9359" xr:uid="{00000000-0005-0000-0000-0000C3420000}"/>
    <cellStyle name="Note 4 13 2" xfId="24665" xr:uid="{00000000-0005-0000-0000-0000C4420000}"/>
    <cellStyle name="Note 4 14" xfId="5348" xr:uid="{00000000-0005-0000-0000-0000C5420000}"/>
    <cellStyle name="Note 4 14 2" xfId="18222" xr:uid="{00000000-0005-0000-0000-0000C6420000}"/>
    <cellStyle name="Note 4 2" xfId="1344" xr:uid="{00000000-0005-0000-0000-0000C7420000}"/>
    <cellStyle name="Note 4 2 2" xfId="1848" xr:uid="{00000000-0005-0000-0000-0000C8420000}"/>
    <cellStyle name="Note 4 2 2 2" xfId="4055" xr:uid="{00000000-0005-0000-0000-0000C9420000}"/>
    <cellStyle name="Note 4 2 2 2 2" xfId="8102" xr:uid="{00000000-0005-0000-0000-0000CA420000}"/>
    <cellStyle name="Note 4 2 2 2 2 2" xfId="17495" xr:uid="{00000000-0005-0000-0000-0000CB420000}"/>
    <cellStyle name="Note 4 2 2 2 2 2 2" xfId="32327" xr:uid="{00000000-0005-0000-0000-0000CC420000}"/>
    <cellStyle name="Note 4 2 2 2 2 3" xfId="23864" xr:uid="{00000000-0005-0000-0000-0000CD420000}"/>
    <cellStyle name="Note 4 2 2 2 3" xfId="14387" xr:uid="{00000000-0005-0000-0000-0000CE420000}"/>
    <cellStyle name="Note 4 2 2 2 3 2" xfId="29219" xr:uid="{00000000-0005-0000-0000-0000CF420000}"/>
    <cellStyle name="Note 4 2 2 2 4" xfId="11111" xr:uid="{00000000-0005-0000-0000-0000D0420000}"/>
    <cellStyle name="Note 4 2 2 2 4 2" xfId="25943" xr:uid="{00000000-0005-0000-0000-0000D1420000}"/>
    <cellStyle name="Note 4 2 2 2 5" xfId="21498" xr:uid="{00000000-0005-0000-0000-0000D2420000}"/>
    <cellStyle name="Note 4 2 2 3" xfId="4826" xr:uid="{00000000-0005-0000-0000-0000D3420000}"/>
    <cellStyle name="Note 4 2 2 3 2" xfId="8865" xr:uid="{00000000-0005-0000-0000-0000D4420000}"/>
    <cellStyle name="Note 4 2 2 3 2 2" xfId="17906" xr:uid="{00000000-0005-0000-0000-0000D5420000}"/>
    <cellStyle name="Note 4 2 2 3 2 2 2" xfId="32738" xr:uid="{00000000-0005-0000-0000-0000D6420000}"/>
    <cellStyle name="Note 4 2 2 3 2 3" xfId="24363" xr:uid="{00000000-0005-0000-0000-0000D7420000}"/>
    <cellStyle name="Note 4 2 2 3 3" xfId="15150" xr:uid="{00000000-0005-0000-0000-0000D8420000}"/>
    <cellStyle name="Note 4 2 2 3 3 2" xfId="29982" xr:uid="{00000000-0005-0000-0000-0000D9420000}"/>
    <cellStyle name="Note 4 2 2 3 4" xfId="11509" xr:uid="{00000000-0005-0000-0000-0000DA420000}"/>
    <cellStyle name="Note 4 2 2 3 4 2" xfId="26341" xr:uid="{00000000-0005-0000-0000-0000DB420000}"/>
    <cellStyle name="Note 4 2 2 3 5" xfId="21901" xr:uid="{00000000-0005-0000-0000-0000DC420000}"/>
    <cellStyle name="Note 4 2 2 4" xfId="2816" xr:uid="{00000000-0005-0000-0000-0000DD420000}"/>
    <cellStyle name="Note 4 2 2 4 2" xfId="6907" xr:uid="{00000000-0005-0000-0000-0000DE420000}"/>
    <cellStyle name="Note 4 2 2 4 2 2" xfId="16800" xr:uid="{00000000-0005-0000-0000-0000DF420000}"/>
    <cellStyle name="Note 4 2 2 4 2 2 2" xfId="31632" xr:uid="{00000000-0005-0000-0000-0000E0420000}"/>
    <cellStyle name="Note 4 2 2 4 2 3" xfId="23114" xr:uid="{00000000-0005-0000-0000-0000E1420000}"/>
    <cellStyle name="Note 4 2 2 4 3" xfId="13154" xr:uid="{00000000-0005-0000-0000-0000E2420000}"/>
    <cellStyle name="Note 4 2 2 4 3 2" xfId="27986" xr:uid="{00000000-0005-0000-0000-0000E3420000}"/>
    <cellStyle name="Note 4 2 2 4 4" xfId="10453" xr:uid="{00000000-0005-0000-0000-0000E4420000}"/>
    <cellStyle name="Note 4 2 2 4 4 2" xfId="25285" xr:uid="{00000000-0005-0000-0000-0000E5420000}"/>
    <cellStyle name="Note 4 2 2 4 5" xfId="20774" xr:uid="{00000000-0005-0000-0000-0000E6420000}"/>
    <cellStyle name="Note 4 2 2 5" xfId="5980" xr:uid="{00000000-0005-0000-0000-0000E7420000}"/>
    <cellStyle name="Note 4 2 2 5 2" xfId="16172" xr:uid="{00000000-0005-0000-0000-0000E8420000}"/>
    <cellStyle name="Note 4 2 2 5 2 2" xfId="31004" xr:uid="{00000000-0005-0000-0000-0000E9420000}"/>
    <cellStyle name="Note 4 2 2 5 3" xfId="22545" xr:uid="{00000000-0005-0000-0000-0000EA420000}"/>
    <cellStyle name="Note 4 2 2 6" xfId="12242" xr:uid="{00000000-0005-0000-0000-0000EB420000}"/>
    <cellStyle name="Note 4 2 2 6 2" xfId="27074" xr:uid="{00000000-0005-0000-0000-0000EC420000}"/>
    <cellStyle name="Note 4 2 2 7" xfId="9838" xr:uid="{00000000-0005-0000-0000-0000ED420000}"/>
    <cellStyle name="Note 4 2 2 7 2" xfId="24764" xr:uid="{00000000-0005-0000-0000-0000EE420000}"/>
    <cellStyle name="Note 4 2 2 8" xfId="20322" xr:uid="{00000000-0005-0000-0000-0000EF420000}"/>
    <cellStyle name="Note 4 2 3" xfId="3787" xr:uid="{00000000-0005-0000-0000-0000F0420000}"/>
    <cellStyle name="Note 4 2 3 2" xfId="7842" xr:uid="{00000000-0005-0000-0000-0000F1420000}"/>
    <cellStyle name="Note 4 2 3 2 2" xfId="17364" xr:uid="{00000000-0005-0000-0000-0000F2420000}"/>
    <cellStyle name="Note 4 2 3 2 2 2" xfId="32196" xr:uid="{00000000-0005-0000-0000-0000F3420000}"/>
    <cellStyle name="Note 4 2 3 2 3" xfId="23698" xr:uid="{00000000-0005-0000-0000-0000F4420000}"/>
    <cellStyle name="Note 4 2 3 3" xfId="14122" xr:uid="{00000000-0005-0000-0000-0000F5420000}"/>
    <cellStyle name="Note 4 2 3 3 2" xfId="28954" xr:uid="{00000000-0005-0000-0000-0000F6420000}"/>
    <cellStyle name="Note 4 2 3 4" xfId="10981" xr:uid="{00000000-0005-0000-0000-0000F7420000}"/>
    <cellStyle name="Note 4 2 3 4 2" xfId="25813" xr:uid="{00000000-0005-0000-0000-0000F8420000}"/>
    <cellStyle name="Note 4 2 3 5" xfId="21350" xr:uid="{00000000-0005-0000-0000-0000F9420000}"/>
    <cellStyle name="Note 4 2 4" xfId="4406" xr:uid="{00000000-0005-0000-0000-0000FA420000}"/>
    <cellStyle name="Note 4 2 4 2" xfId="8445" xr:uid="{00000000-0005-0000-0000-0000FB420000}"/>
    <cellStyle name="Note 4 2 4 2 2" xfId="17666" xr:uid="{00000000-0005-0000-0000-0000FC420000}"/>
    <cellStyle name="Note 4 2 4 2 2 2" xfId="32498" xr:uid="{00000000-0005-0000-0000-0000FD420000}"/>
    <cellStyle name="Note 4 2 4 2 3" xfId="24103" xr:uid="{00000000-0005-0000-0000-0000FE420000}"/>
    <cellStyle name="Note 4 2 4 3" xfId="14735" xr:uid="{00000000-0005-0000-0000-0000FF420000}"/>
    <cellStyle name="Note 4 2 4 3 2" xfId="29567" xr:uid="{00000000-0005-0000-0000-000000430000}"/>
    <cellStyle name="Note 4 2 4 4" xfId="11274" xr:uid="{00000000-0005-0000-0000-000001430000}"/>
    <cellStyle name="Note 4 2 4 4 2" xfId="26106" xr:uid="{00000000-0005-0000-0000-000002430000}"/>
    <cellStyle name="Note 4 2 4 5" xfId="21671" xr:uid="{00000000-0005-0000-0000-000003430000}"/>
    <cellStyle name="Note 4 2 5" xfId="2396" xr:uid="{00000000-0005-0000-0000-000004430000}"/>
    <cellStyle name="Note 4 2 5 2" xfId="6508" xr:uid="{00000000-0005-0000-0000-000005430000}"/>
    <cellStyle name="Note 4 2 5 2 2" xfId="16564" xr:uid="{00000000-0005-0000-0000-000006430000}"/>
    <cellStyle name="Note 4 2 5 2 2 2" xfId="31396" xr:uid="{00000000-0005-0000-0000-000007430000}"/>
    <cellStyle name="Note 4 2 5 2 3" xfId="22878" xr:uid="{00000000-0005-0000-0000-000008430000}"/>
    <cellStyle name="Note 4 2 5 3" xfId="12735" xr:uid="{00000000-0005-0000-0000-000009430000}"/>
    <cellStyle name="Note 4 2 5 3 2" xfId="27567" xr:uid="{00000000-0005-0000-0000-00000A430000}"/>
    <cellStyle name="Note 4 2 5 4" xfId="10214" xr:uid="{00000000-0005-0000-0000-00000B430000}"/>
    <cellStyle name="Note 4 2 5 4 2" xfId="25046" xr:uid="{00000000-0005-0000-0000-00000C430000}"/>
    <cellStyle name="Note 4 2 5 5" xfId="20520" xr:uid="{00000000-0005-0000-0000-00000D430000}"/>
    <cellStyle name="Note 4 2 6" xfId="5521" xr:uid="{00000000-0005-0000-0000-00000E430000}"/>
    <cellStyle name="Note 4 2 6 2" xfId="15756" xr:uid="{00000000-0005-0000-0000-00000F430000}"/>
    <cellStyle name="Note 4 2 6 2 2" xfId="30588" xr:uid="{00000000-0005-0000-0000-000010430000}"/>
    <cellStyle name="Note 4 2 6 3" xfId="22249" xr:uid="{00000000-0005-0000-0000-000011430000}"/>
    <cellStyle name="Note 4 2 7" xfId="11771" xr:uid="{00000000-0005-0000-0000-000012430000}"/>
    <cellStyle name="Note 4 2 7 2" xfId="26603" xr:uid="{00000000-0005-0000-0000-000013430000}"/>
    <cellStyle name="Note 4 2 8" xfId="9442" xr:uid="{00000000-0005-0000-0000-000014430000}"/>
    <cellStyle name="Note 4 2 8 2" xfId="19746" xr:uid="{00000000-0005-0000-0000-000015430000}"/>
    <cellStyle name="Note 4 3" xfId="1514" xr:uid="{00000000-0005-0000-0000-000016430000}"/>
    <cellStyle name="Note 4 3 2" xfId="2011" xr:uid="{00000000-0005-0000-0000-000017430000}"/>
    <cellStyle name="Note 4 3 2 2" xfId="4079" xr:uid="{00000000-0005-0000-0000-000018430000}"/>
    <cellStyle name="Note 4 3 2 2 2" xfId="8125" xr:uid="{00000000-0005-0000-0000-000019430000}"/>
    <cellStyle name="Note 4 3 2 2 2 2" xfId="17508" xr:uid="{00000000-0005-0000-0000-00001A430000}"/>
    <cellStyle name="Note 4 3 2 2 2 2 2" xfId="32340" xr:uid="{00000000-0005-0000-0000-00001B430000}"/>
    <cellStyle name="Note 4 3 2 2 2 3" xfId="23876" xr:uid="{00000000-0005-0000-0000-00001C430000}"/>
    <cellStyle name="Note 4 3 2 2 3" xfId="14411" xr:uid="{00000000-0005-0000-0000-00001D430000}"/>
    <cellStyle name="Note 4 3 2 2 3 2" xfId="29243" xr:uid="{00000000-0005-0000-0000-00001E430000}"/>
    <cellStyle name="Note 4 3 2 2 4" xfId="11125" xr:uid="{00000000-0005-0000-0000-00001F430000}"/>
    <cellStyle name="Note 4 3 2 2 4 2" xfId="25957" xr:uid="{00000000-0005-0000-0000-000020430000}"/>
    <cellStyle name="Note 4 3 2 2 5" xfId="21506" xr:uid="{00000000-0005-0000-0000-000021430000}"/>
    <cellStyle name="Note 4 3 2 3" xfId="4979" xr:uid="{00000000-0005-0000-0000-000022430000}"/>
    <cellStyle name="Note 4 3 2 3 2" xfId="9018" xr:uid="{00000000-0005-0000-0000-000023430000}"/>
    <cellStyle name="Note 4 3 2 3 2 2" xfId="17956" xr:uid="{00000000-0005-0000-0000-000024430000}"/>
    <cellStyle name="Note 4 3 2 3 2 2 2" xfId="32788" xr:uid="{00000000-0005-0000-0000-000025430000}"/>
    <cellStyle name="Note 4 3 2 3 2 3" xfId="24484" xr:uid="{00000000-0005-0000-0000-000026430000}"/>
    <cellStyle name="Note 4 3 2 3 3" xfId="15301" xr:uid="{00000000-0005-0000-0000-000027430000}"/>
    <cellStyle name="Note 4 3 2 3 3 2" xfId="30133" xr:uid="{00000000-0005-0000-0000-000028430000}"/>
    <cellStyle name="Note 4 3 2 3 4" xfId="11557" xr:uid="{00000000-0005-0000-0000-000029430000}"/>
    <cellStyle name="Note 4 3 2 3 4 2" xfId="26389" xr:uid="{00000000-0005-0000-0000-00002A430000}"/>
    <cellStyle name="Note 4 3 2 3 5" xfId="22010" xr:uid="{00000000-0005-0000-0000-00002B430000}"/>
    <cellStyle name="Note 4 3 2 4" xfId="2969" xr:uid="{00000000-0005-0000-0000-00002C430000}"/>
    <cellStyle name="Note 4 3 2 4 2" xfId="7049" xr:uid="{00000000-0005-0000-0000-00002D430000}"/>
    <cellStyle name="Note 4 3 2 4 2 2" xfId="16848" xr:uid="{00000000-0005-0000-0000-00002E430000}"/>
    <cellStyle name="Note 4 3 2 4 2 2 2" xfId="31680" xr:uid="{00000000-0005-0000-0000-00002F430000}"/>
    <cellStyle name="Note 4 3 2 4 2 3" xfId="23223" xr:uid="{00000000-0005-0000-0000-000030430000}"/>
    <cellStyle name="Note 4 3 2 4 3" xfId="13307" xr:uid="{00000000-0005-0000-0000-000031430000}"/>
    <cellStyle name="Note 4 3 2 4 3 2" xfId="28139" xr:uid="{00000000-0005-0000-0000-000032430000}"/>
    <cellStyle name="Note 4 3 2 4 4" xfId="10503" xr:uid="{00000000-0005-0000-0000-000033430000}"/>
    <cellStyle name="Note 4 3 2 4 4 2" xfId="25335" xr:uid="{00000000-0005-0000-0000-000034430000}"/>
    <cellStyle name="Note 4 3 2 4 5" xfId="20895" xr:uid="{00000000-0005-0000-0000-000035430000}"/>
    <cellStyle name="Note 4 3 2 5" xfId="6141" xr:uid="{00000000-0005-0000-0000-000036430000}"/>
    <cellStyle name="Note 4 3 2 5 2" xfId="16328" xr:uid="{00000000-0005-0000-0000-000037430000}"/>
    <cellStyle name="Note 4 3 2 5 2 2" xfId="31160" xr:uid="{00000000-0005-0000-0000-000038430000}"/>
    <cellStyle name="Note 4 3 2 5 3" xfId="22674" xr:uid="{00000000-0005-0000-0000-000039430000}"/>
    <cellStyle name="Note 4 3 2 6" xfId="12398" xr:uid="{00000000-0005-0000-0000-00003A430000}"/>
    <cellStyle name="Note 4 3 2 6 2" xfId="27230" xr:uid="{00000000-0005-0000-0000-00003B430000}"/>
    <cellStyle name="Note 4 3 2 7" xfId="9980" xr:uid="{00000000-0005-0000-0000-00003C430000}"/>
    <cellStyle name="Note 4 3 2 7 2" xfId="24812" xr:uid="{00000000-0005-0000-0000-00003D430000}"/>
    <cellStyle name="Note 4 3 2 8" xfId="20353" xr:uid="{00000000-0005-0000-0000-00003E430000}"/>
    <cellStyle name="Note 4 3 3" xfId="4301" xr:uid="{00000000-0005-0000-0000-00003F430000}"/>
    <cellStyle name="Note 4 3 3 2" xfId="8340" xr:uid="{00000000-0005-0000-0000-000040430000}"/>
    <cellStyle name="Note 4 3 3 2 2" xfId="17619" xr:uid="{00000000-0005-0000-0000-000041430000}"/>
    <cellStyle name="Note 4 3 3 2 2 2" xfId="32451" xr:uid="{00000000-0005-0000-0000-000042430000}"/>
    <cellStyle name="Note 4 3 3 2 3" xfId="24025" xr:uid="{00000000-0005-0000-0000-000043430000}"/>
    <cellStyle name="Note 4 3 3 3" xfId="14632" xr:uid="{00000000-0005-0000-0000-000044430000}"/>
    <cellStyle name="Note 4 3 3 3 2" xfId="29464" xr:uid="{00000000-0005-0000-0000-000045430000}"/>
    <cellStyle name="Note 4 3 3 4" xfId="11231" xr:uid="{00000000-0005-0000-0000-000046430000}"/>
    <cellStyle name="Note 4 3 3 4 2" xfId="26063" xr:uid="{00000000-0005-0000-0000-000047430000}"/>
    <cellStyle name="Note 4 3 3 5" xfId="21622" xr:uid="{00000000-0005-0000-0000-000048430000}"/>
    <cellStyle name="Note 4 3 4" xfId="4559" xr:uid="{00000000-0005-0000-0000-000049430000}"/>
    <cellStyle name="Note 4 3 4 2" xfId="8598" xr:uid="{00000000-0005-0000-0000-00004A430000}"/>
    <cellStyle name="Note 4 3 4 2 2" xfId="17716" xr:uid="{00000000-0005-0000-0000-00004B430000}"/>
    <cellStyle name="Note 4 3 4 2 2 2" xfId="32548" xr:uid="{00000000-0005-0000-0000-00004C430000}"/>
    <cellStyle name="Note 4 3 4 2 3" xfId="24224" xr:uid="{00000000-0005-0000-0000-00004D430000}"/>
    <cellStyle name="Note 4 3 4 3" xfId="14886" xr:uid="{00000000-0005-0000-0000-00004E430000}"/>
    <cellStyle name="Note 4 3 4 3 2" xfId="29718" xr:uid="{00000000-0005-0000-0000-00004F430000}"/>
    <cellStyle name="Note 4 3 4 4" xfId="11322" xr:uid="{00000000-0005-0000-0000-000050430000}"/>
    <cellStyle name="Note 4 3 4 4 2" xfId="26154" xr:uid="{00000000-0005-0000-0000-000051430000}"/>
    <cellStyle name="Note 4 3 4 5" xfId="21780" xr:uid="{00000000-0005-0000-0000-000052430000}"/>
    <cellStyle name="Note 4 3 5" xfId="2549" xr:uid="{00000000-0005-0000-0000-000053430000}"/>
    <cellStyle name="Note 4 3 5 2" xfId="6655" xr:uid="{00000000-0005-0000-0000-000054430000}"/>
    <cellStyle name="Note 4 3 5 2 2" xfId="16613" xr:uid="{00000000-0005-0000-0000-000055430000}"/>
    <cellStyle name="Note 4 3 5 2 2 2" xfId="31445" xr:uid="{00000000-0005-0000-0000-000056430000}"/>
    <cellStyle name="Note 4 3 5 2 3" xfId="22993" xr:uid="{00000000-0005-0000-0000-000057430000}"/>
    <cellStyle name="Note 4 3 5 3" xfId="12887" xr:uid="{00000000-0005-0000-0000-000058430000}"/>
    <cellStyle name="Note 4 3 5 3 2" xfId="27719" xr:uid="{00000000-0005-0000-0000-000059430000}"/>
    <cellStyle name="Note 4 3 5 4" xfId="10263" xr:uid="{00000000-0005-0000-0000-00005A430000}"/>
    <cellStyle name="Note 4 3 5 4 2" xfId="25095" xr:uid="{00000000-0005-0000-0000-00005B430000}"/>
    <cellStyle name="Note 4 3 5 5" xfId="20635" xr:uid="{00000000-0005-0000-0000-00005C430000}"/>
    <cellStyle name="Note 4 3 6" xfId="5672" xr:uid="{00000000-0005-0000-0000-00005D430000}"/>
    <cellStyle name="Note 4 3 6 2" xfId="15907" xr:uid="{00000000-0005-0000-0000-00005E430000}"/>
    <cellStyle name="Note 4 3 6 2 2" xfId="30739" xr:uid="{00000000-0005-0000-0000-00005F430000}"/>
    <cellStyle name="Note 4 3 6 3" xfId="22368" xr:uid="{00000000-0005-0000-0000-000060430000}"/>
    <cellStyle name="Note 4 3 7" xfId="11927" xr:uid="{00000000-0005-0000-0000-000061430000}"/>
    <cellStyle name="Note 4 3 7 2" xfId="26759" xr:uid="{00000000-0005-0000-0000-000062430000}"/>
    <cellStyle name="Note 4 3 8" xfId="9585" xr:uid="{00000000-0005-0000-0000-000063430000}"/>
    <cellStyle name="Note 4 3 8 2" xfId="19887" xr:uid="{00000000-0005-0000-0000-000064430000}"/>
    <cellStyle name="Note 4 4" xfId="1569" xr:uid="{00000000-0005-0000-0000-000065430000}"/>
    <cellStyle name="Note 4 4 2" xfId="2066" xr:uid="{00000000-0005-0000-0000-000066430000}"/>
    <cellStyle name="Note 4 4 2 2" xfId="3407" xr:uid="{00000000-0005-0000-0000-000067430000}"/>
    <cellStyle name="Note 4 4 2 2 2" xfId="7470" xr:uid="{00000000-0005-0000-0000-000068430000}"/>
    <cellStyle name="Note 4 4 2 2 2 2" xfId="17169" xr:uid="{00000000-0005-0000-0000-000069430000}"/>
    <cellStyle name="Note 4 4 2 2 2 2 2" xfId="32001" xr:uid="{00000000-0005-0000-0000-00006A430000}"/>
    <cellStyle name="Note 4 4 2 2 2 3" xfId="23458" xr:uid="{00000000-0005-0000-0000-00006B430000}"/>
    <cellStyle name="Note 4 4 2 2 3" xfId="13744" xr:uid="{00000000-0005-0000-0000-00006C430000}"/>
    <cellStyle name="Note 4 4 2 2 3 2" xfId="28576" xr:uid="{00000000-0005-0000-0000-00006D430000}"/>
    <cellStyle name="Note 4 4 2 2 4" xfId="10788" xr:uid="{00000000-0005-0000-0000-00006E430000}"/>
    <cellStyle name="Note 4 4 2 2 4 2" xfId="25620" xr:uid="{00000000-0005-0000-0000-00006F430000}"/>
    <cellStyle name="Note 4 4 2 2 5" xfId="21136" xr:uid="{00000000-0005-0000-0000-000070430000}"/>
    <cellStyle name="Note 4 4 2 3" xfId="5034" xr:uid="{00000000-0005-0000-0000-000071430000}"/>
    <cellStyle name="Note 4 4 2 3 2" xfId="9073" xr:uid="{00000000-0005-0000-0000-000072430000}"/>
    <cellStyle name="Note 4 4 2 3 2 2" xfId="18006" xr:uid="{00000000-0005-0000-0000-000073430000}"/>
    <cellStyle name="Note 4 4 2 3 2 2 2" xfId="32838" xr:uid="{00000000-0005-0000-0000-000074430000}"/>
    <cellStyle name="Note 4 4 2 3 2 3" xfId="24507" xr:uid="{00000000-0005-0000-0000-000075430000}"/>
    <cellStyle name="Note 4 4 2 3 3" xfId="15355" xr:uid="{00000000-0005-0000-0000-000076430000}"/>
    <cellStyle name="Note 4 4 2 3 3 2" xfId="30187" xr:uid="{00000000-0005-0000-0000-000077430000}"/>
    <cellStyle name="Note 4 4 2 3 4" xfId="11606" xr:uid="{00000000-0005-0000-0000-000078430000}"/>
    <cellStyle name="Note 4 4 2 3 4 2" xfId="26438" xr:uid="{00000000-0005-0000-0000-000079430000}"/>
    <cellStyle name="Note 4 4 2 3 5" xfId="22027" xr:uid="{00000000-0005-0000-0000-00007A430000}"/>
    <cellStyle name="Note 4 4 2 4" xfId="3024" xr:uid="{00000000-0005-0000-0000-00007B430000}"/>
    <cellStyle name="Note 4 4 2 4 2" xfId="7099" xr:uid="{00000000-0005-0000-0000-00007C430000}"/>
    <cellStyle name="Note 4 4 2 4 2 2" xfId="16897" xr:uid="{00000000-0005-0000-0000-00007D430000}"/>
    <cellStyle name="Note 4 4 2 4 2 2 2" xfId="31729" xr:uid="{00000000-0005-0000-0000-00007E430000}"/>
    <cellStyle name="Note 4 4 2 4 2 3" xfId="23240" xr:uid="{00000000-0005-0000-0000-00007F430000}"/>
    <cellStyle name="Note 4 4 2 4 3" xfId="13362" xr:uid="{00000000-0005-0000-0000-000080430000}"/>
    <cellStyle name="Note 4 4 2 4 3 2" xfId="28194" xr:uid="{00000000-0005-0000-0000-000081430000}"/>
    <cellStyle name="Note 4 4 2 4 4" xfId="10553" xr:uid="{00000000-0005-0000-0000-000082430000}"/>
    <cellStyle name="Note 4 4 2 4 4 2" xfId="25385" xr:uid="{00000000-0005-0000-0000-000083430000}"/>
    <cellStyle name="Note 4 4 2 4 5" xfId="20918" xr:uid="{00000000-0005-0000-0000-000084430000}"/>
    <cellStyle name="Note 4 4 2 5" xfId="6191" xr:uid="{00000000-0005-0000-0000-000085430000}"/>
    <cellStyle name="Note 4 4 2 5 2" xfId="16377" xr:uid="{00000000-0005-0000-0000-000086430000}"/>
    <cellStyle name="Note 4 4 2 5 2 2" xfId="31209" xr:uid="{00000000-0005-0000-0000-000087430000}"/>
    <cellStyle name="Note 4 4 2 5 3" xfId="22691" xr:uid="{00000000-0005-0000-0000-000088430000}"/>
    <cellStyle name="Note 4 4 2 6" xfId="12447" xr:uid="{00000000-0005-0000-0000-000089430000}"/>
    <cellStyle name="Note 4 4 2 6 2" xfId="27279" xr:uid="{00000000-0005-0000-0000-00008A430000}"/>
    <cellStyle name="Note 4 4 2 7" xfId="10029" xr:uid="{00000000-0005-0000-0000-00008B430000}"/>
    <cellStyle name="Note 4 4 2 7 2" xfId="24861" xr:uid="{00000000-0005-0000-0000-00008C430000}"/>
    <cellStyle name="Note 4 4 2 8" xfId="20370" xr:uid="{00000000-0005-0000-0000-00008D430000}"/>
    <cellStyle name="Note 4 4 3" xfId="3157" xr:uid="{00000000-0005-0000-0000-00008E430000}"/>
    <cellStyle name="Note 4 4 3 2" xfId="7221" xr:uid="{00000000-0005-0000-0000-00008F430000}"/>
    <cellStyle name="Note 4 4 3 2 2" xfId="16999" xr:uid="{00000000-0005-0000-0000-000090430000}"/>
    <cellStyle name="Note 4 4 3 2 2 2" xfId="31831" xr:uid="{00000000-0005-0000-0000-000091430000}"/>
    <cellStyle name="Note 4 4 3 2 3" xfId="23286" xr:uid="{00000000-0005-0000-0000-000092430000}"/>
    <cellStyle name="Note 4 4 3 3" xfId="13495" xr:uid="{00000000-0005-0000-0000-000093430000}"/>
    <cellStyle name="Note 4 4 3 3 2" xfId="28327" xr:uid="{00000000-0005-0000-0000-000094430000}"/>
    <cellStyle name="Note 4 4 3 4" xfId="10651" xr:uid="{00000000-0005-0000-0000-000095430000}"/>
    <cellStyle name="Note 4 4 3 4 2" xfId="25483" xr:uid="{00000000-0005-0000-0000-000096430000}"/>
    <cellStyle name="Note 4 4 3 5" xfId="20977" xr:uid="{00000000-0005-0000-0000-000097430000}"/>
    <cellStyle name="Note 4 4 4" xfId="4614" xr:uid="{00000000-0005-0000-0000-000098430000}"/>
    <cellStyle name="Note 4 4 4 2" xfId="8653" xr:uid="{00000000-0005-0000-0000-000099430000}"/>
    <cellStyle name="Note 4 4 4 2 2" xfId="17766" xr:uid="{00000000-0005-0000-0000-00009A430000}"/>
    <cellStyle name="Note 4 4 4 2 2 2" xfId="32598" xr:uid="{00000000-0005-0000-0000-00009B430000}"/>
    <cellStyle name="Note 4 4 4 2 3" xfId="24247" xr:uid="{00000000-0005-0000-0000-00009C430000}"/>
    <cellStyle name="Note 4 4 4 3" xfId="14940" xr:uid="{00000000-0005-0000-0000-00009D430000}"/>
    <cellStyle name="Note 4 4 4 3 2" xfId="29772" xr:uid="{00000000-0005-0000-0000-00009E430000}"/>
    <cellStyle name="Note 4 4 4 4" xfId="11371" xr:uid="{00000000-0005-0000-0000-00009F430000}"/>
    <cellStyle name="Note 4 4 4 4 2" xfId="26203" xr:uid="{00000000-0005-0000-0000-0000A0430000}"/>
    <cellStyle name="Note 4 4 4 5" xfId="21797" xr:uid="{00000000-0005-0000-0000-0000A1430000}"/>
    <cellStyle name="Note 4 4 5" xfId="2604" xr:uid="{00000000-0005-0000-0000-0000A2430000}"/>
    <cellStyle name="Note 4 4 5 2" xfId="6705" xr:uid="{00000000-0005-0000-0000-0000A3430000}"/>
    <cellStyle name="Note 4 4 5 2 2" xfId="16662" xr:uid="{00000000-0005-0000-0000-0000A4430000}"/>
    <cellStyle name="Note 4 4 5 2 2 2" xfId="31494" xr:uid="{00000000-0005-0000-0000-0000A5430000}"/>
    <cellStyle name="Note 4 4 5 2 3" xfId="23010" xr:uid="{00000000-0005-0000-0000-0000A6430000}"/>
    <cellStyle name="Note 4 4 5 3" xfId="12942" xr:uid="{00000000-0005-0000-0000-0000A7430000}"/>
    <cellStyle name="Note 4 4 5 3 2" xfId="27774" xr:uid="{00000000-0005-0000-0000-0000A8430000}"/>
    <cellStyle name="Note 4 4 5 4" xfId="10313" xr:uid="{00000000-0005-0000-0000-0000A9430000}"/>
    <cellStyle name="Note 4 4 5 4 2" xfId="25145" xr:uid="{00000000-0005-0000-0000-0000AA430000}"/>
    <cellStyle name="Note 4 4 5 5" xfId="20658" xr:uid="{00000000-0005-0000-0000-0000AB430000}"/>
    <cellStyle name="Note 4 4 6" xfId="5721" xr:uid="{00000000-0005-0000-0000-0000AC430000}"/>
    <cellStyle name="Note 4 4 6 2" xfId="15956" xr:uid="{00000000-0005-0000-0000-0000AD430000}"/>
    <cellStyle name="Note 4 4 6 2 2" xfId="30788" xr:uid="{00000000-0005-0000-0000-0000AE430000}"/>
    <cellStyle name="Note 4 4 6 3" xfId="22385" xr:uid="{00000000-0005-0000-0000-0000AF430000}"/>
    <cellStyle name="Note 4 4 7" xfId="11976" xr:uid="{00000000-0005-0000-0000-0000B0430000}"/>
    <cellStyle name="Note 4 4 7 2" xfId="26808" xr:uid="{00000000-0005-0000-0000-0000B1430000}"/>
    <cellStyle name="Note 4 4 8" xfId="9635" xr:uid="{00000000-0005-0000-0000-0000B2430000}"/>
    <cellStyle name="Note 4 4 8 2" xfId="19936" xr:uid="{00000000-0005-0000-0000-0000B3430000}"/>
    <cellStyle name="Note 4 5" xfId="1619" xr:uid="{00000000-0005-0000-0000-0000B4430000}"/>
    <cellStyle name="Note 4 5 2" xfId="2116" xr:uid="{00000000-0005-0000-0000-0000B5430000}"/>
    <cellStyle name="Note 4 5 2 2" xfId="4098" xr:uid="{00000000-0005-0000-0000-0000B6430000}"/>
    <cellStyle name="Note 4 5 2 2 2" xfId="8144" xr:uid="{00000000-0005-0000-0000-0000B7430000}"/>
    <cellStyle name="Note 4 5 2 2 2 2" xfId="17516" xr:uid="{00000000-0005-0000-0000-0000B8430000}"/>
    <cellStyle name="Note 4 5 2 2 2 2 2" xfId="32348" xr:uid="{00000000-0005-0000-0000-0000B9430000}"/>
    <cellStyle name="Note 4 5 2 2 2 3" xfId="23889" xr:uid="{00000000-0005-0000-0000-0000BA430000}"/>
    <cellStyle name="Note 4 5 2 2 3" xfId="14430" xr:uid="{00000000-0005-0000-0000-0000BB430000}"/>
    <cellStyle name="Note 4 5 2 2 3 2" xfId="29262" xr:uid="{00000000-0005-0000-0000-0000BC430000}"/>
    <cellStyle name="Note 4 5 2 2 4" xfId="11133" xr:uid="{00000000-0005-0000-0000-0000BD430000}"/>
    <cellStyle name="Note 4 5 2 2 4 2" xfId="25965" xr:uid="{00000000-0005-0000-0000-0000BE430000}"/>
    <cellStyle name="Note 4 5 2 2 5" xfId="21519" xr:uid="{00000000-0005-0000-0000-0000BF430000}"/>
    <cellStyle name="Note 4 5 2 3" xfId="5084" xr:uid="{00000000-0005-0000-0000-0000C0430000}"/>
    <cellStyle name="Note 4 5 2 3 2" xfId="9123" xr:uid="{00000000-0005-0000-0000-0000C1430000}"/>
    <cellStyle name="Note 4 5 2 3 2 2" xfId="18051" xr:uid="{00000000-0005-0000-0000-0000C2430000}"/>
    <cellStyle name="Note 4 5 2 3 2 2 2" xfId="32883" xr:uid="{00000000-0005-0000-0000-0000C3430000}"/>
    <cellStyle name="Note 4 5 2 3 2 3" xfId="24525" xr:uid="{00000000-0005-0000-0000-0000C4430000}"/>
    <cellStyle name="Note 4 5 2 3 3" xfId="15404" xr:uid="{00000000-0005-0000-0000-0000C5430000}"/>
    <cellStyle name="Note 4 5 2 3 3 2" xfId="30236" xr:uid="{00000000-0005-0000-0000-0000C6430000}"/>
    <cellStyle name="Note 4 5 2 3 4" xfId="11650" xr:uid="{00000000-0005-0000-0000-0000C7430000}"/>
    <cellStyle name="Note 4 5 2 3 4 2" xfId="26482" xr:uid="{00000000-0005-0000-0000-0000C8430000}"/>
    <cellStyle name="Note 4 5 2 3 5" xfId="22039" xr:uid="{00000000-0005-0000-0000-0000C9430000}"/>
    <cellStyle name="Note 4 5 2 4" xfId="3074" xr:uid="{00000000-0005-0000-0000-0000CA430000}"/>
    <cellStyle name="Note 4 5 2 4 2" xfId="7144" xr:uid="{00000000-0005-0000-0000-0000CB430000}"/>
    <cellStyle name="Note 4 5 2 4 2 2" xfId="16941" xr:uid="{00000000-0005-0000-0000-0000CC430000}"/>
    <cellStyle name="Note 4 5 2 4 2 2 2" xfId="31773" xr:uid="{00000000-0005-0000-0000-0000CD430000}"/>
    <cellStyle name="Note 4 5 2 4 2 3" xfId="23252" xr:uid="{00000000-0005-0000-0000-0000CE430000}"/>
    <cellStyle name="Note 4 5 2 4 3" xfId="13412" xr:uid="{00000000-0005-0000-0000-0000CF430000}"/>
    <cellStyle name="Note 4 5 2 4 3 2" xfId="28244" xr:uid="{00000000-0005-0000-0000-0000D0430000}"/>
    <cellStyle name="Note 4 5 2 4 4" xfId="10598" xr:uid="{00000000-0005-0000-0000-0000D1430000}"/>
    <cellStyle name="Note 4 5 2 4 4 2" xfId="25430" xr:uid="{00000000-0005-0000-0000-0000D2430000}"/>
    <cellStyle name="Note 4 5 2 4 5" xfId="20936" xr:uid="{00000000-0005-0000-0000-0000D3430000}"/>
    <cellStyle name="Note 4 5 2 5" xfId="6236" xr:uid="{00000000-0005-0000-0000-0000D4430000}"/>
    <cellStyle name="Note 4 5 2 5 2" xfId="16421" xr:uid="{00000000-0005-0000-0000-0000D5430000}"/>
    <cellStyle name="Note 4 5 2 5 2 2" xfId="31253" xr:uid="{00000000-0005-0000-0000-0000D6430000}"/>
    <cellStyle name="Note 4 5 2 5 3" xfId="22703" xr:uid="{00000000-0005-0000-0000-0000D7430000}"/>
    <cellStyle name="Note 4 5 2 6" xfId="12491" xr:uid="{00000000-0005-0000-0000-0000D8430000}"/>
    <cellStyle name="Note 4 5 2 6 2" xfId="27323" xr:uid="{00000000-0005-0000-0000-0000D9430000}"/>
    <cellStyle name="Note 4 5 2 7" xfId="10073" xr:uid="{00000000-0005-0000-0000-0000DA430000}"/>
    <cellStyle name="Note 4 5 2 7 2" xfId="24905" xr:uid="{00000000-0005-0000-0000-0000DB430000}"/>
    <cellStyle name="Note 4 5 2 8" xfId="20382" xr:uid="{00000000-0005-0000-0000-0000DC430000}"/>
    <cellStyle name="Note 4 5 3" xfId="3547" xr:uid="{00000000-0005-0000-0000-0000DD430000}"/>
    <cellStyle name="Note 4 5 3 2" xfId="7609" xr:uid="{00000000-0005-0000-0000-0000DE430000}"/>
    <cellStyle name="Note 4 5 3 2 2" xfId="17251" xr:uid="{00000000-0005-0000-0000-0000DF430000}"/>
    <cellStyle name="Note 4 5 3 2 2 2" xfId="32083" xr:uid="{00000000-0005-0000-0000-0000E0430000}"/>
    <cellStyle name="Note 4 5 3 2 3" xfId="23545" xr:uid="{00000000-0005-0000-0000-0000E1430000}"/>
    <cellStyle name="Note 4 5 3 3" xfId="13883" xr:uid="{00000000-0005-0000-0000-0000E2430000}"/>
    <cellStyle name="Note 4 5 3 3 2" xfId="28715" xr:uid="{00000000-0005-0000-0000-0000E3430000}"/>
    <cellStyle name="Note 4 5 3 4" xfId="10868" xr:uid="{00000000-0005-0000-0000-0000E4430000}"/>
    <cellStyle name="Note 4 5 3 4 2" xfId="25700" xr:uid="{00000000-0005-0000-0000-0000E5430000}"/>
    <cellStyle name="Note 4 5 3 5" xfId="21218" xr:uid="{00000000-0005-0000-0000-0000E6430000}"/>
    <cellStyle name="Note 4 5 4" xfId="4664" xr:uid="{00000000-0005-0000-0000-0000E7430000}"/>
    <cellStyle name="Note 4 5 4 2" xfId="8703" xr:uid="{00000000-0005-0000-0000-0000E8430000}"/>
    <cellStyle name="Note 4 5 4 2 2" xfId="17811" xr:uid="{00000000-0005-0000-0000-0000E9430000}"/>
    <cellStyle name="Note 4 5 4 2 2 2" xfId="32643" xr:uid="{00000000-0005-0000-0000-0000EA430000}"/>
    <cellStyle name="Note 4 5 4 2 3" xfId="24265" xr:uid="{00000000-0005-0000-0000-0000EB430000}"/>
    <cellStyle name="Note 4 5 4 3" xfId="14989" xr:uid="{00000000-0005-0000-0000-0000EC430000}"/>
    <cellStyle name="Note 4 5 4 3 2" xfId="29821" xr:uid="{00000000-0005-0000-0000-0000ED430000}"/>
    <cellStyle name="Note 4 5 4 4" xfId="11415" xr:uid="{00000000-0005-0000-0000-0000EE430000}"/>
    <cellStyle name="Note 4 5 4 4 2" xfId="26247" xr:uid="{00000000-0005-0000-0000-0000EF430000}"/>
    <cellStyle name="Note 4 5 4 5" xfId="21809" xr:uid="{00000000-0005-0000-0000-0000F0430000}"/>
    <cellStyle name="Note 4 5 5" xfId="2654" xr:uid="{00000000-0005-0000-0000-0000F1430000}"/>
    <cellStyle name="Note 4 5 5 2" xfId="6750" xr:uid="{00000000-0005-0000-0000-0000F2430000}"/>
    <cellStyle name="Note 4 5 5 2 2" xfId="16706" xr:uid="{00000000-0005-0000-0000-0000F3430000}"/>
    <cellStyle name="Note 4 5 5 2 2 2" xfId="31538" xr:uid="{00000000-0005-0000-0000-0000F4430000}"/>
    <cellStyle name="Note 4 5 5 2 3" xfId="23022" xr:uid="{00000000-0005-0000-0000-0000F5430000}"/>
    <cellStyle name="Note 4 5 5 3" xfId="12992" xr:uid="{00000000-0005-0000-0000-0000F6430000}"/>
    <cellStyle name="Note 4 5 5 3 2" xfId="27824" xr:uid="{00000000-0005-0000-0000-0000F7430000}"/>
    <cellStyle name="Note 4 5 5 4" xfId="10358" xr:uid="{00000000-0005-0000-0000-0000F8430000}"/>
    <cellStyle name="Note 4 5 5 4 2" xfId="25190" xr:uid="{00000000-0005-0000-0000-0000F9430000}"/>
    <cellStyle name="Note 4 5 5 5" xfId="20676" xr:uid="{00000000-0005-0000-0000-0000FA430000}"/>
    <cellStyle name="Note 4 5 6" xfId="5766" xr:uid="{00000000-0005-0000-0000-0000FB430000}"/>
    <cellStyle name="Note 4 5 6 2" xfId="16000" xr:uid="{00000000-0005-0000-0000-0000FC430000}"/>
    <cellStyle name="Note 4 5 6 2 2" xfId="30832" xr:uid="{00000000-0005-0000-0000-0000FD430000}"/>
    <cellStyle name="Note 4 5 6 3" xfId="22397" xr:uid="{00000000-0005-0000-0000-0000FE430000}"/>
    <cellStyle name="Note 4 5 7" xfId="12020" xr:uid="{00000000-0005-0000-0000-0000FF430000}"/>
    <cellStyle name="Note 4 5 7 2" xfId="26852" xr:uid="{00000000-0005-0000-0000-000000440000}"/>
    <cellStyle name="Note 4 5 8" xfId="9680" xr:uid="{00000000-0005-0000-0000-000001440000}"/>
    <cellStyle name="Note 4 5 8 2" xfId="19980" xr:uid="{00000000-0005-0000-0000-000002440000}"/>
    <cellStyle name="Note 4 6" xfId="1770" xr:uid="{00000000-0005-0000-0000-000003440000}"/>
    <cellStyle name="Note 4 6 2" xfId="3924" xr:uid="{00000000-0005-0000-0000-000004440000}"/>
    <cellStyle name="Note 4 6 2 2" xfId="7974" xr:uid="{00000000-0005-0000-0000-000005440000}"/>
    <cellStyle name="Note 4 6 2 2 2" xfId="17433" xr:uid="{00000000-0005-0000-0000-000006440000}"/>
    <cellStyle name="Note 4 6 2 2 2 2" xfId="32265" xr:uid="{00000000-0005-0000-0000-000007440000}"/>
    <cellStyle name="Note 4 6 2 2 3" xfId="23781" xr:uid="{00000000-0005-0000-0000-000008440000}"/>
    <cellStyle name="Note 4 6 2 3" xfId="14257" xr:uid="{00000000-0005-0000-0000-000009440000}"/>
    <cellStyle name="Note 4 6 2 3 2" xfId="29089" xr:uid="{00000000-0005-0000-0000-00000A440000}"/>
    <cellStyle name="Note 4 6 2 4" xfId="11048" xr:uid="{00000000-0005-0000-0000-00000B440000}"/>
    <cellStyle name="Note 4 6 2 4 2" xfId="25880" xr:uid="{00000000-0005-0000-0000-00000C440000}"/>
    <cellStyle name="Note 4 6 2 5" xfId="21423" xr:uid="{00000000-0005-0000-0000-00000D440000}"/>
    <cellStyle name="Note 4 6 3" xfId="4748" xr:uid="{00000000-0005-0000-0000-00000E440000}"/>
    <cellStyle name="Note 4 6 3 2" xfId="8787" xr:uid="{00000000-0005-0000-0000-00000F440000}"/>
    <cellStyle name="Note 4 6 3 2 2" xfId="17859" xr:uid="{00000000-0005-0000-0000-000010440000}"/>
    <cellStyle name="Note 4 6 3 2 2 2" xfId="32691" xr:uid="{00000000-0005-0000-0000-000011440000}"/>
    <cellStyle name="Note 4 6 3 2 3" xfId="24317" xr:uid="{00000000-0005-0000-0000-000012440000}"/>
    <cellStyle name="Note 4 6 3 3" xfId="15072" xr:uid="{00000000-0005-0000-0000-000013440000}"/>
    <cellStyle name="Note 4 6 3 3 2" xfId="29904" xr:uid="{00000000-0005-0000-0000-000014440000}"/>
    <cellStyle name="Note 4 6 3 4" xfId="11462" xr:uid="{00000000-0005-0000-0000-000015440000}"/>
    <cellStyle name="Note 4 6 3 4 2" xfId="26294" xr:uid="{00000000-0005-0000-0000-000016440000}"/>
    <cellStyle name="Note 4 6 3 5" xfId="21855" xr:uid="{00000000-0005-0000-0000-000017440000}"/>
    <cellStyle name="Note 4 6 4" xfId="2738" xr:uid="{00000000-0005-0000-0000-000018440000}"/>
    <cellStyle name="Note 4 6 4 2" xfId="6829" xr:uid="{00000000-0005-0000-0000-000019440000}"/>
    <cellStyle name="Note 4 6 4 2 2" xfId="16753" xr:uid="{00000000-0005-0000-0000-00001A440000}"/>
    <cellStyle name="Note 4 6 4 2 2 2" xfId="31585" xr:uid="{00000000-0005-0000-0000-00001B440000}"/>
    <cellStyle name="Note 4 6 4 2 3" xfId="23068" xr:uid="{00000000-0005-0000-0000-00001C440000}"/>
    <cellStyle name="Note 4 6 4 3" xfId="13076" xr:uid="{00000000-0005-0000-0000-00001D440000}"/>
    <cellStyle name="Note 4 6 4 3 2" xfId="27908" xr:uid="{00000000-0005-0000-0000-00001E440000}"/>
    <cellStyle name="Note 4 6 4 4" xfId="10406" xr:uid="{00000000-0005-0000-0000-00001F440000}"/>
    <cellStyle name="Note 4 6 4 4 2" xfId="25238" xr:uid="{00000000-0005-0000-0000-000020440000}"/>
    <cellStyle name="Note 4 6 4 5" xfId="20728" xr:uid="{00000000-0005-0000-0000-000021440000}"/>
    <cellStyle name="Note 4 6 5" xfId="5902" xr:uid="{00000000-0005-0000-0000-000022440000}"/>
    <cellStyle name="Note 4 6 5 2" xfId="16094" xr:uid="{00000000-0005-0000-0000-000023440000}"/>
    <cellStyle name="Note 4 6 5 2 2" xfId="30926" xr:uid="{00000000-0005-0000-0000-000024440000}"/>
    <cellStyle name="Note 4 6 5 3" xfId="22499" xr:uid="{00000000-0005-0000-0000-000025440000}"/>
    <cellStyle name="Note 4 6 6" xfId="12164" xr:uid="{00000000-0005-0000-0000-000026440000}"/>
    <cellStyle name="Note 4 6 6 2" xfId="26996" xr:uid="{00000000-0005-0000-0000-000027440000}"/>
    <cellStyle name="Note 4 6 7" xfId="9760" xr:uid="{00000000-0005-0000-0000-000028440000}"/>
    <cellStyle name="Note 4 6 7 2" xfId="24717" xr:uid="{00000000-0005-0000-0000-000029440000}"/>
    <cellStyle name="Note 4 6 8" xfId="20307" xr:uid="{00000000-0005-0000-0000-00002A440000}"/>
    <cellStyle name="Note 4 7" xfId="2196" xr:uid="{00000000-0005-0000-0000-00002B440000}"/>
    <cellStyle name="Note 4 7 2" xfId="3640" xr:uid="{00000000-0005-0000-0000-00002C440000}"/>
    <cellStyle name="Note 4 7 2 2" xfId="7699" xr:uid="{00000000-0005-0000-0000-00002D440000}"/>
    <cellStyle name="Note 4 7 2 2 2" xfId="17297" xr:uid="{00000000-0005-0000-0000-00002E440000}"/>
    <cellStyle name="Note 4 7 2 2 2 2" xfId="32129" xr:uid="{00000000-0005-0000-0000-00002F440000}"/>
    <cellStyle name="Note 4 7 2 2 3" xfId="23599" xr:uid="{00000000-0005-0000-0000-000030440000}"/>
    <cellStyle name="Note 4 7 2 3" xfId="13975" xr:uid="{00000000-0005-0000-0000-000031440000}"/>
    <cellStyle name="Note 4 7 2 3 2" xfId="28807" xr:uid="{00000000-0005-0000-0000-000032440000}"/>
    <cellStyle name="Note 4 7 2 4" xfId="10913" xr:uid="{00000000-0005-0000-0000-000033440000}"/>
    <cellStyle name="Note 4 7 2 4 2" xfId="25745" xr:uid="{00000000-0005-0000-0000-000034440000}"/>
    <cellStyle name="Note 4 7 2 5" xfId="21265" xr:uid="{00000000-0005-0000-0000-000035440000}"/>
    <cellStyle name="Note 4 7 3" xfId="5164" xr:uid="{00000000-0005-0000-0000-000036440000}"/>
    <cellStyle name="Note 4 7 3 2" xfId="9203" xr:uid="{00000000-0005-0000-0000-000037440000}"/>
    <cellStyle name="Note 4 7 3 2 2" xfId="18126" xr:uid="{00000000-0005-0000-0000-000038440000}"/>
    <cellStyle name="Note 4 7 3 2 2 2" xfId="32958" xr:uid="{00000000-0005-0000-0000-000039440000}"/>
    <cellStyle name="Note 4 7 3 2 3" xfId="24541" xr:uid="{00000000-0005-0000-0000-00003A440000}"/>
    <cellStyle name="Note 4 7 3 3" xfId="15482" xr:uid="{00000000-0005-0000-0000-00003B440000}"/>
    <cellStyle name="Note 4 7 3 3 2" xfId="30314" xr:uid="{00000000-0005-0000-0000-00003C440000}"/>
    <cellStyle name="Note 4 7 3 4" xfId="11723" xr:uid="{00000000-0005-0000-0000-00003D440000}"/>
    <cellStyle name="Note 4 7 3 4 2" xfId="26555" xr:uid="{00000000-0005-0000-0000-00003E440000}"/>
    <cellStyle name="Note 4 7 3 5" xfId="22048" xr:uid="{00000000-0005-0000-0000-00003F440000}"/>
    <cellStyle name="Note 4 7 4" xfId="4194" xr:uid="{00000000-0005-0000-0000-000040440000}"/>
    <cellStyle name="Note 4 7 4 2" xfId="8235" xr:uid="{00000000-0005-0000-0000-000041440000}"/>
    <cellStyle name="Note 4 7 4 2 2" xfId="17582" xr:uid="{00000000-0005-0000-0000-000042440000}"/>
    <cellStyle name="Note 4 7 4 2 2 2" xfId="32414" xr:uid="{00000000-0005-0000-0000-000043440000}"/>
    <cellStyle name="Note 4 7 4 2 3" xfId="23930" xr:uid="{00000000-0005-0000-0000-000044440000}"/>
    <cellStyle name="Note 4 7 4 3" xfId="14526" xr:uid="{00000000-0005-0000-0000-000045440000}"/>
    <cellStyle name="Note 4 7 4 3 2" xfId="29358" xr:uid="{00000000-0005-0000-0000-000046440000}"/>
    <cellStyle name="Note 4 7 4 4" xfId="11202" xr:uid="{00000000-0005-0000-0000-000047440000}"/>
    <cellStyle name="Note 4 7 4 4 2" xfId="26034" xr:uid="{00000000-0005-0000-0000-000048440000}"/>
    <cellStyle name="Note 4 7 4 5" xfId="21555" xr:uid="{00000000-0005-0000-0000-000049440000}"/>
    <cellStyle name="Note 4 7 5" xfId="6310" xr:uid="{00000000-0005-0000-0000-00004A440000}"/>
    <cellStyle name="Note 4 7 5 2" xfId="16494" xr:uid="{00000000-0005-0000-0000-00004B440000}"/>
    <cellStyle name="Note 4 7 5 2 2" xfId="31326" xr:uid="{00000000-0005-0000-0000-00004C440000}"/>
    <cellStyle name="Note 4 7 5 3" xfId="22712" xr:uid="{00000000-0005-0000-0000-00004D440000}"/>
    <cellStyle name="Note 4 7 6" xfId="12564" xr:uid="{00000000-0005-0000-0000-00004E440000}"/>
    <cellStyle name="Note 4 7 6 2" xfId="27396" xr:uid="{00000000-0005-0000-0000-00004F440000}"/>
    <cellStyle name="Note 4 7 7" xfId="10146" xr:uid="{00000000-0005-0000-0000-000050440000}"/>
    <cellStyle name="Note 4 7 7 2" xfId="24978" xr:uid="{00000000-0005-0000-0000-000051440000}"/>
    <cellStyle name="Note 4 7 8" xfId="20391" xr:uid="{00000000-0005-0000-0000-000052440000}"/>
    <cellStyle name="Note 4 8" xfId="3159" xr:uid="{00000000-0005-0000-0000-000053440000}"/>
    <cellStyle name="Note 4 8 2" xfId="7223" xr:uid="{00000000-0005-0000-0000-000054440000}"/>
    <cellStyle name="Note 4 8 2 2" xfId="17001" xr:uid="{00000000-0005-0000-0000-000055440000}"/>
    <cellStyle name="Note 4 8 2 2 2" xfId="31833" xr:uid="{00000000-0005-0000-0000-000056440000}"/>
    <cellStyle name="Note 4 8 2 3" xfId="23288" xr:uid="{00000000-0005-0000-0000-000057440000}"/>
    <cellStyle name="Note 4 8 3" xfId="13497" xr:uid="{00000000-0005-0000-0000-000058440000}"/>
    <cellStyle name="Note 4 8 3 2" xfId="28329" xr:uid="{00000000-0005-0000-0000-000059440000}"/>
    <cellStyle name="Note 4 8 4" xfId="10653" xr:uid="{00000000-0005-0000-0000-00005A440000}"/>
    <cellStyle name="Note 4 8 4 2" xfId="25485" xr:uid="{00000000-0005-0000-0000-00005B440000}"/>
    <cellStyle name="Note 4 8 5" xfId="20979" xr:uid="{00000000-0005-0000-0000-00005C440000}"/>
    <cellStyle name="Note 4 9" xfId="4313" xr:uid="{00000000-0005-0000-0000-00005D440000}"/>
    <cellStyle name="Note 4 9 2" xfId="8352" xr:uid="{00000000-0005-0000-0000-00005E440000}"/>
    <cellStyle name="Note 4 9 2 2" xfId="17631" xr:uid="{00000000-0005-0000-0000-00005F440000}"/>
    <cellStyle name="Note 4 9 2 2 2" xfId="32463" xr:uid="{00000000-0005-0000-0000-000060440000}"/>
    <cellStyle name="Note 4 9 2 3" xfId="24029" xr:uid="{00000000-0005-0000-0000-000061440000}"/>
    <cellStyle name="Note 4 9 3" xfId="14644" xr:uid="{00000000-0005-0000-0000-000062440000}"/>
    <cellStyle name="Note 4 9 3 2" xfId="29476" xr:uid="{00000000-0005-0000-0000-000063440000}"/>
    <cellStyle name="Note 4 9 4" xfId="11241" xr:uid="{00000000-0005-0000-0000-000064440000}"/>
    <cellStyle name="Note 4 9 4 2" xfId="26073" xr:uid="{00000000-0005-0000-0000-000065440000}"/>
    <cellStyle name="Note 4 9 5" xfId="21626" xr:uid="{00000000-0005-0000-0000-000066440000}"/>
    <cellStyle name="Note 5" xfId="1226" xr:uid="{00000000-0005-0000-0000-000067440000}"/>
    <cellStyle name="Note 5 10" xfId="2312" xr:uid="{00000000-0005-0000-0000-000068440000}"/>
    <cellStyle name="Note 5 10 2" xfId="6424" xr:uid="{00000000-0005-0000-0000-000069440000}"/>
    <cellStyle name="Note 5 10 2 2" xfId="16517" xr:uid="{00000000-0005-0000-0000-00006A440000}"/>
    <cellStyle name="Note 5 10 2 2 2" xfId="31349" xr:uid="{00000000-0005-0000-0000-00006B440000}"/>
    <cellStyle name="Note 5 10 2 3" xfId="22826" xr:uid="{00000000-0005-0000-0000-00006C440000}"/>
    <cellStyle name="Note 5 10 3" xfId="12652" xr:uid="{00000000-0005-0000-0000-00006D440000}"/>
    <cellStyle name="Note 5 10 3 2" xfId="27484" xr:uid="{00000000-0005-0000-0000-00006E440000}"/>
    <cellStyle name="Note 5 10 4" xfId="10168" xr:uid="{00000000-0005-0000-0000-00006F440000}"/>
    <cellStyle name="Note 5 10 4 2" xfId="25000" xr:uid="{00000000-0005-0000-0000-000070440000}"/>
    <cellStyle name="Note 5 10 5" xfId="20475" xr:uid="{00000000-0005-0000-0000-000071440000}"/>
    <cellStyle name="Note 5 11" xfId="5275" xr:uid="{00000000-0005-0000-0000-000072440000}"/>
    <cellStyle name="Note 5 11 2" xfId="9283" xr:uid="{00000000-0005-0000-0000-000073440000}"/>
    <cellStyle name="Note 5 11 2 2" xfId="18150" xr:uid="{00000000-0005-0000-0000-000074440000}"/>
    <cellStyle name="Note 5 11 2 2 2" xfId="32982" xr:uid="{00000000-0005-0000-0000-000075440000}"/>
    <cellStyle name="Note 5 11 2 3" xfId="24621" xr:uid="{00000000-0005-0000-0000-000076440000}"/>
    <cellStyle name="Note 5 11 3" xfId="15591" xr:uid="{00000000-0005-0000-0000-000077440000}"/>
    <cellStyle name="Note 5 11 3 2" xfId="30423" xr:uid="{00000000-0005-0000-0000-000078440000}"/>
    <cellStyle name="Note 5 11 4" xfId="22132" xr:uid="{00000000-0005-0000-0000-000079440000}"/>
    <cellStyle name="Note 5 12" xfId="5433" xr:uid="{00000000-0005-0000-0000-00007A440000}"/>
    <cellStyle name="Note 5 12 2" xfId="15669" xr:uid="{00000000-0005-0000-0000-00007B440000}"/>
    <cellStyle name="Note 5 12 2 2" xfId="30501" xr:uid="{00000000-0005-0000-0000-00007C440000}"/>
    <cellStyle name="Note 5 12 3" xfId="22194" xr:uid="{00000000-0005-0000-0000-00007D440000}"/>
    <cellStyle name="Note 5 13" xfId="9358" xr:uid="{00000000-0005-0000-0000-00007E440000}"/>
    <cellStyle name="Note 5 13 2" xfId="24664" xr:uid="{00000000-0005-0000-0000-00007F440000}"/>
    <cellStyle name="Note 5 14" xfId="5347" xr:uid="{00000000-0005-0000-0000-000080440000}"/>
    <cellStyle name="Note 5 14 2" xfId="18221" xr:uid="{00000000-0005-0000-0000-000081440000}"/>
    <cellStyle name="Note 5 2" xfId="1345" xr:uid="{00000000-0005-0000-0000-000082440000}"/>
    <cellStyle name="Note 5 2 2" xfId="1849" xr:uid="{00000000-0005-0000-0000-000083440000}"/>
    <cellStyle name="Note 5 2 2 2" xfId="3728" xr:uid="{00000000-0005-0000-0000-000084440000}"/>
    <cellStyle name="Note 5 2 2 2 2" xfId="7784" xr:uid="{00000000-0005-0000-0000-000085440000}"/>
    <cellStyle name="Note 5 2 2 2 2 2" xfId="17337" xr:uid="{00000000-0005-0000-0000-000086440000}"/>
    <cellStyle name="Note 5 2 2 2 2 2 2" xfId="32169" xr:uid="{00000000-0005-0000-0000-000087440000}"/>
    <cellStyle name="Note 5 2 2 2 2 3" xfId="23661" xr:uid="{00000000-0005-0000-0000-000088440000}"/>
    <cellStyle name="Note 5 2 2 2 3" xfId="14063" xr:uid="{00000000-0005-0000-0000-000089440000}"/>
    <cellStyle name="Note 5 2 2 2 3 2" xfId="28895" xr:uid="{00000000-0005-0000-0000-00008A440000}"/>
    <cellStyle name="Note 5 2 2 2 4" xfId="10953" xr:uid="{00000000-0005-0000-0000-00008B440000}"/>
    <cellStyle name="Note 5 2 2 2 4 2" xfId="25785" xr:uid="{00000000-0005-0000-0000-00008C440000}"/>
    <cellStyle name="Note 5 2 2 2 5" xfId="21321" xr:uid="{00000000-0005-0000-0000-00008D440000}"/>
    <cellStyle name="Note 5 2 2 3" xfId="4827" xr:uid="{00000000-0005-0000-0000-00008E440000}"/>
    <cellStyle name="Note 5 2 2 3 2" xfId="8866" xr:uid="{00000000-0005-0000-0000-00008F440000}"/>
    <cellStyle name="Note 5 2 2 3 2 2" xfId="17907" xr:uid="{00000000-0005-0000-0000-000090440000}"/>
    <cellStyle name="Note 5 2 2 3 2 2 2" xfId="32739" xr:uid="{00000000-0005-0000-0000-000091440000}"/>
    <cellStyle name="Note 5 2 2 3 2 3" xfId="24364" xr:uid="{00000000-0005-0000-0000-000092440000}"/>
    <cellStyle name="Note 5 2 2 3 3" xfId="15151" xr:uid="{00000000-0005-0000-0000-000093440000}"/>
    <cellStyle name="Note 5 2 2 3 3 2" xfId="29983" xr:uid="{00000000-0005-0000-0000-000094440000}"/>
    <cellStyle name="Note 5 2 2 3 4" xfId="11510" xr:uid="{00000000-0005-0000-0000-000095440000}"/>
    <cellStyle name="Note 5 2 2 3 4 2" xfId="26342" xr:uid="{00000000-0005-0000-0000-000096440000}"/>
    <cellStyle name="Note 5 2 2 3 5" xfId="21902" xr:uid="{00000000-0005-0000-0000-000097440000}"/>
    <cellStyle name="Note 5 2 2 4" xfId="2817" xr:uid="{00000000-0005-0000-0000-000098440000}"/>
    <cellStyle name="Note 5 2 2 4 2" xfId="6908" xr:uid="{00000000-0005-0000-0000-000099440000}"/>
    <cellStyle name="Note 5 2 2 4 2 2" xfId="16801" xr:uid="{00000000-0005-0000-0000-00009A440000}"/>
    <cellStyle name="Note 5 2 2 4 2 2 2" xfId="31633" xr:uid="{00000000-0005-0000-0000-00009B440000}"/>
    <cellStyle name="Note 5 2 2 4 2 3" xfId="23115" xr:uid="{00000000-0005-0000-0000-00009C440000}"/>
    <cellStyle name="Note 5 2 2 4 3" xfId="13155" xr:uid="{00000000-0005-0000-0000-00009D440000}"/>
    <cellStyle name="Note 5 2 2 4 3 2" xfId="27987" xr:uid="{00000000-0005-0000-0000-00009E440000}"/>
    <cellStyle name="Note 5 2 2 4 4" xfId="10454" xr:uid="{00000000-0005-0000-0000-00009F440000}"/>
    <cellStyle name="Note 5 2 2 4 4 2" xfId="25286" xr:uid="{00000000-0005-0000-0000-0000A0440000}"/>
    <cellStyle name="Note 5 2 2 4 5" xfId="20775" xr:uid="{00000000-0005-0000-0000-0000A1440000}"/>
    <cellStyle name="Note 5 2 2 5" xfId="5981" xr:uid="{00000000-0005-0000-0000-0000A2440000}"/>
    <cellStyle name="Note 5 2 2 5 2" xfId="16173" xr:uid="{00000000-0005-0000-0000-0000A3440000}"/>
    <cellStyle name="Note 5 2 2 5 2 2" xfId="31005" xr:uid="{00000000-0005-0000-0000-0000A4440000}"/>
    <cellStyle name="Note 5 2 2 5 3" xfId="22546" xr:uid="{00000000-0005-0000-0000-0000A5440000}"/>
    <cellStyle name="Note 5 2 2 6" xfId="12243" xr:uid="{00000000-0005-0000-0000-0000A6440000}"/>
    <cellStyle name="Note 5 2 2 6 2" xfId="27075" xr:uid="{00000000-0005-0000-0000-0000A7440000}"/>
    <cellStyle name="Note 5 2 2 7" xfId="9839" xr:uid="{00000000-0005-0000-0000-0000A8440000}"/>
    <cellStyle name="Note 5 2 2 7 2" xfId="24765" xr:uid="{00000000-0005-0000-0000-0000A9440000}"/>
    <cellStyle name="Note 5 2 2 8" xfId="20323" xr:uid="{00000000-0005-0000-0000-0000AA440000}"/>
    <cellStyle name="Note 5 2 3" xfId="3624" xr:uid="{00000000-0005-0000-0000-0000AB440000}"/>
    <cellStyle name="Note 5 2 3 2" xfId="7684" xr:uid="{00000000-0005-0000-0000-0000AC440000}"/>
    <cellStyle name="Note 5 2 3 2 2" xfId="17286" xr:uid="{00000000-0005-0000-0000-0000AD440000}"/>
    <cellStyle name="Note 5 2 3 2 2 2" xfId="32118" xr:uid="{00000000-0005-0000-0000-0000AE440000}"/>
    <cellStyle name="Note 5 2 3 2 3" xfId="23593" xr:uid="{00000000-0005-0000-0000-0000AF440000}"/>
    <cellStyle name="Note 5 2 3 3" xfId="13959" xr:uid="{00000000-0005-0000-0000-0000B0440000}"/>
    <cellStyle name="Note 5 2 3 3 2" xfId="28791" xr:uid="{00000000-0005-0000-0000-0000B1440000}"/>
    <cellStyle name="Note 5 2 3 4" xfId="10902" xr:uid="{00000000-0005-0000-0000-0000B2440000}"/>
    <cellStyle name="Note 5 2 3 4 2" xfId="25734" xr:uid="{00000000-0005-0000-0000-0000B3440000}"/>
    <cellStyle name="Note 5 2 3 5" xfId="21257" xr:uid="{00000000-0005-0000-0000-0000B4440000}"/>
    <cellStyle name="Note 5 2 4" xfId="4407" xr:uid="{00000000-0005-0000-0000-0000B5440000}"/>
    <cellStyle name="Note 5 2 4 2" xfId="8446" xr:uid="{00000000-0005-0000-0000-0000B6440000}"/>
    <cellStyle name="Note 5 2 4 2 2" xfId="17667" xr:uid="{00000000-0005-0000-0000-0000B7440000}"/>
    <cellStyle name="Note 5 2 4 2 2 2" xfId="32499" xr:uid="{00000000-0005-0000-0000-0000B8440000}"/>
    <cellStyle name="Note 5 2 4 2 3" xfId="24104" xr:uid="{00000000-0005-0000-0000-0000B9440000}"/>
    <cellStyle name="Note 5 2 4 3" xfId="14736" xr:uid="{00000000-0005-0000-0000-0000BA440000}"/>
    <cellStyle name="Note 5 2 4 3 2" xfId="29568" xr:uid="{00000000-0005-0000-0000-0000BB440000}"/>
    <cellStyle name="Note 5 2 4 4" xfId="11275" xr:uid="{00000000-0005-0000-0000-0000BC440000}"/>
    <cellStyle name="Note 5 2 4 4 2" xfId="26107" xr:uid="{00000000-0005-0000-0000-0000BD440000}"/>
    <cellStyle name="Note 5 2 4 5" xfId="21672" xr:uid="{00000000-0005-0000-0000-0000BE440000}"/>
    <cellStyle name="Note 5 2 5" xfId="2397" xr:uid="{00000000-0005-0000-0000-0000BF440000}"/>
    <cellStyle name="Note 5 2 5 2" xfId="6509" xr:uid="{00000000-0005-0000-0000-0000C0440000}"/>
    <cellStyle name="Note 5 2 5 2 2" xfId="16565" xr:uid="{00000000-0005-0000-0000-0000C1440000}"/>
    <cellStyle name="Note 5 2 5 2 2 2" xfId="31397" xr:uid="{00000000-0005-0000-0000-0000C2440000}"/>
    <cellStyle name="Note 5 2 5 2 3" xfId="22879" xr:uid="{00000000-0005-0000-0000-0000C3440000}"/>
    <cellStyle name="Note 5 2 5 3" xfId="12736" xr:uid="{00000000-0005-0000-0000-0000C4440000}"/>
    <cellStyle name="Note 5 2 5 3 2" xfId="27568" xr:uid="{00000000-0005-0000-0000-0000C5440000}"/>
    <cellStyle name="Note 5 2 5 4" xfId="10215" xr:uid="{00000000-0005-0000-0000-0000C6440000}"/>
    <cellStyle name="Note 5 2 5 4 2" xfId="25047" xr:uid="{00000000-0005-0000-0000-0000C7440000}"/>
    <cellStyle name="Note 5 2 5 5" xfId="20521" xr:uid="{00000000-0005-0000-0000-0000C8440000}"/>
    <cellStyle name="Note 5 2 6" xfId="5522" xr:uid="{00000000-0005-0000-0000-0000C9440000}"/>
    <cellStyle name="Note 5 2 6 2" xfId="15757" xr:uid="{00000000-0005-0000-0000-0000CA440000}"/>
    <cellStyle name="Note 5 2 6 2 2" xfId="30589" xr:uid="{00000000-0005-0000-0000-0000CB440000}"/>
    <cellStyle name="Note 5 2 6 3" xfId="22250" xr:uid="{00000000-0005-0000-0000-0000CC440000}"/>
    <cellStyle name="Note 5 2 7" xfId="11772" xr:uid="{00000000-0005-0000-0000-0000CD440000}"/>
    <cellStyle name="Note 5 2 7 2" xfId="26604" xr:uid="{00000000-0005-0000-0000-0000CE440000}"/>
    <cellStyle name="Note 5 2 8" xfId="9443" xr:uid="{00000000-0005-0000-0000-0000CF440000}"/>
    <cellStyle name="Note 5 2 8 2" xfId="19747" xr:uid="{00000000-0005-0000-0000-0000D0440000}"/>
    <cellStyle name="Note 5 3" xfId="1515" xr:uid="{00000000-0005-0000-0000-0000D1440000}"/>
    <cellStyle name="Note 5 3 2" xfId="2012" xr:uid="{00000000-0005-0000-0000-0000D2440000}"/>
    <cellStyle name="Note 5 3 2 2" xfId="3926" xr:uid="{00000000-0005-0000-0000-0000D3440000}"/>
    <cellStyle name="Note 5 3 2 2 2" xfId="7976" xr:uid="{00000000-0005-0000-0000-0000D4440000}"/>
    <cellStyle name="Note 5 3 2 2 2 2" xfId="17434" xr:uid="{00000000-0005-0000-0000-0000D5440000}"/>
    <cellStyle name="Note 5 3 2 2 2 2 2" xfId="32266" xr:uid="{00000000-0005-0000-0000-0000D6440000}"/>
    <cellStyle name="Note 5 3 2 2 2 3" xfId="23783" xr:uid="{00000000-0005-0000-0000-0000D7440000}"/>
    <cellStyle name="Note 5 3 2 2 3" xfId="14259" xr:uid="{00000000-0005-0000-0000-0000D8440000}"/>
    <cellStyle name="Note 5 3 2 2 3 2" xfId="29091" xr:uid="{00000000-0005-0000-0000-0000D9440000}"/>
    <cellStyle name="Note 5 3 2 2 4" xfId="11049" xr:uid="{00000000-0005-0000-0000-0000DA440000}"/>
    <cellStyle name="Note 5 3 2 2 4 2" xfId="25881" xr:uid="{00000000-0005-0000-0000-0000DB440000}"/>
    <cellStyle name="Note 5 3 2 2 5" xfId="21425" xr:uid="{00000000-0005-0000-0000-0000DC440000}"/>
    <cellStyle name="Note 5 3 2 3" xfId="4980" xr:uid="{00000000-0005-0000-0000-0000DD440000}"/>
    <cellStyle name="Note 5 3 2 3 2" xfId="9019" xr:uid="{00000000-0005-0000-0000-0000DE440000}"/>
    <cellStyle name="Note 5 3 2 3 2 2" xfId="17957" xr:uid="{00000000-0005-0000-0000-0000DF440000}"/>
    <cellStyle name="Note 5 3 2 3 2 2 2" xfId="32789" xr:uid="{00000000-0005-0000-0000-0000E0440000}"/>
    <cellStyle name="Note 5 3 2 3 2 3" xfId="24485" xr:uid="{00000000-0005-0000-0000-0000E1440000}"/>
    <cellStyle name="Note 5 3 2 3 3" xfId="15302" xr:uid="{00000000-0005-0000-0000-0000E2440000}"/>
    <cellStyle name="Note 5 3 2 3 3 2" xfId="30134" xr:uid="{00000000-0005-0000-0000-0000E3440000}"/>
    <cellStyle name="Note 5 3 2 3 4" xfId="11558" xr:uid="{00000000-0005-0000-0000-0000E4440000}"/>
    <cellStyle name="Note 5 3 2 3 4 2" xfId="26390" xr:uid="{00000000-0005-0000-0000-0000E5440000}"/>
    <cellStyle name="Note 5 3 2 3 5" xfId="22011" xr:uid="{00000000-0005-0000-0000-0000E6440000}"/>
    <cellStyle name="Note 5 3 2 4" xfId="2970" xr:uid="{00000000-0005-0000-0000-0000E7440000}"/>
    <cellStyle name="Note 5 3 2 4 2" xfId="7050" xr:uid="{00000000-0005-0000-0000-0000E8440000}"/>
    <cellStyle name="Note 5 3 2 4 2 2" xfId="16849" xr:uid="{00000000-0005-0000-0000-0000E9440000}"/>
    <cellStyle name="Note 5 3 2 4 2 2 2" xfId="31681" xr:uid="{00000000-0005-0000-0000-0000EA440000}"/>
    <cellStyle name="Note 5 3 2 4 2 3" xfId="23224" xr:uid="{00000000-0005-0000-0000-0000EB440000}"/>
    <cellStyle name="Note 5 3 2 4 3" xfId="13308" xr:uid="{00000000-0005-0000-0000-0000EC440000}"/>
    <cellStyle name="Note 5 3 2 4 3 2" xfId="28140" xr:uid="{00000000-0005-0000-0000-0000ED440000}"/>
    <cellStyle name="Note 5 3 2 4 4" xfId="10504" xr:uid="{00000000-0005-0000-0000-0000EE440000}"/>
    <cellStyle name="Note 5 3 2 4 4 2" xfId="25336" xr:uid="{00000000-0005-0000-0000-0000EF440000}"/>
    <cellStyle name="Note 5 3 2 4 5" xfId="20896" xr:uid="{00000000-0005-0000-0000-0000F0440000}"/>
    <cellStyle name="Note 5 3 2 5" xfId="6142" xr:uid="{00000000-0005-0000-0000-0000F1440000}"/>
    <cellStyle name="Note 5 3 2 5 2" xfId="16329" xr:uid="{00000000-0005-0000-0000-0000F2440000}"/>
    <cellStyle name="Note 5 3 2 5 2 2" xfId="31161" xr:uid="{00000000-0005-0000-0000-0000F3440000}"/>
    <cellStyle name="Note 5 3 2 5 3" xfId="22675" xr:uid="{00000000-0005-0000-0000-0000F4440000}"/>
    <cellStyle name="Note 5 3 2 6" xfId="12399" xr:uid="{00000000-0005-0000-0000-0000F5440000}"/>
    <cellStyle name="Note 5 3 2 6 2" xfId="27231" xr:uid="{00000000-0005-0000-0000-0000F6440000}"/>
    <cellStyle name="Note 5 3 2 7" xfId="9981" xr:uid="{00000000-0005-0000-0000-0000F7440000}"/>
    <cellStyle name="Note 5 3 2 7 2" xfId="24813" xr:uid="{00000000-0005-0000-0000-0000F8440000}"/>
    <cellStyle name="Note 5 3 2 8" xfId="20354" xr:uid="{00000000-0005-0000-0000-0000F9440000}"/>
    <cellStyle name="Note 5 3 3" xfId="3226" xr:uid="{00000000-0005-0000-0000-0000FA440000}"/>
    <cellStyle name="Note 5 3 3 2" xfId="7290" xr:uid="{00000000-0005-0000-0000-0000FB440000}"/>
    <cellStyle name="Note 5 3 3 2 2" xfId="17050" xr:uid="{00000000-0005-0000-0000-0000FC440000}"/>
    <cellStyle name="Note 5 3 3 2 2 2" xfId="31882" xr:uid="{00000000-0005-0000-0000-0000FD440000}"/>
    <cellStyle name="Note 5 3 3 2 3" xfId="23333" xr:uid="{00000000-0005-0000-0000-0000FE440000}"/>
    <cellStyle name="Note 5 3 3 3" xfId="13564" xr:uid="{00000000-0005-0000-0000-0000FF440000}"/>
    <cellStyle name="Note 5 3 3 3 2" xfId="28396" xr:uid="{00000000-0005-0000-0000-000000450000}"/>
    <cellStyle name="Note 5 3 3 4" xfId="10690" xr:uid="{00000000-0005-0000-0000-000001450000}"/>
    <cellStyle name="Note 5 3 3 4 2" xfId="25522" xr:uid="{00000000-0005-0000-0000-000002450000}"/>
    <cellStyle name="Note 5 3 3 5" xfId="21022" xr:uid="{00000000-0005-0000-0000-000003450000}"/>
    <cellStyle name="Note 5 3 4" xfId="4560" xr:uid="{00000000-0005-0000-0000-000004450000}"/>
    <cellStyle name="Note 5 3 4 2" xfId="8599" xr:uid="{00000000-0005-0000-0000-000005450000}"/>
    <cellStyle name="Note 5 3 4 2 2" xfId="17717" xr:uid="{00000000-0005-0000-0000-000006450000}"/>
    <cellStyle name="Note 5 3 4 2 2 2" xfId="32549" xr:uid="{00000000-0005-0000-0000-000007450000}"/>
    <cellStyle name="Note 5 3 4 2 3" xfId="24225" xr:uid="{00000000-0005-0000-0000-000008450000}"/>
    <cellStyle name="Note 5 3 4 3" xfId="14887" xr:uid="{00000000-0005-0000-0000-000009450000}"/>
    <cellStyle name="Note 5 3 4 3 2" xfId="29719" xr:uid="{00000000-0005-0000-0000-00000A450000}"/>
    <cellStyle name="Note 5 3 4 4" xfId="11323" xr:uid="{00000000-0005-0000-0000-00000B450000}"/>
    <cellStyle name="Note 5 3 4 4 2" xfId="26155" xr:uid="{00000000-0005-0000-0000-00000C450000}"/>
    <cellStyle name="Note 5 3 4 5" xfId="21781" xr:uid="{00000000-0005-0000-0000-00000D450000}"/>
    <cellStyle name="Note 5 3 5" xfId="2550" xr:uid="{00000000-0005-0000-0000-00000E450000}"/>
    <cellStyle name="Note 5 3 5 2" xfId="6656" xr:uid="{00000000-0005-0000-0000-00000F450000}"/>
    <cellStyle name="Note 5 3 5 2 2" xfId="16614" xr:uid="{00000000-0005-0000-0000-000010450000}"/>
    <cellStyle name="Note 5 3 5 2 2 2" xfId="31446" xr:uid="{00000000-0005-0000-0000-000011450000}"/>
    <cellStyle name="Note 5 3 5 2 3" xfId="22994" xr:uid="{00000000-0005-0000-0000-000012450000}"/>
    <cellStyle name="Note 5 3 5 3" xfId="12888" xr:uid="{00000000-0005-0000-0000-000013450000}"/>
    <cellStyle name="Note 5 3 5 3 2" xfId="27720" xr:uid="{00000000-0005-0000-0000-000014450000}"/>
    <cellStyle name="Note 5 3 5 4" xfId="10264" xr:uid="{00000000-0005-0000-0000-000015450000}"/>
    <cellStyle name="Note 5 3 5 4 2" xfId="25096" xr:uid="{00000000-0005-0000-0000-000016450000}"/>
    <cellStyle name="Note 5 3 5 5" xfId="20636" xr:uid="{00000000-0005-0000-0000-000017450000}"/>
    <cellStyle name="Note 5 3 6" xfId="5673" xr:uid="{00000000-0005-0000-0000-000018450000}"/>
    <cellStyle name="Note 5 3 6 2" xfId="15908" xr:uid="{00000000-0005-0000-0000-000019450000}"/>
    <cellStyle name="Note 5 3 6 2 2" xfId="30740" xr:uid="{00000000-0005-0000-0000-00001A450000}"/>
    <cellStyle name="Note 5 3 6 3" xfId="22369" xr:uid="{00000000-0005-0000-0000-00001B450000}"/>
    <cellStyle name="Note 5 3 7" xfId="11928" xr:uid="{00000000-0005-0000-0000-00001C450000}"/>
    <cellStyle name="Note 5 3 7 2" xfId="26760" xr:uid="{00000000-0005-0000-0000-00001D450000}"/>
    <cellStyle name="Note 5 3 8" xfId="9586" xr:uid="{00000000-0005-0000-0000-00001E450000}"/>
    <cellStyle name="Note 5 3 8 2" xfId="19888" xr:uid="{00000000-0005-0000-0000-00001F450000}"/>
    <cellStyle name="Note 5 4" xfId="1570" xr:uid="{00000000-0005-0000-0000-000020450000}"/>
    <cellStyle name="Note 5 4 2" xfId="2067" xr:uid="{00000000-0005-0000-0000-000021450000}"/>
    <cellStyle name="Note 5 4 2 2" xfId="3408" xr:uid="{00000000-0005-0000-0000-000022450000}"/>
    <cellStyle name="Note 5 4 2 2 2" xfId="7471" xr:uid="{00000000-0005-0000-0000-000023450000}"/>
    <cellStyle name="Note 5 4 2 2 2 2" xfId="17170" xr:uid="{00000000-0005-0000-0000-000024450000}"/>
    <cellStyle name="Note 5 4 2 2 2 2 2" xfId="32002" xr:uid="{00000000-0005-0000-0000-000025450000}"/>
    <cellStyle name="Note 5 4 2 2 2 3" xfId="23459" xr:uid="{00000000-0005-0000-0000-000026450000}"/>
    <cellStyle name="Note 5 4 2 2 3" xfId="13745" xr:uid="{00000000-0005-0000-0000-000027450000}"/>
    <cellStyle name="Note 5 4 2 2 3 2" xfId="28577" xr:uid="{00000000-0005-0000-0000-000028450000}"/>
    <cellStyle name="Note 5 4 2 2 4" xfId="10789" xr:uid="{00000000-0005-0000-0000-000029450000}"/>
    <cellStyle name="Note 5 4 2 2 4 2" xfId="25621" xr:uid="{00000000-0005-0000-0000-00002A450000}"/>
    <cellStyle name="Note 5 4 2 2 5" xfId="21137" xr:uid="{00000000-0005-0000-0000-00002B450000}"/>
    <cellStyle name="Note 5 4 2 3" xfId="5035" xr:uid="{00000000-0005-0000-0000-00002C450000}"/>
    <cellStyle name="Note 5 4 2 3 2" xfId="9074" xr:uid="{00000000-0005-0000-0000-00002D450000}"/>
    <cellStyle name="Note 5 4 2 3 2 2" xfId="18007" xr:uid="{00000000-0005-0000-0000-00002E450000}"/>
    <cellStyle name="Note 5 4 2 3 2 2 2" xfId="32839" xr:uid="{00000000-0005-0000-0000-00002F450000}"/>
    <cellStyle name="Note 5 4 2 3 2 3" xfId="24508" xr:uid="{00000000-0005-0000-0000-000030450000}"/>
    <cellStyle name="Note 5 4 2 3 3" xfId="15356" xr:uid="{00000000-0005-0000-0000-000031450000}"/>
    <cellStyle name="Note 5 4 2 3 3 2" xfId="30188" xr:uid="{00000000-0005-0000-0000-000032450000}"/>
    <cellStyle name="Note 5 4 2 3 4" xfId="11607" xr:uid="{00000000-0005-0000-0000-000033450000}"/>
    <cellStyle name="Note 5 4 2 3 4 2" xfId="26439" xr:uid="{00000000-0005-0000-0000-000034450000}"/>
    <cellStyle name="Note 5 4 2 3 5" xfId="22028" xr:uid="{00000000-0005-0000-0000-000035450000}"/>
    <cellStyle name="Note 5 4 2 4" xfId="3025" xr:uid="{00000000-0005-0000-0000-000036450000}"/>
    <cellStyle name="Note 5 4 2 4 2" xfId="7100" xr:uid="{00000000-0005-0000-0000-000037450000}"/>
    <cellStyle name="Note 5 4 2 4 2 2" xfId="16898" xr:uid="{00000000-0005-0000-0000-000038450000}"/>
    <cellStyle name="Note 5 4 2 4 2 2 2" xfId="31730" xr:uid="{00000000-0005-0000-0000-000039450000}"/>
    <cellStyle name="Note 5 4 2 4 2 3" xfId="23241" xr:uid="{00000000-0005-0000-0000-00003A450000}"/>
    <cellStyle name="Note 5 4 2 4 3" xfId="13363" xr:uid="{00000000-0005-0000-0000-00003B450000}"/>
    <cellStyle name="Note 5 4 2 4 3 2" xfId="28195" xr:uid="{00000000-0005-0000-0000-00003C450000}"/>
    <cellStyle name="Note 5 4 2 4 4" xfId="10554" xr:uid="{00000000-0005-0000-0000-00003D450000}"/>
    <cellStyle name="Note 5 4 2 4 4 2" xfId="25386" xr:uid="{00000000-0005-0000-0000-00003E450000}"/>
    <cellStyle name="Note 5 4 2 4 5" xfId="20919" xr:uid="{00000000-0005-0000-0000-00003F450000}"/>
    <cellStyle name="Note 5 4 2 5" xfId="6192" xr:uid="{00000000-0005-0000-0000-000040450000}"/>
    <cellStyle name="Note 5 4 2 5 2" xfId="16378" xr:uid="{00000000-0005-0000-0000-000041450000}"/>
    <cellStyle name="Note 5 4 2 5 2 2" xfId="31210" xr:uid="{00000000-0005-0000-0000-000042450000}"/>
    <cellStyle name="Note 5 4 2 5 3" xfId="22692" xr:uid="{00000000-0005-0000-0000-000043450000}"/>
    <cellStyle name="Note 5 4 2 6" xfId="12448" xr:uid="{00000000-0005-0000-0000-000044450000}"/>
    <cellStyle name="Note 5 4 2 6 2" xfId="27280" xr:uid="{00000000-0005-0000-0000-000045450000}"/>
    <cellStyle name="Note 5 4 2 7" xfId="10030" xr:uid="{00000000-0005-0000-0000-000046450000}"/>
    <cellStyle name="Note 5 4 2 7 2" xfId="24862" xr:uid="{00000000-0005-0000-0000-000047450000}"/>
    <cellStyle name="Note 5 4 2 8" xfId="20371" xr:uid="{00000000-0005-0000-0000-000048450000}"/>
    <cellStyle name="Note 5 4 3" xfId="3274" xr:uid="{00000000-0005-0000-0000-000049450000}"/>
    <cellStyle name="Note 5 4 3 2" xfId="7338" xr:uid="{00000000-0005-0000-0000-00004A450000}"/>
    <cellStyle name="Note 5 4 3 2 2" xfId="17082" xr:uid="{00000000-0005-0000-0000-00004B450000}"/>
    <cellStyle name="Note 5 4 3 2 2 2" xfId="31914" xr:uid="{00000000-0005-0000-0000-00004C450000}"/>
    <cellStyle name="Note 5 4 3 2 3" xfId="23369" xr:uid="{00000000-0005-0000-0000-00004D450000}"/>
    <cellStyle name="Note 5 4 3 3" xfId="13611" xr:uid="{00000000-0005-0000-0000-00004E450000}"/>
    <cellStyle name="Note 5 4 3 3 2" xfId="28443" xr:uid="{00000000-0005-0000-0000-00004F450000}"/>
    <cellStyle name="Note 5 4 3 4" xfId="10710" xr:uid="{00000000-0005-0000-0000-000050450000}"/>
    <cellStyle name="Note 5 4 3 4 2" xfId="25542" xr:uid="{00000000-0005-0000-0000-000051450000}"/>
    <cellStyle name="Note 5 4 3 5" xfId="21056" xr:uid="{00000000-0005-0000-0000-000052450000}"/>
    <cellStyle name="Note 5 4 4" xfId="4615" xr:uid="{00000000-0005-0000-0000-000053450000}"/>
    <cellStyle name="Note 5 4 4 2" xfId="8654" xr:uid="{00000000-0005-0000-0000-000054450000}"/>
    <cellStyle name="Note 5 4 4 2 2" xfId="17767" xr:uid="{00000000-0005-0000-0000-000055450000}"/>
    <cellStyle name="Note 5 4 4 2 2 2" xfId="32599" xr:uid="{00000000-0005-0000-0000-000056450000}"/>
    <cellStyle name="Note 5 4 4 2 3" xfId="24248" xr:uid="{00000000-0005-0000-0000-000057450000}"/>
    <cellStyle name="Note 5 4 4 3" xfId="14941" xr:uid="{00000000-0005-0000-0000-000058450000}"/>
    <cellStyle name="Note 5 4 4 3 2" xfId="29773" xr:uid="{00000000-0005-0000-0000-000059450000}"/>
    <cellStyle name="Note 5 4 4 4" xfId="11372" xr:uid="{00000000-0005-0000-0000-00005A450000}"/>
    <cellStyle name="Note 5 4 4 4 2" xfId="26204" xr:uid="{00000000-0005-0000-0000-00005B450000}"/>
    <cellStyle name="Note 5 4 4 5" xfId="21798" xr:uid="{00000000-0005-0000-0000-00005C450000}"/>
    <cellStyle name="Note 5 4 5" xfId="2605" xr:uid="{00000000-0005-0000-0000-00005D450000}"/>
    <cellStyle name="Note 5 4 5 2" xfId="6706" xr:uid="{00000000-0005-0000-0000-00005E450000}"/>
    <cellStyle name="Note 5 4 5 2 2" xfId="16663" xr:uid="{00000000-0005-0000-0000-00005F450000}"/>
    <cellStyle name="Note 5 4 5 2 2 2" xfId="31495" xr:uid="{00000000-0005-0000-0000-000060450000}"/>
    <cellStyle name="Note 5 4 5 2 3" xfId="23011" xr:uid="{00000000-0005-0000-0000-000061450000}"/>
    <cellStyle name="Note 5 4 5 3" xfId="12943" xr:uid="{00000000-0005-0000-0000-000062450000}"/>
    <cellStyle name="Note 5 4 5 3 2" xfId="27775" xr:uid="{00000000-0005-0000-0000-000063450000}"/>
    <cellStyle name="Note 5 4 5 4" xfId="10314" xr:uid="{00000000-0005-0000-0000-000064450000}"/>
    <cellStyle name="Note 5 4 5 4 2" xfId="25146" xr:uid="{00000000-0005-0000-0000-000065450000}"/>
    <cellStyle name="Note 5 4 5 5" xfId="20659" xr:uid="{00000000-0005-0000-0000-000066450000}"/>
    <cellStyle name="Note 5 4 6" xfId="5722" xr:uid="{00000000-0005-0000-0000-000067450000}"/>
    <cellStyle name="Note 5 4 6 2" xfId="15957" xr:uid="{00000000-0005-0000-0000-000068450000}"/>
    <cellStyle name="Note 5 4 6 2 2" xfId="30789" xr:uid="{00000000-0005-0000-0000-000069450000}"/>
    <cellStyle name="Note 5 4 6 3" xfId="22386" xr:uid="{00000000-0005-0000-0000-00006A450000}"/>
    <cellStyle name="Note 5 4 7" xfId="11977" xr:uid="{00000000-0005-0000-0000-00006B450000}"/>
    <cellStyle name="Note 5 4 7 2" xfId="26809" xr:uid="{00000000-0005-0000-0000-00006C450000}"/>
    <cellStyle name="Note 5 4 8" xfId="9636" xr:uid="{00000000-0005-0000-0000-00006D450000}"/>
    <cellStyle name="Note 5 4 8 2" xfId="19937" xr:uid="{00000000-0005-0000-0000-00006E450000}"/>
    <cellStyle name="Note 5 5" xfId="1620" xr:uid="{00000000-0005-0000-0000-00006F450000}"/>
    <cellStyle name="Note 5 5 2" xfId="2117" xr:uid="{00000000-0005-0000-0000-000070450000}"/>
    <cellStyle name="Note 5 5 2 2" xfId="3491" xr:uid="{00000000-0005-0000-0000-000071450000}"/>
    <cellStyle name="Note 5 5 2 2 2" xfId="7553" xr:uid="{00000000-0005-0000-0000-000072450000}"/>
    <cellStyle name="Note 5 5 2 2 2 2" xfId="17214" xr:uid="{00000000-0005-0000-0000-000073450000}"/>
    <cellStyle name="Note 5 5 2 2 2 2 2" xfId="32046" xr:uid="{00000000-0005-0000-0000-000074450000}"/>
    <cellStyle name="Note 5 5 2 2 2 3" xfId="23513" xr:uid="{00000000-0005-0000-0000-000075450000}"/>
    <cellStyle name="Note 5 5 2 2 3" xfId="13828" xr:uid="{00000000-0005-0000-0000-000076450000}"/>
    <cellStyle name="Note 5 5 2 2 3 2" xfId="28660" xr:uid="{00000000-0005-0000-0000-000077450000}"/>
    <cellStyle name="Note 5 5 2 2 4" xfId="10832" xr:uid="{00000000-0005-0000-0000-000078450000}"/>
    <cellStyle name="Note 5 5 2 2 4 2" xfId="25664" xr:uid="{00000000-0005-0000-0000-000079450000}"/>
    <cellStyle name="Note 5 5 2 2 5" xfId="21188" xr:uid="{00000000-0005-0000-0000-00007A450000}"/>
    <cellStyle name="Note 5 5 2 3" xfId="5085" xr:uid="{00000000-0005-0000-0000-00007B450000}"/>
    <cellStyle name="Note 5 5 2 3 2" xfId="9124" xr:uid="{00000000-0005-0000-0000-00007C450000}"/>
    <cellStyle name="Note 5 5 2 3 2 2" xfId="18052" xr:uid="{00000000-0005-0000-0000-00007D450000}"/>
    <cellStyle name="Note 5 5 2 3 2 2 2" xfId="32884" xr:uid="{00000000-0005-0000-0000-00007E450000}"/>
    <cellStyle name="Note 5 5 2 3 2 3" xfId="24526" xr:uid="{00000000-0005-0000-0000-00007F450000}"/>
    <cellStyle name="Note 5 5 2 3 3" xfId="15405" xr:uid="{00000000-0005-0000-0000-000080450000}"/>
    <cellStyle name="Note 5 5 2 3 3 2" xfId="30237" xr:uid="{00000000-0005-0000-0000-000081450000}"/>
    <cellStyle name="Note 5 5 2 3 4" xfId="11651" xr:uid="{00000000-0005-0000-0000-000082450000}"/>
    <cellStyle name="Note 5 5 2 3 4 2" xfId="26483" xr:uid="{00000000-0005-0000-0000-000083450000}"/>
    <cellStyle name="Note 5 5 2 3 5" xfId="22040" xr:uid="{00000000-0005-0000-0000-000084450000}"/>
    <cellStyle name="Note 5 5 2 4" xfId="3075" xr:uid="{00000000-0005-0000-0000-000085450000}"/>
    <cellStyle name="Note 5 5 2 4 2" xfId="7145" xr:uid="{00000000-0005-0000-0000-000086450000}"/>
    <cellStyle name="Note 5 5 2 4 2 2" xfId="16942" xr:uid="{00000000-0005-0000-0000-000087450000}"/>
    <cellStyle name="Note 5 5 2 4 2 2 2" xfId="31774" xr:uid="{00000000-0005-0000-0000-000088450000}"/>
    <cellStyle name="Note 5 5 2 4 2 3" xfId="23253" xr:uid="{00000000-0005-0000-0000-000089450000}"/>
    <cellStyle name="Note 5 5 2 4 3" xfId="13413" xr:uid="{00000000-0005-0000-0000-00008A450000}"/>
    <cellStyle name="Note 5 5 2 4 3 2" xfId="28245" xr:uid="{00000000-0005-0000-0000-00008B450000}"/>
    <cellStyle name="Note 5 5 2 4 4" xfId="10599" xr:uid="{00000000-0005-0000-0000-00008C450000}"/>
    <cellStyle name="Note 5 5 2 4 4 2" xfId="25431" xr:uid="{00000000-0005-0000-0000-00008D450000}"/>
    <cellStyle name="Note 5 5 2 4 5" xfId="20937" xr:uid="{00000000-0005-0000-0000-00008E450000}"/>
    <cellStyle name="Note 5 5 2 5" xfId="6237" xr:uid="{00000000-0005-0000-0000-00008F450000}"/>
    <cellStyle name="Note 5 5 2 5 2" xfId="16422" xr:uid="{00000000-0005-0000-0000-000090450000}"/>
    <cellStyle name="Note 5 5 2 5 2 2" xfId="31254" xr:uid="{00000000-0005-0000-0000-000091450000}"/>
    <cellStyle name="Note 5 5 2 5 3" xfId="22704" xr:uid="{00000000-0005-0000-0000-000092450000}"/>
    <cellStyle name="Note 5 5 2 6" xfId="12492" xr:uid="{00000000-0005-0000-0000-000093450000}"/>
    <cellStyle name="Note 5 5 2 6 2" xfId="27324" xr:uid="{00000000-0005-0000-0000-000094450000}"/>
    <cellStyle name="Note 5 5 2 7" xfId="10074" xr:uid="{00000000-0005-0000-0000-000095450000}"/>
    <cellStyle name="Note 5 5 2 7 2" xfId="24906" xr:uid="{00000000-0005-0000-0000-000096450000}"/>
    <cellStyle name="Note 5 5 2 8" xfId="20383" xr:uid="{00000000-0005-0000-0000-000097450000}"/>
    <cellStyle name="Note 5 5 3" xfId="3960" xr:uid="{00000000-0005-0000-0000-000098450000}"/>
    <cellStyle name="Note 5 5 3 2" xfId="8010" xr:uid="{00000000-0005-0000-0000-000099450000}"/>
    <cellStyle name="Note 5 5 3 2 2" xfId="17451" xr:uid="{00000000-0005-0000-0000-00009A450000}"/>
    <cellStyle name="Note 5 5 3 2 2 2" xfId="32283" xr:uid="{00000000-0005-0000-0000-00009B450000}"/>
    <cellStyle name="Note 5 5 3 2 3" xfId="23804" xr:uid="{00000000-0005-0000-0000-00009C450000}"/>
    <cellStyle name="Note 5 5 3 3" xfId="14293" xr:uid="{00000000-0005-0000-0000-00009D450000}"/>
    <cellStyle name="Note 5 5 3 3 2" xfId="29125" xr:uid="{00000000-0005-0000-0000-00009E450000}"/>
    <cellStyle name="Note 5 5 3 4" xfId="11066" xr:uid="{00000000-0005-0000-0000-00009F450000}"/>
    <cellStyle name="Note 5 5 3 4 2" xfId="25898" xr:uid="{00000000-0005-0000-0000-0000A0450000}"/>
    <cellStyle name="Note 5 5 3 5" xfId="21446" xr:uid="{00000000-0005-0000-0000-0000A1450000}"/>
    <cellStyle name="Note 5 5 4" xfId="4665" xr:uid="{00000000-0005-0000-0000-0000A2450000}"/>
    <cellStyle name="Note 5 5 4 2" xfId="8704" xr:uid="{00000000-0005-0000-0000-0000A3450000}"/>
    <cellStyle name="Note 5 5 4 2 2" xfId="17812" xr:uid="{00000000-0005-0000-0000-0000A4450000}"/>
    <cellStyle name="Note 5 5 4 2 2 2" xfId="32644" xr:uid="{00000000-0005-0000-0000-0000A5450000}"/>
    <cellStyle name="Note 5 5 4 2 3" xfId="24266" xr:uid="{00000000-0005-0000-0000-0000A6450000}"/>
    <cellStyle name="Note 5 5 4 3" xfId="14990" xr:uid="{00000000-0005-0000-0000-0000A7450000}"/>
    <cellStyle name="Note 5 5 4 3 2" xfId="29822" xr:uid="{00000000-0005-0000-0000-0000A8450000}"/>
    <cellStyle name="Note 5 5 4 4" xfId="11416" xr:uid="{00000000-0005-0000-0000-0000A9450000}"/>
    <cellStyle name="Note 5 5 4 4 2" xfId="26248" xr:uid="{00000000-0005-0000-0000-0000AA450000}"/>
    <cellStyle name="Note 5 5 4 5" xfId="21810" xr:uid="{00000000-0005-0000-0000-0000AB450000}"/>
    <cellStyle name="Note 5 5 5" xfId="2655" xr:uid="{00000000-0005-0000-0000-0000AC450000}"/>
    <cellStyle name="Note 5 5 5 2" xfId="6751" xr:uid="{00000000-0005-0000-0000-0000AD450000}"/>
    <cellStyle name="Note 5 5 5 2 2" xfId="16707" xr:uid="{00000000-0005-0000-0000-0000AE450000}"/>
    <cellStyle name="Note 5 5 5 2 2 2" xfId="31539" xr:uid="{00000000-0005-0000-0000-0000AF450000}"/>
    <cellStyle name="Note 5 5 5 2 3" xfId="23023" xr:uid="{00000000-0005-0000-0000-0000B0450000}"/>
    <cellStyle name="Note 5 5 5 3" xfId="12993" xr:uid="{00000000-0005-0000-0000-0000B1450000}"/>
    <cellStyle name="Note 5 5 5 3 2" xfId="27825" xr:uid="{00000000-0005-0000-0000-0000B2450000}"/>
    <cellStyle name="Note 5 5 5 4" xfId="10359" xr:uid="{00000000-0005-0000-0000-0000B3450000}"/>
    <cellStyle name="Note 5 5 5 4 2" xfId="25191" xr:uid="{00000000-0005-0000-0000-0000B4450000}"/>
    <cellStyle name="Note 5 5 5 5" xfId="20677" xr:uid="{00000000-0005-0000-0000-0000B5450000}"/>
    <cellStyle name="Note 5 5 6" xfId="5767" xr:uid="{00000000-0005-0000-0000-0000B6450000}"/>
    <cellStyle name="Note 5 5 6 2" xfId="16001" xr:uid="{00000000-0005-0000-0000-0000B7450000}"/>
    <cellStyle name="Note 5 5 6 2 2" xfId="30833" xr:uid="{00000000-0005-0000-0000-0000B8450000}"/>
    <cellStyle name="Note 5 5 6 3" xfId="22398" xr:uid="{00000000-0005-0000-0000-0000B9450000}"/>
    <cellStyle name="Note 5 5 7" xfId="12021" xr:uid="{00000000-0005-0000-0000-0000BA450000}"/>
    <cellStyle name="Note 5 5 7 2" xfId="26853" xr:uid="{00000000-0005-0000-0000-0000BB450000}"/>
    <cellStyle name="Note 5 5 8" xfId="9681" xr:uid="{00000000-0005-0000-0000-0000BC450000}"/>
    <cellStyle name="Note 5 5 8 2" xfId="19981" xr:uid="{00000000-0005-0000-0000-0000BD450000}"/>
    <cellStyle name="Note 5 6" xfId="1771" xr:uid="{00000000-0005-0000-0000-0000BE450000}"/>
    <cellStyle name="Note 5 6 2" xfId="4134" xr:uid="{00000000-0005-0000-0000-0000BF450000}"/>
    <cellStyle name="Note 5 6 2 2" xfId="8178" xr:uid="{00000000-0005-0000-0000-0000C0450000}"/>
    <cellStyle name="Note 5 6 2 2 2" xfId="17536" xr:uid="{00000000-0005-0000-0000-0000C1450000}"/>
    <cellStyle name="Note 5 6 2 2 2 2" xfId="32368" xr:uid="{00000000-0005-0000-0000-0000C2450000}"/>
    <cellStyle name="Note 5 6 2 2 3" xfId="23909" xr:uid="{00000000-0005-0000-0000-0000C3450000}"/>
    <cellStyle name="Note 5 6 2 3" xfId="14466" xr:uid="{00000000-0005-0000-0000-0000C4450000}"/>
    <cellStyle name="Note 5 6 2 3 2" xfId="29298" xr:uid="{00000000-0005-0000-0000-0000C5450000}"/>
    <cellStyle name="Note 5 6 2 4" xfId="11154" xr:uid="{00000000-0005-0000-0000-0000C6450000}"/>
    <cellStyle name="Note 5 6 2 4 2" xfId="25986" xr:uid="{00000000-0005-0000-0000-0000C7450000}"/>
    <cellStyle name="Note 5 6 2 5" xfId="21536" xr:uid="{00000000-0005-0000-0000-0000C8450000}"/>
    <cellStyle name="Note 5 6 3" xfId="4749" xr:uid="{00000000-0005-0000-0000-0000C9450000}"/>
    <cellStyle name="Note 5 6 3 2" xfId="8788" xr:uid="{00000000-0005-0000-0000-0000CA450000}"/>
    <cellStyle name="Note 5 6 3 2 2" xfId="17860" xr:uid="{00000000-0005-0000-0000-0000CB450000}"/>
    <cellStyle name="Note 5 6 3 2 2 2" xfId="32692" xr:uid="{00000000-0005-0000-0000-0000CC450000}"/>
    <cellStyle name="Note 5 6 3 2 3" xfId="24318" xr:uid="{00000000-0005-0000-0000-0000CD450000}"/>
    <cellStyle name="Note 5 6 3 3" xfId="15073" xr:uid="{00000000-0005-0000-0000-0000CE450000}"/>
    <cellStyle name="Note 5 6 3 3 2" xfId="29905" xr:uid="{00000000-0005-0000-0000-0000CF450000}"/>
    <cellStyle name="Note 5 6 3 4" xfId="11463" xr:uid="{00000000-0005-0000-0000-0000D0450000}"/>
    <cellStyle name="Note 5 6 3 4 2" xfId="26295" xr:uid="{00000000-0005-0000-0000-0000D1450000}"/>
    <cellStyle name="Note 5 6 3 5" xfId="21856" xr:uid="{00000000-0005-0000-0000-0000D2450000}"/>
    <cellStyle name="Note 5 6 4" xfId="2739" xr:uid="{00000000-0005-0000-0000-0000D3450000}"/>
    <cellStyle name="Note 5 6 4 2" xfId="6830" xr:uid="{00000000-0005-0000-0000-0000D4450000}"/>
    <cellStyle name="Note 5 6 4 2 2" xfId="16754" xr:uid="{00000000-0005-0000-0000-0000D5450000}"/>
    <cellStyle name="Note 5 6 4 2 2 2" xfId="31586" xr:uid="{00000000-0005-0000-0000-0000D6450000}"/>
    <cellStyle name="Note 5 6 4 2 3" xfId="23069" xr:uid="{00000000-0005-0000-0000-0000D7450000}"/>
    <cellStyle name="Note 5 6 4 3" xfId="13077" xr:uid="{00000000-0005-0000-0000-0000D8450000}"/>
    <cellStyle name="Note 5 6 4 3 2" xfId="27909" xr:uid="{00000000-0005-0000-0000-0000D9450000}"/>
    <cellStyle name="Note 5 6 4 4" xfId="10407" xr:uid="{00000000-0005-0000-0000-0000DA450000}"/>
    <cellStyle name="Note 5 6 4 4 2" xfId="25239" xr:uid="{00000000-0005-0000-0000-0000DB450000}"/>
    <cellStyle name="Note 5 6 4 5" xfId="20729" xr:uid="{00000000-0005-0000-0000-0000DC450000}"/>
    <cellStyle name="Note 5 6 5" xfId="5903" xr:uid="{00000000-0005-0000-0000-0000DD450000}"/>
    <cellStyle name="Note 5 6 5 2" xfId="16095" xr:uid="{00000000-0005-0000-0000-0000DE450000}"/>
    <cellStyle name="Note 5 6 5 2 2" xfId="30927" xr:uid="{00000000-0005-0000-0000-0000DF450000}"/>
    <cellStyle name="Note 5 6 5 3" xfId="22500" xr:uid="{00000000-0005-0000-0000-0000E0450000}"/>
    <cellStyle name="Note 5 6 6" xfId="12165" xr:uid="{00000000-0005-0000-0000-0000E1450000}"/>
    <cellStyle name="Note 5 6 6 2" xfId="26997" xr:uid="{00000000-0005-0000-0000-0000E2450000}"/>
    <cellStyle name="Note 5 6 7" xfId="9761" xr:uid="{00000000-0005-0000-0000-0000E3450000}"/>
    <cellStyle name="Note 5 6 7 2" xfId="24718" xr:uid="{00000000-0005-0000-0000-0000E4450000}"/>
    <cellStyle name="Note 5 6 8" xfId="20308" xr:uid="{00000000-0005-0000-0000-0000E5450000}"/>
    <cellStyle name="Note 5 7" xfId="2195" xr:uid="{00000000-0005-0000-0000-0000E6450000}"/>
    <cellStyle name="Note 5 7 2" xfId="3806" xr:uid="{00000000-0005-0000-0000-0000E7450000}"/>
    <cellStyle name="Note 5 7 2 2" xfId="7861" xr:uid="{00000000-0005-0000-0000-0000E8450000}"/>
    <cellStyle name="Note 5 7 2 2 2" xfId="17374" xr:uid="{00000000-0005-0000-0000-0000E9450000}"/>
    <cellStyle name="Note 5 7 2 2 2 2" xfId="32206" xr:uid="{00000000-0005-0000-0000-0000EA450000}"/>
    <cellStyle name="Note 5 7 2 2 3" xfId="23712" xr:uid="{00000000-0005-0000-0000-0000EB450000}"/>
    <cellStyle name="Note 5 7 2 3" xfId="14141" xr:uid="{00000000-0005-0000-0000-0000EC450000}"/>
    <cellStyle name="Note 5 7 2 3 2" xfId="28973" xr:uid="{00000000-0005-0000-0000-0000ED450000}"/>
    <cellStyle name="Note 5 7 2 4" xfId="10991" xr:uid="{00000000-0005-0000-0000-0000EE450000}"/>
    <cellStyle name="Note 5 7 2 4 2" xfId="25823" xr:uid="{00000000-0005-0000-0000-0000EF450000}"/>
    <cellStyle name="Note 5 7 2 5" xfId="21363" xr:uid="{00000000-0005-0000-0000-0000F0450000}"/>
    <cellStyle name="Note 5 7 3" xfId="5163" xr:uid="{00000000-0005-0000-0000-0000F1450000}"/>
    <cellStyle name="Note 5 7 3 2" xfId="9202" xr:uid="{00000000-0005-0000-0000-0000F2450000}"/>
    <cellStyle name="Note 5 7 3 2 2" xfId="18125" xr:uid="{00000000-0005-0000-0000-0000F3450000}"/>
    <cellStyle name="Note 5 7 3 2 2 2" xfId="32957" xr:uid="{00000000-0005-0000-0000-0000F4450000}"/>
    <cellStyle name="Note 5 7 3 2 3" xfId="24540" xr:uid="{00000000-0005-0000-0000-0000F5450000}"/>
    <cellStyle name="Note 5 7 3 3" xfId="15481" xr:uid="{00000000-0005-0000-0000-0000F6450000}"/>
    <cellStyle name="Note 5 7 3 3 2" xfId="30313" xr:uid="{00000000-0005-0000-0000-0000F7450000}"/>
    <cellStyle name="Note 5 7 3 4" xfId="11722" xr:uid="{00000000-0005-0000-0000-0000F8450000}"/>
    <cellStyle name="Note 5 7 3 4 2" xfId="26554" xr:uid="{00000000-0005-0000-0000-0000F9450000}"/>
    <cellStyle name="Note 5 7 3 5" xfId="22047" xr:uid="{00000000-0005-0000-0000-0000FA450000}"/>
    <cellStyle name="Note 5 7 4" xfId="4193" xr:uid="{00000000-0005-0000-0000-0000FB450000}"/>
    <cellStyle name="Note 5 7 4 2" xfId="8234" xr:uid="{00000000-0005-0000-0000-0000FC450000}"/>
    <cellStyle name="Note 5 7 4 2 2" xfId="17581" xr:uid="{00000000-0005-0000-0000-0000FD450000}"/>
    <cellStyle name="Note 5 7 4 2 2 2" xfId="32413" xr:uid="{00000000-0005-0000-0000-0000FE450000}"/>
    <cellStyle name="Note 5 7 4 2 3" xfId="23929" xr:uid="{00000000-0005-0000-0000-0000FF450000}"/>
    <cellStyle name="Note 5 7 4 3" xfId="14525" xr:uid="{00000000-0005-0000-0000-000000460000}"/>
    <cellStyle name="Note 5 7 4 3 2" xfId="29357" xr:uid="{00000000-0005-0000-0000-000001460000}"/>
    <cellStyle name="Note 5 7 4 4" xfId="11201" xr:uid="{00000000-0005-0000-0000-000002460000}"/>
    <cellStyle name="Note 5 7 4 4 2" xfId="26033" xr:uid="{00000000-0005-0000-0000-000003460000}"/>
    <cellStyle name="Note 5 7 4 5" xfId="21554" xr:uid="{00000000-0005-0000-0000-000004460000}"/>
    <cellStyle name="Note 5 7 5" xfId="6309" xr:uid="{00000000-0005-0000-0000-000005460000}"/>
    <cellStyle name="Note 5 7 5 2" xfId="16493" xr:uid="{00000000-0005-0000-0000-000006460000}"/>
    <cellStyle name="Note 5 7 5 2 2" xfId="31325" xr:uid="{00000000-0005-0000-0000-000007460000}"/>
    <cellStyle name="Note 5 7 5 3" xfId="22711" xr:uid="{00000000-0005-0000-0000-000008460000}"/>
    <cellStyle name="Note 5 7 6" xfId="12563" xr:uid="{00000000-0005-0000-0000-000009460000}"/>
    <cellStyle name="Note 5 7 6 2" xfId="27395" xr:uid="{00000000-0005-0000-0000-00000A460000}"/>
    <cellStyle name="Note 5 7 7" xfId="10145" xr:uid="{00000000-0005-0000-0000-00000B460000}"/>
    <cellStyle name="Note 5 7 7 2" xfId="24977" xr:uid="{00000000-0005-0000-0000-00000C460000}"/>
    <cellStyle name="Note 5 7 8" xfId="20390" xr:uid="{00000000-0005-0000-0000-00000D460000}"/>
    <cellStyle name="Note 5 8" xfId="3276" xr:uid="{00000000-0005-0000-0000-00000E460000}"/>
    <cellStyle name="Note 5 8 2" xfId="7340" xr:uid="{00000000-0005-0000-0000-00000F460000}"/>
    <cellStyle name="Note 5 8 2 2" xfId="17084" xr:uid="{00000000-0005-0000-0000-000010460000}"/>
    <cellStyle name="Note 5 8 2 2 2" xfId="31916" xr:uid="{00000000-0005-0000-0000-000011460000}"/>
    <cellStyle name="Note 5 8 2 3" xfId="23371" xr:uid="{00000000-0005-0000-0000-000012460000}"/>
    <cellStyle name="Note 5 8 3" xfId="13613" xr:uid="{00000000-0005-0000-0000-000013460000}"/>
    <cellStyle name="Note 5 8 3 2" xfId="28445" xr:uid="{00000000-0005-0000-0000-000014460000}"/>
    <cellStyle name="Note 5 8 4" xfId="10712" xr:uid="{00000000-0005-0000-0000-000015460000}"/>
    <cellStyle name="Note 5 8 4 2" xfId="25544" xr:uid="{00000000-0005-0000-0000-000016460000}"/>
    <cellStyle name="Note 5 8 5" xfId="21058" xr:uid="{00000000-0005-0000-0000-000017460000}"/>
    <cellStyle name="Note 5 9" xfId="3247" xr:uid="{00000000-0005-0000-0000-000018460000}"/>
    <cellStyle name="Note 5 9 2" xfId="7311" xr:uid="{00000000-0005-0000-0000-000019460000}"/>
    <cellStyle name="Note 5 9 2 2" xfId="17066" xr:uid="{00000000-0005-0000-0000-00001A460000}"/>
    <cellStyle name="Note 5 9 2 2 2" xfId="31898" xr:uid="{00000000-0005-0000-0000-00001B460000}"/>
    <cellStyle name="Note 5 9 2 3" xfId="23350" xr:uid="{00000000-0005-0000-0000-00001C460000}"/>
    <cellStyle name="Note 5 9 3" xfId="13584" xr:uid="{00000000-0005-0000-0000-00001D460000}"/>
    <cellStyle name="Note 5 9 3 2" xfId="28416" xr:uid="{00000000-0005-0000-0000-00001E460000}"/>
    <cellStyle name="Note 5 9 4" xfId="10698" xr:uid="{00000000-0005-0000-0000-00001F460000}"/>
    <cellStyle name="Note 5 9 4 2" xfId="25530" xr:uid="{00000000-0005-0000-0000-000020460000}"/>
    <cellStyle name="Note 5 9 5" xfId="21037" xr:uid="{00000000-0005-0000-0000-000021460000}"/>
    <cellStyle name="Note 6" xfId="1227" xr:uid="{00000000-0005-0000-0000-000022460000}"/>
    <cellStyle name="Note 6 10" xfId="2313" xr:uid="{00000000-0005-0000-0000-000023460000}"/>
    <cellStyle name="Note 6 10 2" xfId="6425" xr:uid="{00000000-0005-0000-0000-000024460000}"/>
    <cellStyle name="Note 6 10 2 2" xfId="16518" xr:uid="{00000000-0005-0000-0000-000025460000}"/>
    <cellStyle name="Note 6 10 2 2 2" xfId="31350" xr:uid="{00000000-0005-0000-0000-000026460000}"/>
    <cellStyle name="Note 6 10 2 3" xfId="22827" xr:uid="{00000000-0005-0000-0000-000027460000}"/>
    <cellStyle name="Note 6 10 3" xfId="12653" xr:uid="{00000000-0005-0000-0000-000028460000}"/>
    <cellStyle name="Note 6 10 3 2" xfId="27485" xr:uid="{00000000-0005-0000-0000-000029460000}"/>
    <cellStyle name="Note 6 10 4" xfId="10169" xr:uid="{00000000-0005-0000-0000-00002A460000}"/>
    <cellStyle name="Note 6 10 4 2" xfId="25001" xr:uid="{00000000-0005-0000-0000-00002B460000}"/>
    <cellStyle name="Note 6 10 5" xfId="20476" xr:uid="{00000000-0005-0000-0000-00002C460000}"/>
    <cellStyle name="Note 6 11" xfId="5276" xr:uid="{00000000-0005-0000-0000-00002D460000}"/>
    <cellStyle name="Note 6 11 2" xfId="9284" xr:uid="{00000000-0005-0000-0000-00002E460000}"/>
    <cellStyle name="Note 6 11 2 2" xfId="18151" xr:uid="{00000000-0005-0000-0000-00002F460000}"/>
    <cellStyle name="Note 6 11 2 2 2" xfId="32983" xr:uid="{00000000-0005-0000-0000-000030460000}"/>
    <cellStyle name="Note 6 11 2 3" xfId="24622" xr:uid="{00000000-0005-0000-0000-000031460000}"/>
    <cellStyle name="Note 6 11 3" xfId="15592" xr:uid="{00000000-0005-0000-0000-000032460000}"/>
    <cellStyle name="Note 6 11 3 2" xfId="30424" xr:uid="{00000000-0005-0000-0000-000033460000}"/>
    <cellStyle name="Note 6 11 4" xfId="22133" xr:uid="{00000000-0005-0000-0000-000034460000}"/>
    <cellStyle name="Note 6 12" xfId="5434" xr:uid="{00000000-0005-0000-0000-000035460000}"/>
    <cellStyle name="Note 6 12 2" xfId="15670" xr:uid="{00000000-0005-0000-0000-000036460000}"/>
    <cellStyle name="Note 6 12 2 2" xfId="30502" xr:uid="{00000000-0005-0000-0000-000037460000}"/>
    <cellStyle name="Note 6 12 3" xfId="22195" xr:uid="{00000000-0005-0000-0000-000038460000}"/>
    <cellStyle name="Note 6 13" xfId="9357" xr:uid="{00000000-0005-0000-0000-000039460000}"/>
    <cellStyle name="Note 6 13 2" xfId="24663" xr:uid="{00000000-0005-0000-0000-00003A460000}"/>
    <cellStyle name="Note 6 14" xfId="5346" xr:uid="{00000000-0005-0000-0000-00003B460000}"/>
    <cellStyle name="Note 6 14 2" xfId="18220" xr:uid="{00000000-0005-0000-0000-00003C460000}"/>
    <cellStyle name="Note 6 2" xfId="1346" xr:uid="{00000000-0005-0000-0000-00003D460000}"/>
    <cellStyle name="Note 6 2 2" xfId="1850" xr:uid="{00000000-0005-0000-0000-00003E460000}"/>
    <cellStyle name="Note 6 2 2 2" xfId="4099" xr:uid="{00000000-0005-0000-0000-00003F460000}"/>
    <cellStyle name="Note 6 2 2 2 2" xfId="8145" xr:uid="{00000000-0005-0000-0000-000040460000}"/>
    <cellStyle name="Note 6 2 2 2 2 2" xfId="17517" xr:uid="{00000000-0005-0000-0000-000041460000}"/>
    <cellStyle name="Note 6 2 2 2 2 2 2" xfId="32349" xr:uid="{00000000-0005-0000-0000-000042460000}"/>
    <cellStyle name="Note 6 2 2 2 2 3" xfId="23890" xr:uid="{00000000-0005-0000-0000-000043460000}"/>
    <cellStyle name="Note 6 2 2 2 3" xfId="14431" xr:uid="{00000000-0005-0000-0000-000044460000}"/>
    <cellStyle name="Note 6 2 2 2 3 2" xfId="29263" xr:uid="{00000000-0005-0000-0000-000045460000}"/>
    <cellStyle name="Note 6 2 2 2 4" xfId="11134" xr:uid="{00000000-0005-0000-0000-000046460000}"/>
    <cellStyle name="Note 6 2 2 2 4 2" xfId="25966" xr:uid="{00000000-0005-0000-0000-000047460000}"/>
    <cellStyle name="Note 6 2 2 2 5" xfId="21520" xr:uid="{00000000-0005-0000-0000-000048460000}"/>
    <cellStyle name="Note 6 2 2 3" xfId="4828" xr:uid="{00000000-0005-0000-0000-000049460000}"/>
    <cellStyle name="Note 6 2 2 3 2" xfId="8867" xr:uid="{00000000-0005-0000-0000-00004A460000}"/>
    <cellStyle name="Note 6 2 2 3 2 2" xfId="17908" xr:uid="{00000000-0005-0000-0000-00004B460000}"/>
    <cellStyle name="Note 6 2 2 3 2 2 2" xfId="32740" xr:uid="{00000000-0005-0000-0000-00004C460000}"/>
    <cellStyle name="Note 6 2 2 3 2 3" xfId="24365" xr:uid="{00000000-0005-0000-0000-00004D460000}"/>
    <cellStyle name="Note 6 2 2 3 3" xfId="15152" xr:uid="{00000000-0005-0000-0000-00004E460000}"/>
    <cellStyle name="Note 6 2 2 3 3 2" xfId="29984" xr:uid="{00000000-0005-0000-0000-00004F460000}"/>
    <cellStyle name="Note 6 2 2 3 4" xfId="11511" xr:uid="{00000000-0005-0000-0000-000050460000}"/>
    <cellStyle name="Note 6 2 2 3 4 2" xfId="26343" xr:uid="{00000000-0005-0000-0000-000051460000}"/>
    <cellStyle name="Note 6 2 2 3 5" xfId="21903" xr:uid="{00000000-0005-0000-0000-000052460000}"/>
    <cellStyle name="Note 6 2 2 4" xfId="2818" xr:uid="{00000000-0005-0000-0000-000053460000}"/>
    <cellStyle name="Note 6 2 2 4 2" xfId="6909" xr:uid="{00000000-0005-0000-0000-000054460000}"/>
    <cellStyle name="Note 6 2 2 4 2 2" xfId="16802" xr:uid="{00000000-0005-0000-0000-000055460000}"/>
    <cellStyle name="Note 6 2 2 4 2 2 2" xfId="31634" xr:uid="{00000000-0005-0000-0000-000056460000}"/>
    <cellStyle name="Note 6 2 2 4 2 3" xfId="23116" xr:uid="{00000000-0005-0000-0000-000057460000}"/>
    <cellStyle name="Note 6 2 2 4 3" xfId="13156" xr:uid="{00000000-0005-0000-0000-000058460000}"/>
    <cellStyle name="Note 6 2 2 4 3 2" xfId="27988" xr:uid="{00000000-0005-0000-0000-000059460000}"/>
    <cellStyle name="Note 6 2 2 4 4" xfId="10455" xr:uid="{00000000-0005-0000-0000-00005A460000}"/>
    <cellStyle name="Note 6 2 2 4 4 2" xfId="25287" xr:uid="{00000000-0005-0000-0000-00005B460000}"/>
    <cellStyle name="Note 6 2 2 4 5" xfId="20776" xr:uid="{00000000-0005-0000-0000-00005C460000}"/>
    <cellStyle name="Note 6 2 2 5" xfId="5982" xr:uid="{00000000-0005-0000-0000-00005D460000}"/>
    <cellStyle name="Note 6 2 2 5 2" xfId="16174" xr:uid="{00000000-0005-0000-0000-00005E460000}"/>
    <cellStyle name="Note 6 2 2 5 2 2" xfId="31006" xr:uid="{00000000-0005-0000-0000-00005F460000}"/>
    <cellStyle name="Note 6 2 2 5 3" xfId="22547" xr:uid="{00000000-0005-0000-0000-000060460000}"/>
    <cellStyle name="Note 6 2 2 6" xfId="12244" xr:uid="{00000000-0005-0000-0000-000061460000}"/>
    <cellStyle name="Note 6 2 2 6 2" xfId="27076" xr:uid="{00000000-0005-0000-0000-000062460000}"/>
    <cellStyle name="Note 6 2 2 7" xfId="9840" xr:uid="{00000000-0005-0000-0000-000063460000}"/>
    <cellStyle name="Note 6 2 2 7 2" xfId="24766" xr:uid="{00000000-0005-0000-0000-000064460000}"/>
    <cellStyle name="Note 6 2 2 8" xfId="20324" xr:uid="{00000000-0005-0000-0000-000065460000}"/>
    <cellStyle name="Note 6 2 3" xfId="3793" xr:uid="{00000000-0005-0000-0000-000066460000}"/>
    <cellStyle name="Note 6 2 3 2" xfId="7848" xr:uid="{00000000-0005-0000-0000-000067460000}"/>
    <cellStyle name="Note 6 2 3 2 2" xfId="17367" xr:uid="{00000000-0005-0000-0000-000068460000}"/>
    <cellStyle name="Note 6 2 3 2 2 2" xfId="32199" xr:uid="{00000000-0005-0000-0000-000069460000}"/>
    <cellStyle name="Note 6 2 3 2 3" xfId="23703" xr:uid="{00000000-0005-0000-0000-00006A460000}"/>
    <cellStyle name="Note 6 2 3 3" xfId="14128" xr:uid="{00000000-0005-0000-0000-00006B460000}"/>
    <cellStyle name="Note 6 2 3 3 2" xfId="28960" xr:uid="{00000000-0005-0000-0000-00006C460000}"/>
    <cellStyle name="Note 6 2 3 4" xfId="10984" xr:uid="{00000000-0005-0000-0000-00006D460000}"/>
    <cellStyle name="Note 6 2 3 4 2" xfId="25816" xr:uid="{00000000-0005-0000-0000-00006E460000}"/>
    <cellStyle name="Note 6 2 3 5" xfId="21355" xr:uid="{00000000-0005-0000-0000-00006F460000}"/>
    <cellStyle name="Note 6 2 4" xfId="4408" xr:uid="{00000000-0005-0000-0000-000070460000}"/>
    <cellStyle name="Note 6 2 4 2" xfId="8447" xr:uid="{00000000-0005-0000-0000-000071460000}"/>
    <cellStyle name="Note 6 2 4 2 2" xfId="17668" xr:uid="{00000000-0005-0000-0000-000072460000}"/>
    <cellStyle name="Note 6 2 4 2 2 2" xfId="32500" xr:uid="{00000000-0005-0000-0000-000073460000}"/>
    <cellStyle name="Note 6 2 4 2 3" xfId="24105" xr:uid="{00000000-0005-0000-0000-000074460000}"/>
    <cellStyle name="Note 6 2 4 3" xfId="14737" xr:uid="{00000000-0005-0000-0000-000075460000}"/>
    <cellStyle name="Note 6 2 4 3 2" xfId="29569" xr:uid="{00000000-0005-0000-0000-000076460000}"/>
    <cellStyle name="Note 6 2 4 4" xfId="11276" xr:uid="{00000000-0005-0000-0000-000077460000}"/>
    <cellStyle name="Note 6 2 4 4 2" xfId="26108" xr:uid="{00000000-0005-0000-0000-000078460000}"/>
    <cellStyle name="Note 6 2 4 5" xfId="21673" xr:uid="{00000000-0005-0000-0000-000079460000}"/>
    <cellStyle name="Note 6 2 5" xfId="2398" xr:uid="{00000000-0005-0000-0000-00007A460000}"/>
    <cellStyle name="Note 6 2 5 2" xfId="6510" xr:uid="{00000000-0005-0000-0000-00007B460000}"/>
    <cellStyle name="Note 6 2 5 2 2" xfId="16566" xr:uid="{00000000-0005-0000-0000-00007C460000}"/>
    <cellStyle name="Note 6 2 5 2 2 2" xfId="31398" xr:uid="{00000000-0005-0000-0000-00007D460000}"/>
    <cellStyle name="Note 6 2 5 2 3" xfId="22880" xr:uid="{00000000-0005-0000-0000-00007E460000}"/>
    <cellStyle name="Note 6 2 5 3" xfId="12737" xr:uid="{00000000-0005-0000-0000-00007F460000}"/>
    <cellStyle name="Note 6 2 5 3 2" xfId="27569" xr:uid="{00000000-0005-0000-0000-000080460000}"/>
    <cellStyle name="Note 6 2 5 4" xfId="10216" xr:uid="{00000000-0005-0000-0000-000081460000}"/>
    <cellStyle name="Note 6 2 5 4 2" xfId="25048" xr:uid="{00000000-0005-0000-0000-000082460000}"/>
    <cellStyle name="Note 6 2 5 5" xfId="20522" xr:uid="{00000000-0005-0000-0000-000083460000}"/>
    <cellStyle name="Note 6 2 6" xfId="5523" xr:uid="{00000000-0005-0000-0000-000084460000}"/>
    <cellStyle name="Note 6 2 6 2" xfId="15758" xr:uid="{00000000-0005-0000-0000-000085460000}"/>
    <cellStyle name="Note 6 2 6 2 2" xfId="30590" xr:uid="{00000000-0005-0000-0000-000086460000}"/>
    <cellStyle name="Note 6 2 6 3" xfId="22251" xr:uid="{00000000-0005-0000-0000-000087460000}"/>
    <cellStyle name="Note 6 2 7" xfId="11773" xr:uid="{00000000-0005-0000-0000-000088460000}"/>
    <cellStyle name="Note 6 2 7 2" xfId="26605" xr:uid="{00000000-0005-0000-0000-000089460000}"/>
    <cellStyle name="Note 6 2 8" xfId="9444" xr:uid="{00000000-0005-0000-0000-00008A460000}"/>
    <cellStyle name="Note 6 2 8 2" xfId="19748" xr:uid="{00000000-0005-0000-0000-00008B460000}"/>
    <cellStyle name="Note 6 3" xfId="1516" xr:uid="{00000000-0005-0000-0000-00008C460000}"/>
    <cellStyle name="Note 6 3 2" xfId="2013" xr:uid="{00000000-0005-0000-0000-00008D460000}"/>
    <cellStyle name="Note 6 3 2 2" xfId="4136" xr:uid="{00000000-0005-0000-0000-00008E460000}"/>
    <cellStyle name="Note 6 3 2 2 2" xfId="8180" xr:uid="{00000000-0005-0000-0000-00008F460000}"/>
    <cellStyle name="Note 6 3 2 2 2 2" xfId="17537" xr:uid="{00000000-0005-0000-0000-000090460000}"/>
    <cellStyle name="Note 6 3 2 2 2 2 2" xfId="32369" xr:uid="{00000000-0005-0000-0000-000091460000}"/>
    <cellStyle name="Note 6 3 2 2 2 3" xfId="23911" xr:uid="{00000000-0005-0000-0000-000092460000}"/>
    <cellStyle name="Note 6 3 2 2 3" xfId="14468" xr:uid="{00000000-0005-0000-0000-000093460000}"/>
    <cellStyle name="Note 6 3 2 2 3 2" xfId="29300" xr:uid="{00000000-0005-0000-0000-000094460000}"/>
    <cellStyle name="Note 6 3 2 2 4" xfId="11155" xr:uid="{00000000-0005-0000-0000-000095460000}"/>
    <cellStyle name="Note 6 3 2 2 4 2" xfId="25987" xr:uid="{00000000-0005-0000-0000-000096460000}"/>
    <cellStyle name="Note 6 3 2 2 5" xfId="21538" xr:uid="{00000000-0005-0000-0000-000097460000}"/>
    <cellStyle name="Note 6 3 2 3" xfId="4981" xr:uid="{00000000-0005-0000-0000-000098460000}"/>
    <cellStyle name="Note 6 3 2 3 2" xfId="9020" xr:uid="{00000000-0005-0000-0000-000099460000}"/>
    <cellStyle name="Note 6 3 2 3 2 2" xfId="17958" xr:uid="{00000000-0005-0000-0000-00009A460000}"/>
    <cellStyle name="Note 6 3 2 3 2 2 2" xfId="32790" xr:uid="{00000000-0005-0000-0000-00009B460000}"/>
    <cellStyle name="Note 6 3 2 3 2 3" xfId="24486" xr:uid="{00000000-0005-0000-0000-00009C460000}"/>
    <cellStyle name="Note 6 3 2 3 3" xfId="15303" xr:uid="{00000000-0005-0000-0000-00009D460000}"/>
    <cellStyle name="Note 6 3 2 3 3 2" xfId="30135" xr:uid="{00000000-0005-0000-0000-00009E460000}"/>
    <cellStyle name="Note 6 3 2 3 4" xfId="11559" xr:uid="{00000000-0005-0000-0000-00009F460000}"/>
    <cellStyle name="Note 6 3 2 3 4 2" xfId="26391" xr:uid="{00000000-0005-0000-0000-0000A0460000}"/>
    <cellStyle name="Note 6 3 2 3 5" xfId="22012" xr:uid="{00000000-0005-0000-0000-0000A1460000}"/>
    <cellStyle name="Note 6 3 2 4" xfId="2971" xr:uid="{00000000-0005-0000-0000-0000A2460000}"/>
    <cellStyle name="Note 6 3 2 4 2" xfId="7051" xr:uid="{00000000-0005-0000-0000-0000A3460000}"/>
    <cellStyle name="Note 6 3 2 4 2 2" xfId="16850" xr:uid="{00000000-0005-0000-0000-0000A4460000}"/>
    <cellStyle name="Note 6 3 2 4 2 2 2" xfId="31682" xr:uid="{00000000-0005-0000-0000-0000A5460000}"/>
    <cellStyle name="Note 6 3 2 4 2 3" xfId="23225" xr:uid="{00000000-0005-0000-0000-0000A6460000}"/>
    <cellStyle name="Note 6 3 2 4 3" xfId="13309" xr:uid="{00000000-0005-0000-0000-0000A7460000}"/>
    <cellStyle name="Note 6 3 2 4 3 2" xfId="28141" xr:uid="{00000000-0005-0000-0000-0000A8460000}"/>
    <cellStyle name="Note 6 3 2 4 4" xfId="10505" xr:uid="{00000000-0005-0000-0000-0000A9460000}"/>
    <cellStyle name="Note 6 3 2 4 4 2" xfId="25337" xr:uid="{00000000-0005-0000-0000-0000AA460000}"/>
    <cellStyle name="Note 6 3 2 4 5" xfId="20897" xr:uid="{00000000-0005-0000-0000-0000AB460000}"/>
    <cellStyle name="Note 6 3 2 5" xfId="6143" xr:uid="{00000000-0005-0000-0000-0000AC460000}"/>
    <cellStyle name="Note 6 3 2 5 2" xfId="16330" xr:uid="{00000000-0005-0000-0000-0000AD460000}"/>
    <cellStyle name="Note 6 3 2 5 2 2" xfId="31162" xr:uid="{00000000-0005-0000-0000-0000AE460000}"/>
    <cellStyle name="Note 6 3 2 5 3" xfId="22676" xr:uid="{00000000-0005-0000-0000-0000AF460000}"/>
    <cellStyle name="Note 6 3 2 6" xfId="12400" xr:uid="{00000000-0005-0000-0000-0000B0460000}"/>
    <cellStyle name="Note 6 3 2 6 2" xfId="27232" xr:uid="{00000000-0005-0000-0000-0000B1460000}"/>
    <cellStyle name="Note 6 3 2 7" xfId="9982" xr:uid="{00000000-0005-0000-0000-0000B2460000}"/>
    <cellStyle name="Note 6 3 2 7 2" xfId="24814" xr:uid="{00000000-0005-0000-0000-0000B3460000}"/>
    <cellStyle name="Note 6 3 2 8" xfId="20355" xr:uid="{00000000-0005-0000-0000-0000B4460000}"/>
    <cellStyle name="Note 6 3 3" xfId="3165" xr:uid="{00000000-0005-0000-0000-0000B5460000}"/>
    <cellStyle name="Note 6 3 3 2" xfId="7229" xr:uid="{00000000-0005-0000-0000-0000B6460000}"/>
    <cellStyle name="Note 6 3 3 2 2" xfId="17005" xr:uid="{00000000-0005-0000-0000-0000B7460000}"/>
    <cellStyle name="Note 6 3 3 2 2 2" xfId="31837" xr:uid="{00000000-0005-0000-0000-0000B8460000}"/>
    <cellStyle name="Note 6 3 3 2 3" xfId="23292" xr:uid="{00000000-0005-0000-0000-0000B9460000}"/>
    <cellStyle name="Note 6 3 3 3" xfId="13503" xr:uid="{00000000-0005-0000-0000-0000BA460000}"/>
    <cellStyle name="Note 6 3 3 3 2" xfId="28335" xr:uid="{00000000-0005-0000-0000-0000BB460000}"/>
    <cellStyle name="Note 6 3 3 4" xfId="10656" xr:uid="{00000000-0005-0000-0000-0000BC460000}"/>
    <cellStyle name="Note 6 3 3 4 2" xfId="25488" xr:uid="{00000000-0005-0000-0000-0000BD460000}"/>
    <cellStyle name="Note 6 3 3 5" xfId="20983" xr:uid="{00000000-0005-0000-0000-0000BE460000}"/>
    <cellStyle name="Note 6 3 4" xfId="4561" xr:uid="{00000000-0005-0000-0000-0000BF460000}"/>
    <cellStyle name="Note 6 3 4 2" xfId="8600" xr:uid="{00000000-0005-0000-0000-0000C0460000}"/>
    <cellStyle name="Note 6 3 4 2 2" xfId="17718" xr:uid="{00000000-0005-0000-0000-0000C1460000}"/>
    <cellStyle name="Note 6 3 4 2 2 2" xfId="32550" xr:uid="{00000000-0005-0000-0000-0000C2460000}"/>
    <cellStyle name="Note 6 3 4 2 3" xfId="24226" xr:uid="{00000000-0005-0000-0000-0000C3460000}"/>
    <cellStyle name="Note 6 3 4 3" xfId="14888" xr:uid="{00000000-0005-0000-0000-0000C4460000}"/>
    <cellStyle name="Note 6 3 4 3 2" xfId="29720" xr:uid="{00000000-0005-0000-0000-0000C5460000}"/>
    <cellStyle name="Note 6 3 4 4" xfId="11324" xr:uid="{00000000-0005-0000-0000-0000C6460000}"/>
    <cellStyle name="Note 6 3 4 4 2" xfId="26156" xr:uid="{00000000-0005-0000-0000-0000C7460000}"/>
    <cellStyle name="Note 6 3 4 5" xfId="21782" xr:uid="{00000000-0005-0000-0000-0000C8460000}"/>
    <cellStyle name="Note 6 3 5" xfId="2551" xr:uid="{00000000-0005-0000-0000-0000C9460000}"/>
    <cellStyle name="Note 6 3 5 2" xfId="6657" xr:uid="{00000000-0005-0000-0000-0000CA460000}"/>
    <cellStyle name="Note 6 3 5 2 2" xfId="16615" xr:uid="{00000000-0005-0000-0000-0000CB460000}"/>
    <cellStyle name="Note 6 3 5 2 2 2" xfId="31447" xr:uid="{00000000-0005-0000-0000-0000CC460000}"/>
    <cellStyle name="Note 6 3 5 2 3" xfId="22995" xr:uid="{00000000-0005-0000-0000-0000CD460000}"/>
    <cellStyle name="Note 6 3 5 3" xfId="12889" xr:uid="{00000000-0005-0000-0000-0000CE460000}"/>
    <cellStyle name="Note 6 3 5 3 2" xfId="27721" xr:uid="{00000000-0005-0000-0000-0000CF460000}"/>
    <cellStyle name="Note 6 3 5 4" xfId="10265" xr:uid="{00000000-0005-0000-0000-0000D0460000}"/>
    <cellStyle name="Note 6 3 5 4 2" xfId="25097" xr:uid="{00000000-0005-0000-0000-0000D1460000}"/>
    <cellStyle name="Note 6 3 5 5" xfId="20637" xr:uid="{00000000-0005-0000-0000-0000D2460000}"/>
    <cellStyle name="Note 6 3 6" xfId="5674" xr:uid="{00000000-0005-0000-0000-0000D3460000}"/>
    <cellStyle name="Note 6 3 6 2" xfId="15909" xr:uid="{00000000-0005-0000-0000-0000D4460000}"/>
    <cellStyle name="Note 6 3 6 2 2" xfId="30741" xr:uid="{00000000-0005-0000-0000-0000D5460000}"/>
    <cellStyle name="Note 6 3 6 3" xfId="22370" xr:uid="{00000000-0005-0000-0000-0000D6460000}"/>
    <cellStyle name="Note 6 3 7" xfId="11929" xr:uid="{00000000-0005-0000-0000-0000D7460000}"/>
    <cellStyle name="Note 6 3 7 2" xfId="26761" xr:uid="{00000000-0005-0000-0000-0000D8460000}"/>
    <cellStyle name="Note 6 3 8" xfId="9587" xr:uid="{00000000-0005-0000-0000-0000D9460000}"/>
    <cellStyle name="Note 6 3 8 2" xfId="19889" xr:uid="{00000000-0005-0000-0000-0000DA460000}"/>
    <cellStyle name="Note 6 4" xfId="1571" xr:uid="{00000000-0005-0000-0000-0000DB460000}"/>
    <cellStyle name="Note 6 4 2" xfId="2068" xr:uid="{00000000-0005-0000-0000-0000DC460000}"/>
    <cellStyle name="Note 6 4 2 2" xfId="3409" xr:uid="{00000000-0005-0000-0000-0000DD460000}"/>
    <cellStyle name="Note 6 4 2 2 2" xfId="7472" xr:uid="{00000000-0005-0000-0000-0000DE460000}"/>
    <cellStyle name="Note 6 4 2 2 2 2" xfId="17171" xr:uid="{00000000-0005-0000-0000-0000DF460000}"/>
    <cellStyle name="Note 6 4 2 2 2 2 2" xfId="32003" xr:uid="{00000000-0005-0000-0000-0000E0460000}"/>
    <cellStyle name="Note 6 4 2 2 2 3" xfId="23460" xr:uid="{00000000-0005-0000-0000-0000E1460000}"/>
    <cellStyle name="Note 6 4 2 2 3" xfId="13746" xr:uid="{00000000-0005-0000-0000-0000E2460000}"/>
    <cellStyle name="Note 6 4 2 2 3 2" xfId="28578" xr:uid="{00000000-0005-0000-0000-0000E3460000}"/>
    <cellStyle name="Note 6 4 2 2 4" xfId="10790" xr:uid="{00000000-0005-0000-0000-0000E4460000}"/>
    <cellStyle name="Note 6 4 2 2 4 2" xfId="25622" xr:uid="{00000000-0005-0000-0000-0000E5460000}"/>
    <cellStyle name="Note 6 4 2 2 5" xfId="21138" xr:uid="{00000000-0005-0000-0000-0000E6460000}"/>
    <cellStyle name="Note 6 4 2 3" xfId="5036" xr:uid="{00000000-0005-0000-0000-0000E7460000}"/>
    <cellStyle name="Note 6 4 2 3 2" xfId="9075" xr:uid="{00000000-0005-0000-0000-0000E8460000}"/>
    <cellStyle name="Note 6 4 2 3 2 2" xfId="18008" xr:uid="{00000000-0005-0000-0000-0000E9460000}"/>
    <cellStyle name="Note 6 4 2 3 2 2 2" xfId="32840" xr:uid="{00000000-0005-0000-0000-0000EA460000}"/>
    <cellStyle name="Note 6 4 2 3 2 3" xfId="24509" xr:uid="{00000000-0005-0000-0000-0000EB460000}"/>
    <cellStyle name="Note 6 4 2 3 3" xfId="15357" xr:uid="{00000000-0005-0000-0000-0000EC460000}"/>
    <cellStyle name="Note 6 4 2 3 3 2" xfId="30189" xr:uid="{00000000-0005-0000-0000-0000ED460000}"/>
    <cellStyle name="Note 6 4 2 3 4" xfId="11608" xr:uid="{00000000-0005-0000-0000-0000EE460000}"/>
    <cellStyle name="Note 6 4 2 3 4 2" xfId="26440" xr:uid="{00000000-0005-0000-0000-0000EF460000}"/>
    <cellStyle name="Note 6 4 2 3 5" xfId="22029" xr:uid="{00000000-0005-0000-0000-0000F0460000}"/>
    <cellStyle name="Note 6 4 2 4" xfId="3026" xr:uid="{00000000-0005-0000-0000-0000F1460000}"/>
    <cellStyle name="Note 6 4 2 4 2" xfId="7101" xr:uid="{00000000-0005-0000-0000-0000F2460000}"/>
    <cellStyle name="Note 6 4 2 4 2 2" xfId="16899" xr:uid="{00000000-0005-0000-0000-0000F3460000}"/>
    <cellStyle name="Note 6 4 2 4 2 2 2" xfId="31731" xr:uid="{00000000-0005-0000-0000-0000F4460000}"/>
    <cellStyle name="Note 6 4 2 4 2 3" xfId="23242" xr:uid="{00000000-0005-0000-0000-0000F5460000}"/>
    <cellStyle name="Note 6 4 2 4 3" xfId="13364" xr:uid="{00000000-0005-0000-0000-0000F6460000}"/>
    <cellStyle name="Note 6 4 2 4 3 2" xfId="28196" xr:uid="{00000000-0005-0000-0000-0000F7460000}"/>
    <cellStyle name="Note 6 4 2 4 4" xfId="10555" xr:uid="{00000000-0005-0000-0000-0000F8460000}"/>
    <cellStyle name="Note 6 4 2 4 4 2" xfId="25387" xr:uid="{00000000-0005-0000-0000-0000F9460000}"/>
    <cellStyle name="Note 6 4 2 4 5" xfId="20920" xr:uid="{00000000-0005-0000-0000-0000FA460000}"/>
    <cellStyle name="Note 6 4 2 5" xfId="6193" xr:uid="{00000000-0005-0000-0000-0000FB460000}"/>
    <cellStyle name="Note 6 4 2 5 2" xfId="16379" xr:uid="{00000000-0005-0000-0000-0000FC460000}"/>
    <cellStyle name="Note 6 4 2 5 2 2" xfId="31211" xr:uid="{00000000-0005-0000-0000-0000FD460000}"/>
    <cellStyle name="Note 6 4 2 5 3" xfId="22693" xr:uid="{00000000-0005-0000-0000-0000FE460000}"/>
    <cellStyle name="Note 6 4 2 6" xfId="12449" xr:uid="{00000000-0005-0000-0000-0000FF460000}"/>
    <cellStyle name="Note 6 4 2 6 2" xfId="27281" xr:uid="{00000000-0005-0000-0000-000000470000}"/>
    <cellStyle name="Note 6 4 2 7" xfId="10031" xr:uid="{00000000-0005-0000-0000-000001470000}"/>
    <cellStyle name="Note 6 4 2 7 2" xfId="24863" xr:uid="{00000000-0005-0000-0000-000002470000}"/>
    <cellStyle name="Note 6 4 2 8" xfId="20372" xr:uid="{00000000-0005-0000-0000-000003470000}"/>
    <cellStyle name="Note 6 4 3" xfId="3621" xr:uid="{00000000-0005-0000-0000-000004470000}"/>
    <cellStyle name="Note 6 4 3 2" xfId="7681" xr:uid="{00000000-0005-0000-0000-000005470000}"/>
    <cellStyle name="Note 6 4 3 2 2" xfId="17284" xr:uid="{00000000-0005-0000-0000-000006470000}"/>
    <cellStyle name="Note 6 4 3 2 2 2" xfId="32116" xr:uid="{00000000-0005-0000-0000-000007470000}"/>
    <cellStyle name="Note 6 4 3 2 3" xfId="23590" xr:uid="{00000000-0005-0000-0000-000008470000}"/>
    <cellStyle name="Note 6 4 3 3" xfId="13956" xr:uid="{00000000-0005-0000-0000-000009470000}"/>
    <cellStyle name="Note 6 4 3 3 2" xfId="28788" xr:uid="{00000000-0005-0000-0000-00000A470000}"/>
    <cellStyle name="Note 6 4 3 4" xfId="10901" xr:uid="{00000000-0005-0000-0000-00000B470000}"/>
    <cellStyle name="Note 6 4 3 4 2" xfId="25733" xr:uid="{00000000-0005-0000-0000-00000C470000}"/>
    <cellStyle name="Note 6 4 3 5" xfId="21254" xr:uid="{00000000-0005-0000-0000-00000D470000}"/>
    <cellStyle name="Note 6 4 4" xfId="4616" xr:uid="{00000000-0005-0000-0000-00000E470000}"/>
    <cellStyle name="Note 6 4 4 2" xfId="8655" xr:uid="{00000000-0005-0000-0000-00000F470000}"/>
    <cellStyle name="Note 6 4 4 2 2" xfId="17768" xr:uid="{00000000-0005-0000-0000-000010470000}"/>
    <cellStyle name="Note 6 4 4 2 2 2" xfId="32600" xr:uid="{00000000-0005-0000-0000-000011470000}"/>
    <cellStyle name="Note 6 4 4 2 3" xfId="24249" xr:uid="{00000000-0005-0000-0000-000012470000}"/>
    <cellStyle name="Note 6 4 4 3" xfId="14942" xr:uid="{00000000-0005-0000-0000-000013470000}"/>
    <cellStyle name="Note 6 4 4 3 2" xfId="29774" xr:uid="{00000000-0005-0000-0000-000014470000}"/>
    <cellStyle name="Note 6 4 4 4" xfId="11373" xr:uid="{00000000-0005-0000-0000-000015470000}"/>
    <cellStyle name="Note 6 4 4 4 2" xfId="26205" xr:uid="{00000000-0005-0000-0000-000016470000}"/>
    <cellStyle name="Note 6 4 4 5" xfId="21799" xr:uid="{00000000-0005-0000-0000-000017470000}"/>
    <cellStyle name="Note 6 4 5" xfId="2606" xr:uid="{00000000-0005-0000-0000-000018470000}"/>
    <cellStyle name="Note 6 4 5 2" xfId="6707" xr:uid="{00000000-0005-0000-0000-000019470000}"/>
    <cellStyle name="Note 6 4 5 2 2" xfId="16664" xr:uid="{00000000-0005-0000-0000-00001A470000}"/>
    <cellStyle name="Note 6 4 5 2 2 2" xfId="31496" xr:uid="{00000000-0005-0000-0000-00001B470000}"/>
    <cellStyle name="Note 6 4 5 2 3" xfId="23012" xr:uid="{00000000-0005-0000-0000-00001C470000}"/>
    <cellStyle name="Note 6 4 5 3" xfId="12944" xr:uid="{00000000-0005-0000-0000-00001D470000}"/>
    <cellStyle name="Note 6 4 5 3 2" xfId="27776" xr:uid="{00000000-0005-0000-0000-00001E470000}"/>
    <cellStyle name="Note 6 4 5 4" xfId="10315" xr:uid="{00000000-0005-0000-0000-00001F470000}"/>
    <cellStyle name="Note 6 4 5 4 2" xfId="25147" xr:uid="{00000000-0005-0000-0000-000020470000}"/>
    <cellStyle name="Note 6 4 5 5" xfId="20660" xr:uid="{00000000-0005-0000-0000-000021470000}"/>
    <cellStyle name="Note 6 4 6" xfId="5723" xr:uid="{00000000-0005-0000-0000-000022470000}"/>
    <cellStyle name="Note 6 4 6 2" xfId="15958" xr:uid="{00000000-0005-0000-0000-000023470000}"/>
    <cellStyle name="Note 6 4 6 2 2" xfId="30790" xr:uid="{00000000-0005-0000-0000-000024470000}"/>
    <cellStyle name="Note 6 4 6 3" xfId="22387" xr:uid="{00000000-0005-0000-0000-000025470000}"/>
    <cellStyle name="Note 6 4 7" xfId="11978" xr:uid="{00000000-0005-0000-0000-000026470000}"/>
    <cellStyle name="Note 6 4 7 2" xfId="26810" xr:uid="{00000000-0005-0000-0000-000027470000}"/>
    <cellStyle name="Note 6 4 8" xfId="9637" xr:uid="{00000000-0005-0000-0000-000028470000}"/>
    <cellStyle name="Note 6 4 8 2" xfId="19938" xr:uid="{00000000-0005-0000-0000-000029470000}"/>
    <cellStyle name="Note 6 5" xfId="1621" xr:uid="{00000000-0005-0000-0000-00002A470000}"/>
    <cellStyle name="Note 6 5 2" xfId="2118" xr:uid="{00000000-0005-0000-0000-00002B470000}"/>
    <cellStyle name="Note 6 5 2 2" xfId="4140" xr:uid="{00000000-0005-0000-0000-00002C470000}"/>
    <cellStyle name="Note 6 5 2 2 2" xfId="8184" xr:uid="{00000000-0005-0000-0000-00002D470000}"/>
    <cellStyle name="Note 6 5 2 2 2 2" xfId="17540" xr:uid="{00000000-0005-0000-0000-00002E470000}"/>
    <cellStyle name="Note 6 5 2 2 2 2 2" xfId="32372" xr:uid="{00000000-0005-0000-0000-00002F470000}"/>
    <cellStyle name="Note 6 5 2 2 2 3" xfId="23913" xr:uid="{00000000-0005-0000-0000-000030470000}"/>
    <cellStyle name="Note 6 5 2 2 3" xfId="14472" xr:uid="{00000000-0005-0000-0000-000031470000}"/>
    <cellStyle name="Note 6 5 2 2 3 2" xfId="29304" xr:uid="{00000000-0005-0000-0000-000032470000}"/>
    <cellStyle name="Note 6 5 2 2 4" xfId="11158" xr:uid="{00000000-0005-0000-0000-000033470000}"/>
    <cellStyle name="Note 6 5 2 2 4 2" xfId="25990" xr:uid="{00000000-0005-0000-0000-000034470000}"/>
    <cellStyle name="Note 6 5 2 2 5" xfId="21540" xr:uid="{00000000-0005-0000-0000-000035470000}"/>
    <cellStyle name="Note 6 5 2 3" xfId="5086" xr:uid="{00000000-0005-0000-0000-000036470000}"/>
    <cellStyle name="Note 6 5 2 3 2" xfId="9125" xr:uid="{00000000-0005-0000-0000-000037470000}"/>
    <cellStyle name="Note 6 5 2 3 2 2" xfId="18053" xr:uid="{00000000-0005-0000-0000-000038470000}"/>
    <cellStyle name="Note 6 5 2 3 2 2 2" xfId="32885" xr:uid="{00000000-0005-0000-0000-000039470000}"/>
    <cellStyle name="Note 6 5 2 3 2 3" xfId="24527" xr:uid="{00000000-0005-0000-0000-00003A470000}"/>
    <cellStyle name="Note 6 5 2 3 3" xfId="15406" xr:uid="{00000000-0005-0000-0000-00003B470000}"/>
    <cellStyle name="Note 6 5 2 3 3 2" xfId="30238" xr:uid="{00000000-0005-0000-0000-00003C470000}"/>
    <cellStyle name="Note 6 5 2 3 4" xfId="11652" xr:uid="{00000000-0005-0000-0000-00003D470000}"/>
    <cellStyle name="Note 6 5 2 3 4 2" xfId="26484" xr:uid="{00000000-0005-0000-0000-00003E470000}"/>
    <cellStyle name="Note 6 5 2 3 5" xfId="22041" xr:uid="{00000000-0005-0000-0000-00003F470000}"/>
    <cellStyle name="Note 6 5 2 4" xfId="3076" xr:uid="{00000000-0005-0000-0000-000040470000}"/>
    <cellStyle name="Note 6 5 2 4 2" xfId="7146" xr:uid="{00000000-0005-0000-0000-000041470000}"/>
    <cellStyle name="Note 6 5 2 4 2 2" xfId="16943" xr:uid="{00000000-0005-0000-0000-000042470000}"/>
    <cellStyle name="Note 6 5 2 4 2 2 2" xfId="31775" xr:uid="{00000000-0005-0000-0000-000043470000}"/>
    <cellStyle name="Note 6 5 2 4 2 3" xfId="23254" xr:uid="{00000000-0005-0000-0000-000044470000}"/>
    <cellStyle name="Note 6 5 2 4 3" xfId="13414" xr:uid="{00000000-0005-0000-0000-000045470000}"/>
    <cellStyle name="Note 6 5 2 4 3 2" xfId="28246" xr:uid="{00000000-0005-0000-0000-000046470000}"/>
    <cellStyle name="Note 6 5 2 4 4" xfId="10600" xr:uid="{00000000-0005-0000-0000-000047470000}"/>
    <cellStyle name="Note 6 5 2 4 4 2" xfId="25432" xr:uid="{00000000-0005-0000-0000-000048470000}"/>
    <cellStyle name="Note 6 5 2 4 5" xfId="20938" xr:uid="{00000000-0005-0000-0000-000049470000}"/>
    <cellStyle name="Note 6 5 2 5" xfId="6238" xr:uid="{00000000-0005-0000-0000-00004A470000}"/>
    <cellStyle name="Note 6 5 2 5 2" xfId="16423" xr:uid="{00000000-0005-0000-0000-00004B470000}"/>
    <cellStyle name="Note 6 5 2 5 2 2" xfId="31255" xr:uid="{00000000-0005-0000-0000-00004C470000}"/>
    <cellStyle name="Note 6 5 2 5 3" xfId="22705" xr:uid="{00000000-0005-0000-0000-00004D470000}"/>
    <cellStyle name="Note 6 5 2 6" xfId="12493" xr:uid="{00000000-0005-0000-0000-00004E470000}"/>
    <cellStyle name="Note 6 5 2 6 2" xfId="27325" xr:uid="{00000000-0005-0000-0000-00004F470000}"/>
    <cellStyle name="Note 6 5 2 7" xfId="10075" xr:uid="{00000000-0005-0000-0000-000050470000}"/>
    <cellStyle name="Note 6 5 2 7 2" xfId="24907" xr:uid="{00000000-0005-0000-0000-000051470000}"/>
    <cellStyle name="Note 6 5 2 8" xfId="20384" xr:uid="{00000000-0005-0000-0000-000052470000}"/>
    <cellStyle name="Note 6 5 3" xfId="4324" xr:uid="{00000000-0005-0000-0000-000053470000}"/>
    <cellStyle name="Note 6 5 3 2" xfId="8363" xr:uid="{00000000-0005-0000-0000-000054470000}"/>
    <cellStyle name="Note 6 5 3 2 2" xfId="17641" xr:uid="{00000000-0005-0000-0000-000055470000}"/>
    <cellStyle name="Note 6 5 3 2 2 2" xfId="32473" xr:uid="{00000000-0005-0000-0000-000056470000}"/>
    <cellStyle name="Note 6 5 3 2 3" xfId="24031" xr:uid="{00000000-0005-0000-0000-000057470000}"/>
    <cellStyle name="Note 6 5 3 3" xfId="14655" xr:uid="{00000000-0005-0000-0000-000058470000}"/>
    <cellStyle name="Note 6 5 3 3 2" xfId="29487" xr:uid="{00000000-0005-0000-0000-000059470000}"/>
    <cellStyle name="Note 6 5 3 4" xfId="11251" xr:uid="{00000000-0005-0000-0000-00005A470000}"/>
    <cellStyle name="Note 6 5 3 4 2" xfId="26083" xr:uid="{00000000-0005-0000-0000-00005B470000}"/>
    <cellStyle name="Note 6 5 3 5" xfId="21627" xr:uid="{00000000-0005-0000-0000-00005C470000}"/>
    <cellStyle name="Note 6 5 4" xfId="4666" xr:uid="{00000000-0005-0000-0000-00005D470000}"/>
    <cellStyle name="Note 6 5 4 2" xfId="8705" xr:uid="{00000000-0005-0000-0000-00005E470000}"/>
    <cellStyle name="Note 6 5 4 2 2" xfId="17813" xr:uid="{00000000-0005-0000-0000-00005F470000}"/>
    <cellStyle name="Note 6 5 4 2 2 2" xfId="32645" xr:uid="{00000000-0005-0000-0000-000060470000}"/>
    <cellStyle name="Note 6 5 4 2 3" xfId="24267" xr:uid="{00000000-0005-0000-0000-000061470000}"/>
    <cellStyle name="Note 6 5 4 3" xfId="14991" xr:uid="{00000000-0005-0000-0000-000062470000}"/>
    <cellStyle name="Note 6 5 4 3 2" xfId="29823" xr:uid="{00000000-0005-0000-0000-000063470000}"/>
    <cellStyle name="Note 6 5 4 4" xfId="11417" xr:uid="{00000000-0005-0000-0000-000064470000}"/>
    <cellStyle name="Note 6 5 4 4 2" xfId="26249" xr:uid="{00000000-0005-0000-0000-000065470000}"/>
    <cellStyle name="Note 6 5 4 5" xfId="21811" xr:uid="{00000000-0005-0000-0000-000066470000}"/>
    <cellStyle name="Note 6 5 5" xfId="2656" xr:uid="{00000000-0005-0000-0000-000067470000}"/>
    <cellStyle name="Note 6 5 5 2" xfId="6752" xr:uid="{00000000-0005-0000-0000-000068470000}"/>
    <cellStyle name="Note 6 5 5 2 2" xfId="16708" xr:uid="{00000000-0005-0000-0000-000069470000}"/>
    <cellStyle name="Note 6 5 5 2 2 2" xfId="31540" xr:uid="{00000000-0005-0000-0000-00006A470000}"/>
    <cellStyle name="Note 6 5 5 2 3" xfId="23024" xr:uid="{00000000-0005-0000-0000-00006B470000}"/>
    <cellStyle name="Note 6 5 5 3" xfId="12994" xr:uid="{00000000-0005-0000-0000-00006C470000}"/>
    <cellStyle name="Note 6 5 5 3 2" xfId="27826" xr:uid="{00000000-0005-0000-0000-00006D470000}"/>
    <cellStyle name="Note 6 5 5 4" xfId="10360" xr:uid="{00000000-0005-0000-0000-00006E470000}"/>
    <cellStyle name="Note 6 5 5 4 2" xfId="25192" xr:uid="{00000000-0005-0000-0000-00006F470000}"/>
    <cellStyle name="Note 6 5 5 5" xfId="20678" xr:uid="{00000000-0005-0000-0000-000070470000}"/>
    <cellStyle name="Note 6 5 6" xfId="5768" xr:uid="{00000000-0005-0000-0000-000071470000}"/>
    <cellStyle name="Note 6 5 6 2" xfId="16002" xr:uid="{00000000-0005-0000-0000-000072470000}"/>
    <cellStyle name="Note 6 5 6 2 2" xfId="30834" xr:uid="{00000000-0005-0000-0000-000073470000}"/>
    <cellStyle name="Note 6 5 6 3" xfId="22399" xr:uid="{00000000-0005-0000-0000-000074470000}"/>
    <cellStyle name="Note 6 5 7" xfId="12022" xr:uid="{00000000-0005-0000-0000-000075470000}"/>
    <cellStyle name="Note 6 5 7 2" xfId="26854" xr:uid="{00000000-0005-0000-0000-000076470000}"/>
    <cellStyle name="Note 6 5 8" xfId="9682" xr:uid="{00000000-0005-0000-0000-000077470000}"/>
    <cellStyle name="Note 6 5 8 2" xfId="19982" xr:uid="{00000000-0005-0000-0000-000078470000}"/>
    <cellStyle name="Note 6 6" xfId="1772" xr:uid="{00000000-0005-0000-0000-000079470000}"/>
    <cellStyle name="Note 6 6 2" xfId="3732" xr:uid="{00000000-0005-0000-0000-00007A470000}"/>
    <cellStyle name="Note 6 6 2 2" xfId="7788" xr:uid="{00000000-0005-0000-0000-00007B470000}"/>
    <cellStyle name="Note 6 6 2 2 2" xfId="17341" xr:uid="{00000000-0005-0000-0000-00007C470000}"/>
    <cellStyle name="Note 6 6 2 2 2 2" xfId="32173" xr:uid="{00000000-0005-0000-0000-00007D470000}"/>
    <cellStyle name="Note 6 6 2 2 3" xfId="23662" xr:uid="{00000000-0005-0000-0000-00007E470000}"/>
    <cellStyle name="Note 6 6 2 3" xfId="14067" xr:uid="{00000000-0005-0000-0000-00007F470000}"/>
    <cellStyle name="Note 6 6 2 3 2" xfId="28899" xr:uid="{00000000-0005-0000-0000-000080470000}"/>
    <cellStyle name="Note 6 6 2 4" xfId="10957" xr:uid="{00000000-0005-0000-0000-000081470000}"/>
    <cellStyle name="Note 6 6 2 4 2" xfId="25789" xr:uid="{00000000-0005-0000-0000-000082470000}"/>
    <cellStyle name="Note 6 6 2 5" xfId="21322" xr:uid="{00000000-0005-0000-0000-000083470000}"/>
    <cellStyle name="Note 6 6 3" xfId="4750" xr:uid="{00000000-0005-0000-0000-000084470000}"/>
    <cellStyle name="Note 6 6 3 2" xfId="8789" xr:uid="{00000000-0005-0000-0000-000085470000}"/>
    <cellStyle name="Note 6 6 3 2 2" xfId="17861" xr:uid="{00000000-0005-0000-0000-000086470000}"/>
    <cellStyle name="Note 6 6 3 2 2 2" xfId="32693" xr:uid="{00000000-0005-0000-0000-000087470000}"/>
    <cellStyle name="Note 6 6 3 2 3" xfId="24319" xr:uid="{00000000-0005-0000-0000-000088470000}"/>
    <cellStyle name="Note 6 6 3 3" xfId="15074" xr:uid="{00000000-0005-0000-0000-000089470000}"/>
    <cellStyle name="Note 6 6 3 3 2" xfId="29906" xr:uid="{00000000-0005-0000-0000-00008A470000}"/>
    <cellStyle name="Note 6 6 3 4" xfId="11464" xr:uid="{00000000-0005-0000-0000-00008B470000}"/>
    <cellStyle name="Note 6 6 3 4 2" xfId="26296" xr:uid="{00000000-0005-0000-0000-00008C470000}"/>
    <cellStyle name="Note 6 6 3 5" xfId="21857" xr:uid="{00000000-0005-0000-0000-00008D470000}"/>
    <cellStyle name="Note 6 6 4" xfId="2740" xr:uid="{00000000-0005-0000-0000-00008E470000}"/>
    <cellStyle name="Note 6 6 4 2" xfId="6831" xr:uid="{00000000-0005-0000-0000-00008F470000}"/>
    <cellStyle name="Note 6 6 4 2 2" xfId="16755" xr:uid="{00000000-0005-0000-0000-000090470000}"/>
    <cellStyle name="Note 6 6 4 2 2 2" xfId="31587" xr:uid="{00000000-0005-0000-0000-000091470000}"/>
    <cellStyle name="Note 6 6 4 2 3" xfId="23070" xr:uid="{00000000-0005-0000-0000-000092470000}"/>
    <cellStyle name="Note 6 6 4 3" xfId="13078" xr:uid="{00000000-0005-0000-0000-000093470000}"/>
    <cellStyle name="Note 6 6 4 3 2" xfId="27910" xr:uid="{00000000-0005-0000-0000-000094470000}"/>
    <cellStyle name="Note 6 6 4 4" xfId="10408" xr:uid="{00000000-0005-0000-0000-000095470000}"/>
    <cellStyle name="Note 6 6 4 4 2" xfId="25240" xr:uid="{00000000-0005-0000-0000-000096470000}"/>
    <cellStyle name="Note 6 6 4 5" xfId="20730" xr:uid="{00000000-0005-0000-0000-000097470000}"/>
    <cellStyle name="Note 6 6 5" xfId="5904" xr:uid="{00000000-0005-0000-0000-000098470000}"/>
    <cellStyle name="Note 6 6 5 2" xfId="16096" xr:uid="{00000000-0005-0000-0000-000099470000}"/>
    <cellStyle name="Note 6 6 5 2 2" xfId="30928" xr:uid="{00000000-0005-0000-0000-00009A470000}"/>
    <cellStyle name="Note 6 6 5 3" xfId="22501" xr:uid="{00000000-0005-0000-0000-00009B470000}"/>
    <cellStyle name="Note 6 6 6" xfId="12166" xr:uid="{00000000-0005-0000-0000-00009C470000}"/>
    <cellStyle name="Note 6 6 6 2" xfId="26998" xr:uid="{00000000-0005-0000-0000-00009D470000}"/>
    <cellStyle name="Note 6 6 7" xfId="9762" xr:uid="{00000000-0005-0000-0000-00009E470000}"/>
    <cellStyle name="Note 6 6 7 2" xfId="24719" xr:uid="{00000000-0005-0000-0000-00009F470000}"/>
    <cellStyle name="Note 6 6 8" xfId="20309" xr:uid="{00000000-0005-0000-0000-0000A0470000}"/>
    <cellStyle name="Note 6 7" xfId="2194" xr:uid="{00000000-0005-0000-0000-0000A1470000}"/>
    <cellStyle name="Note 6 7 2" xfId="3541" xr:uid="{00000000-0005-0000-0000-0000A2470000}"/>
    <cellStyle name="Note 6 7 2 2" xfId="7603" xr:uid="{00000000-0005-0000-0000-0000A3470000}"/>
    <cellStyle name="Note 6 7 2 2 2" xfId="17247" xr:uid="{00000000-0005-0000-0000-0000A4470000}"/>
    <cellStyle name="Note 6 7 2 2 2 2" xfId="32079" xr:uid="{00000000-0005-0000-0000-0000A5470000}"/>
    <cellStyle name="Note 6 7 2 2 3" xfId="23541" xr:uid="{00000000-0005-0000-0000-0000A6470000}"/>
    <cellStyle name="Note 6 7 2 3" xfId="13877" xr:uid="{00000000-0005-0000-0000-0000A7470000}"/>
    <cellStyle name="Note 6 7 2 3 2" xfId="28709" xr:uid="{00000000-0005-0000-0000-0000A8470000}"/>
    <cellStyle name="Note 6 7 2 4" xfId="10864" xr:uid="{00000000-0005-0000-0000-0000A9470000}"/>
    <cellStyle name="Note 6 7 2 4 2" xfId="25696" xr:uid="{00000000-0005-0000-0000-0000AA470000}"/>
    <cellStyle name="Note 6 7 2 5" xfId="21214" xr:uid="{00000000-0005-0000-0000-0000AB470000}"/>
    <cellStyle name="Note 6 7 3" xfId="5162" xr:uid="{00000000-0005-0000-0000-0000AC470000}"/>
    <cellStyle name="Note 6 7 3 2" xfId="9201" xr:uid="{00000000-0005-0000-0000-0000AD470000}"/>
    <cellStyle name="Note 6 7 3 2 2" xfId="18124" xr:uid="{00000000-0005-0000-0000-0000AE470000}"/>
    <cellStyle name="Note 6 7 3 2 2 2" xfId="32956" xr:uid="{00000000-0005-0000-0000-0000AF470000}"/>
    <cellStyle name="Note 6 7 3 2 3" xfId="24539" xr:uid="{00000000-0005-0000-0000-0000B0470000}"/>
    <cellStyle name="Note 6 7 3 3" xfId="15480" xr:uid="{00000000-0005-0000-0000-0000B1470000}"/>
    <cellStyle name="Note 6 7 3 3 2" xfId="30312" xr:uid="{00000000-0005-0000-0000-0000B2470000}"/>
    <cellStyle name="Note 6 7 3 4" xfId="11721" xr:uid="{00000000-0005-0000-0000-0000B3470000}"/>
    <cellStyle name="Note 6 7 3 4 2" xfId="26553" xr:uid="{00000000-0005-0000-0000-0000B4470000}"/>
    <cellStyle name="Note 6 7 3 5" xfId="22046" xr:uid="{00000000-0005-0000-0000-0000B5470000}"/>
    <cellStyle name="Note 6 7 4" xfId="4192" xr:uid="{00000000-0005-0000-0000-0000B6470000}"/>
    <cellStyle name="Note 6 7 4 2" xfId="8233" xr:uid="{00000000-0005-0000-0000-0000B7470000}"/>
    <cellStyle name="Note 6 7 4 2 2" xfId="17580" xr:uid="{00000000-0005-0000-0000-0000B8470000}"/>
    <cellStyle name="Note 6 7 4 2 2 2" xfId="32412" xr:uid="{00000000-0005-0000-0000-0000B9470000}"/>
    <cellStyle name="Note 6 7 4 2 3" xfId="23928" xr:uid="{00000000-0005-0000-0000-0000BA470000}"/>
    <cellStyle name="Note 6 7 4 3" xfId="14524" xr:uid="{00000000-0005-0000-0000-0000BB470000}"/>
    <cellStyle name="Note 6 7 4 3 2" xfId="29356" xr:uid="{00000000-0005-0000-0000-0000BC470000}"/>
    <cellStyle name="Note 6 7 4 4" xfId="11200" xr:uid="{00000000-0005-0000-0000-0000BD470000}"/>
    <cellStyle name="Note 6 7 4 4 2" xfId="26032" xr:uid="{00000000-0005-0000-0000-0000BE470000}"/>
    <cellStyle name="Note 6 7 4 5" xfId="21553" xr:uid="{00000000-0005-0000-0000-0000BF470000}"/>
    <cellStyle name="Note 6 7 5" xfId="6308" xr:uid="{00000000-0005-0000-0000-0000C0470000}"/>
    <cellStyle name="Note 6 7 5 2" xfId="16492" xr:uid="{00000000-0005-0000-0000-0000C1470000}"/>
    <cellStyle name="Note 6 7 5 2 2" xfId="31324" xr:uid="{00000000-0005-0000-0000-0000C2470000}"/>
    <cellStyle name="Note 6 7 5 3" xfId="22710" xr:uid="{00000000-0005-0000-0000-0000C3470000}"/>
    <cellStyle name="Note 6 7 6" xfId="12562" xr:uid="{00000000-0005-0000-0000-0000C4470000}"/>
    <cellStyle name="Note 6 7 6 2" xfId="27394" xr:uid="{00000000-0005-0000-0000-0000C5470000}"/>
    <cellStyle name="Note 6 7 7" xfId="10144" xr:uid="{00000000-0005-0000-0000-0000C6470000}"/>
    <cellStyle name="Note 6 7 7 2" xfId="24976" xr:uid="{00000000-0005-0000-0000-0000C7470000}"/>
    <cellStyle name="Note 6 7 8" xfId="20389" xr:uid="{00000000-0005-0000-0000-0000C8470000}"/>
    <cellStyle name="Note 6 8" xfId="3182" xr:uid="{00000000-0005-0000-0000-0000C9470000}"/>
    <cellStyle name="Note 6 8 2" xfId="7246" xr:uid="{00000000-0005-0000-0000-0000CA470000}"/>
    <cellStyle name="Note 6 8 2 2" xfId="17018" xr:uid="{00000000-0005-0000-0000-0000CB470000}"/>
    <cellStyle name="Note 6 8 2 2 2" xfId="31850" xr:uid="{00000000-0005-0000-0000-0000CC470000}"/>
    <cellStyle name="Note 6 8 2 3" xfId="23304" xr:uid="{00000000-0005-0000-0000-0000CD470000}"/>
    <cellStyle name="Note 6 8 3" xfId="13520" xr:uid="{00000000-0005-0000-0000-0000CE470000}"/>
    <cellStyle name="Note 6 8 3 2" xfId="28352" xr:uid="{00000000-0005-0000-0000-0000CF470000}"/>
    <cellStyle name="Note 6 8 4" xfId="10666" xr:uid="{00000000-0005-0000-0000-0000D0470000}"/>
    <cellStyle name="Note 6 8 4 2" xfId="25498" xr:uid="{00000000-0005-0000-0000-0000D1470000}"/>
    <cellStyle name="Note 6 8 5" xfId="20994" xr:uid="{00000000-0005-0000-0000-0000D2470000}"/>
    <cellStyle name="Note 6 9" xfId="3132" xr:uid="{00000000-0005-0000-0000-0000D3470000}"/>
    <cellStyle name="Note 6 9 2" xfId="7196" xr:uid="{00000000-0005-0000-0000-0000D4470000}"/>
    <cellStyle name="Note 6 9 2 2" xfId="16985" xr:uid="{00000000-0005-0000-0000-0000D5470000}"/>
    <cellStyle name="Note 6 9 2 2 2" xfId="31817" xr:uid="{00000000-0005-0000-0000-0000D6470000}"/>
    <cellStyle name="Note 6 9 2 3" xfId="23268" xr:uid="{00000000-0005-0000-0000-0000D7470000}"/>
    <cellStyle name="Note 6 9 3" xfId="13470" xr:uid="{00000000-0005-0000-0000-0000D8470000}"/>
    <cellStyle name="Note 6 9 3 2" xfId="28302" xr:uid="{00000000-0005-0000-0000-0000D9470000}"/>
    <cellStyle name="Note 6 9 4" xfId="10641" xr:uid="{00000000-0005-0000-0000-0000DA470000}"/>
    <cellStyle name="Note 6 9 4 2" xfId="25473" xr:uid="{00000000-0005-0000-0000-0000DB470000}"/>
    <cellStyle name="Note 6 9 5" xfId="20959" xr:uid="{00000000-0005-0000-0000-0000DC470000}"/>
    <cellStyle name="Note 7" xfId="1228" xr:uid="{00000000-0005-0000-0000-0000DD470000}"/>
    <cellStyle name="Note 7 10" xfId="2314" xr:uid="{00000000-0005-0000-0000-0000DE470000}"/>
    <cellStyle name="Note 7 10 2" xfId="6426" xr:uid="{00000000-0005-0000-0000-0000DF470000}"/>
    <cellStyle name="Note 7 10 2 2" xfId="16519" xr:uid="{00000000-0005-0000-0000-0000E0470000}"/>
    <cellStyle name="Note 7 10 2 2 2" xfId="31351" xr:uid="{00000000-0005-0000-0000-0000E1470000}"/>
    <cellStyle name="Note 7 10 2 3" xfId="22828" xr:uid="{00000000-0005-0000-0000-0000E2470000}"/>
    <cellStyle name="Note 7 10 3" xfId="12654" xr:uid="{00000000-0005-0000-0000-0000E3470000}"/>
    <cellStyle name="Note 7 10 3 2" xfId="27486" xr:uid="{00000000-0005-0000-0000-0000E4470000}"/>
    <cellStyle name="Note 7 10 4" xfId="10170" xr:uid="{00000000-0005-0000-0000-0000E5470000}"/>
    <cellStyle name="Note 7 10 4 2" xfId="25002" xr:uid="{00000000-0005-0000-0000-0000E6470000}"/>
    <cellStyle name="Note 7 10 5" xfId="20477" xr:uid="{00000000-0005-0000-0000-0000E7470000}"/>
    <cellStyle name="Note 7 11" xfId="5277" xr:uid="{00000000-0005-0000-0000-0000E8470000}"/>
    <cellStyle name="Note 7 11 2" xfId="9285" xr:uid="{00000000-0005-0000-0000-0000E9470000}"/>
    <cellStyle name="Note 7 11 2 2" xfId="18152" xr:uid="{00000000-0005-0000-0000-0000EA470000}"/>
    <cellStyle name="Note 7 11 2 2 2" xfId="32984" xr:uid="{00000000-0005-0000-0000-0000EB470000}"/>
    <cellStyle name="Note 7 11 2 3" xfId="24623" xr:uid="{00000000-0005-0000-0000-0000EC470000}"/>
    <cellStyle name="Note 7 11 3" xfId="15593" xr:uid="{00000000-0005-0000-0000-0000ED470000}"/>
    <cellStyle name="Note 7 11 3 2" xfId="30425" xr:uid="{00000000-0005-0000-0000-0000EE470000}"/>
    <cellStyle name="Note 7 11 4" xfId="22134" xr:uid="{00000000-0005-0000-0000-0000EF470000}"/>
    <cellStyle name="Note 7 12" xfId="5435" xr:uid="{00000000-0005-0000-0000-0000F0470000}"/>
    <cellStyle name="Note 7 12 2" xfId="15671" xr:uid="{00000000-0005-0000-0000-0000F1470000}"/>
    <cellStyle name="Note 7 12 2 2" xfId="30503" xr:uid="{00000000-0005-0000-0000-0000F2470000}"/>
    <cellStyle name="Note 7 12 3" xfId="22196" xr:uid="{00000000-0005-0000-0000-0000F3470000}"/>
    <cellStyle name="Note 7 13" xfId="9356" xr:uid="{00000000-0005-0000-0000-0000F4470000}"/>
    <cellStyle name="Note 7 13 2" xfId="24662" xr:uid="{00000000-0005-0000-0000-0000F5470000}"/>
    <cellStyle name="Note 7 14" xfId="5345" xr:uid="{00000000-0005-0000-0000-0000F6470000}"/>
    <cellStyle name="Note 7 14 2" xfId="18219" xr:uid="{00000000-0005-0000-0000-0000F7470000}"/>
    <cellStyle name="Note 7 2" xfId="1347" xr:uid="{00000000-0005-0000-0000-0000F8470000}"/>
    <cellStyle name="Note 7 2 2" xfId="1851" xr:uid="{00000000-0005-0000-0000-0000F9470000}"/>
    <cellStyle name="Note 7 2 2 2" xfId="3516" xr:uid="{00000000-0005-0000-0000-0000FA470000}"/>
    <cellStyle name="Note 7 2 2 2 2" xfId="7578" xr:uid="{00000000-0005-0000-0000-0000FB470000}"/>
    <cellStyle name="Note 7 2 2 2 2 2" xfId="17231" xr:uid="{00000000-0005-0000-0000-0000FC470000}"/>
    <cellStyle name="Note 7 2 2 2 2 2 2" xfId="32063" xr:uid="{00000000-0005-0000-0000-0000FD470000}"/>
    <cellStyle name="Note 7 2 2 2 2 3" xfId="23528" xr:uid="{00000000-0005-0000-0000-0000FE470000}"/>
    <cellStyle name="Note 7 2 2 2 3" xfId="13853" xr:uid="{00000000-0005-0000-0000-0000FF470000}"/>
    <cellStyle name="Note 7 2 2 2 3 2" xfId="28685" xr:uid="{00000000-0005-0000-0000-000000480000}"/>
    <cellStyle name="Note 7 2 2 2 4" xfId="10849" xr:uid="{00000000-0005-0000-0000-000001480000}"/>
    <cellStyle name="Note 7 2 2 2 4 2" xfId="25681" xr:uid="{00000000-0005-0000-0000-000002480000}"/>
    <cellStyle name="Note 7 2 2 2 5" xfId="21203" xr:uid="{00000000-0005-0000-0000-000003480000}"/>
    <cellStyle name="Note 7 2 2 3" xfId="4829" xr:uid="{00000000-0005-0000-0000-000004480000}"/>
    <cellStyle name="Note 7 2 2 3 2" xfId="8868" xr:uid="{00000000-0005-0000-0000-000005480000}"/>
    <cellStyle name="Note 7 2 2 3 2 2" xfId="17909" xr:uid="{00000000-0005-0000-0000-000006480000}"/>
    <cellStyle name="Note 7 2 2 3 2 2 2" xfId="32741" xr:uid="{00000000-0005-0000-0000-000007480000}"/>
    <cellStyle name="Note 7 2 2 3 2 3" xfId="24366" xr:uid="{00000000-0005-0000-0000-000008480000}"/>
    <cellStyle name="Note 7 2 2 3 3" xfId="15153" xr:uid="{00000000-0005-0000-0000-000009480000}"/>
    <cellStyle name="Note 7 2 2 3 3 2" xfId="29985" xr:uid="{00000000-0005-0000-0000-00000A480000}"/>
    <cellStyle name="Note 7 2 2 3 4" xfId="11512" xr:uid="{00000000-0005-0000-0000-00000B480000}"/>
    <cellStyle name="Note 7 2 2 3 4 2" xfId="26344" xr:uid="{00000000-0005-0000-0000-00000C480000}"/>
    <cellStyle name="Note 7 2 2 3 5" xfId="21904" xr:uid="{00000000-0005-0000-0000-00000D480000}"/>
    <cellStyle name="Note 7 2 2 4" xfId="2819" xr:uid="{00000000-0005-0000-0000-00000E480000}"/>
    <cellStyle name="Note 7 2 2 4 2" xfId="6910" xr:uid="{00000000-0005-0000-0000-00000F480000}"/>
    <cellStyle name="Note 7 2 2 4 2 2" xfId="16803" xr:uid="{00000000-0005-0000-0000-000010480000}"/>
    <cellStyle name="Note 7 2 2 4 2 2 2" xfId="31635" xr:uid="{00000000-0005-0000-0000-000011480000}"/>
    <cellStyle name="Note 7 2 2 4 2 3" xfId="23117" xr:uid="{00000000-0005-0000-0000-000012480000}"/>
    <cellStyle name="Note 7 2 2 4 3" xfId="13157" xr:uid="{00000000-0005-0000-0000-000013480000}"/>
    <cellStyle name="Note 7 2 2 4 3 2" xfId="27989" xr:uid="{00000000-0005-0000-0000-000014480000}"/>
    <cellStyle name="Note 7 2 2 4 4" xfId="10456" xr:uid="{00000000-0005-0000-0000-000015480000}"/>
    <cellStyle name="Note 7 2 2 4 4 2" xfId="25288" xr:uid="{00000000-0005-0000-0000-000016480000}"/>
    <cellStyle name="Note 7 2 2 4 5" xfId="20777" xr:uid="{00000000-0005-0000-0000-000017480000}"/>
    <cellStyle name="Note 7 2 2 5" xfId="5983" xr:uid="{00000000-0005-0000-0000-000018480000}"/>
    <cellStyle name="Note 7 2 2 5 2" xfId="16175" xr:uid="{00000000-0005-0000-0000-000019480000}"/>
    <cellStyle name="Note 7 2 2 5 2 2" xfId="31007" xr:uid="{00000000-0005-0000-0000-00001A480000}"/>
    <cellStyle name="Note 7 2 2 5 3" xfId="22548" xr:uid="{00000000-0005-0000-0000-00001B480000}"/>
    <cellStyle name="Note 7 2 2 6" xfId="12245" xr:uid="{00000000-0005-0000-0000-00001C480000}"/>
    <cellStyle name="Note 7 2 2 6 2" xfId="27077" xr:uid="{00000000-0005-0000-0000-00001D480000}"/>
    <cellStyle name="Note 7 2 2 7" xfId="9841" xr:uid="{00000000-0005-0000-0000-00001E480000}"/>
    <cellStyle name="Note 7 2 2 7 2" xfId="24767" xr:uid="{00000000-0005-0000-0000-00001F480000}"/>
    <cellStyle name="Note 7 2 2 8" xfId="20325" xr:uid="{00000000-0005-0000-0000-000020480000}"/>
    <cellStyle name="Note 7 2 3" xfId="3458" xr:uid="{00000000-0005-0000-0000-000021480000}"/>
    <cellStyle name="Note 7 2 3 2" xfId="7521" xr:uid="{00000000-0005-0000-0000-000022480000}"/>
    <cellStyle name="Note 7 2 3 2 2" xfId="17199" xr:uid="{00000000-0005-0000-0000-000023480000}"/>
    <cellStyle name="Note 7 2 3 2 2 2" xfId="32031" xr:uid="{00000000-0005-0000-0000-000024480000}"/>
    <cellStyle name="Note 7 2 3 2 3" xfId="23490" xr:uid="{00000000-0005-0000-0000-000025480000}"/>
    <cellStyle name="Note 7 2 3 3" xfId="13795" xr:uid="{00000000-0005-0000-0000-000026480000}"/>
    <cellStyle name="Note 7 2 3 3 2" xfId="28627" xr:uid="{00000000-0005-0000-0000-000027480000}"/>
    <cellStyle name="Note 7 2 3 4" xfId="10818" xr:uid="{00000000-0005-0000-0000-000028480000}"/>
    <cellStyle name="Note 7 2 3 4 2" xfId="25650" xr:uid="{00000000-0005-0000-0000-000029480000}"/>
    <cellStyle name="Note 7 2 3 5" xfId="21165" xr:uid="{00000000-0005-0000-0000-00002A480000}"/>
    <cellStyle name="Note 7 2 4" xfId="4409" xr:uid="{00000000-0005-0000-0000-00002B480000}"/>
    <cellStyle name="Note 7 2 4 2" xfId="8448" xr:uid="{00000000-0005-0000-0000-00002C480000}"/>
    <cellStyle name="Note 7 2 4 2 2" xfId="17669" xr:uid="{00000000-0005-0000-0000-00002D480000}"/>
    <cellStyle name="Note 7 2 4 2 2 2" xfId="32501" xr:uid="{00000000-0005-0000-0000-00002E480000}"/>
    <cellStyle name="Note 7 2 4 2 3" xfId="24106" xr:uid="{00000000-0005-0000-0000-00002F480000}"/>
    <cellStyle name="Note 7 2 4 3" xfId="14738" xr:uid="{00000000-0005-0000-0000-000030480000}"/>
    <cellStyle name="Note 7 2 4 3 2" xfId="29570" xr:uid="{00000000-0005-0000-0000-000031480000}"/>
    <cellStyle name="Note 7 2 4 4" xfId="11277" xr:uid="{00000000-0005-0000-0000-000032480000}"/>
    <cellStyle name="Note 7 2 4 4 2" xfId="26109" xr:uid="{00000000-0005-0000-0000-000033480000}"/>
    <cellStyle name="Note 7 2 4 5" xfId="21674" xr:uid="{00000000-0005-0000-0000-000034480000}"/>
    <cellStyle name="Note 7 2 5" xfId="2399" xr:uid="{00000000-0005-0000-0000-000035480000}"/>
    <cellStyle name="Note 7 2 5 2" xfId="6511" xr:uid="{00000000-0005-0000-0000-000036480000}"/>
    <cellStyle name="Note 7 2 5 2 2" xfId="16567" xr:uid="{00000000-0005-0000-0000-000037480000}"/>
    <cellStyle name="Note 7 2 5 2 2 2" xfId="31399" xr:uid="{00000000-0005-0000-0000-000038480000}"/>
    <cellStyle name="Note 7 2 5 2 3" xfId="22881" xr:uid="{00000000-0005-0000-0000-000039480000}"/>
    <cellStyle name="Note 7 2 5 3" xfId="12738" xr:uid="{00000000-0005-0000-0000-00003A480000}"/>
    <cellStyle name="Note 7 2 5 3 2" xfId="27570" xr:uid="{00000000-0005-0000-0000-00003B480000}"/>
    <cellStyle name="Note 7 2 5 4" xfId="10217" xr:uid="{00000000-0005-0000-0000-00003C480000}"/>
    <cellStyle name="Note 7 2 5 4 2" xfId="25049" xr:uid="{00000000-0005-0000-0000-00003D480000}"/>
    <cellStyle name="Note 7 2 5 5" xfId="20523" xr:uid="{00000000-0005-0000-0000-00003E480000}"/>
    <cellStyle name="Note 7 2 6" xfId="5524" xr:uid="{00000000-0005-0000-0000-00003F480000}"/>
    <cellStyle name="Note 7 2 6 2" xfId="15759" xr:uid="{00000000-0005-0000-0000-000040480000}"/>
    <cellStyle name="Note 7 2 6 2 2" xfId="30591" xr:uid="{00000000-0005-0000-0000-000041480000}"/>
    <cellStyle name="Note 7 2 6 3" xfId="22252" xr:uid="{00000000-0005-0000-0000-000042480000}"/>
    <cellStyle name="Note 7 2 7" xfId="11774" xr:uid="{00000000-0005-0000-0000-000043480000}"/>
    <cellStyle name="Note 7 2 7 2" xfId="26606" xr:uid="{00000000-0005-0000-0000-000044480000}"/>
    <cellStyle name="Note 7 2 8" xfId="9445" xr:uid="{00000000-0005-0000-0000-000045480000}"/>
    <cellStyle name="Note 7 2 8 2" xfId="19749" xr:uid="{00000000-0005-0000-0000-000046480000}"/>
    <cellStyle name="Note 7 3" xfId="1517" xr:uid="{00000000-0005-0000-0000-000047480000}"/>
    <cellStyle name="Note 7 3 2" xfId="2014" xr:uid="{00000000-0005-0000-0000-000048480000}"/>
    <cellStyle name="Note 7 3 2 2" xfId="3485" xr:uid="{00000000-0005-0000-0000-000049480000}"/>
    <cellStyle name="Note 7 3 2 2 2" xfId="7547" xr:uid="{00000000-0005-0000-0000-00004A480000}"/>
    <cellStyle name="Note 7 3 2 2 2 2" xfId="17209" xr:uid="{00000000-0005-0000-0000-00004B480000}"/>
    <cellStyle name="Note 7 3 2 2 2 2 2" xfId="32041" xr:uid="{00000000-0005-0000-0000-00004C480000}"/>
    <cellStyle name="Note 7 3 2 2 2 3" xfId="23511" xr:uid="{00000000-0005-0000-0000-00004D480000}"/>
    <cellStyle name="Note 7 3 2 2 3" xfId="13822" xr:uid="{00000000-0005-0000-0000-00004E480000}"/>
    <cellStyle name="Note 7 3 2 2 3 2" xfId="28654" xr:uid="{00000000-0005-0000-0000-00004F480000}"/>
    <cellStyle name="Note 7 3 2 2 4" xfId="10827" xr:uid="{00000000-0005-0000-0000-000050480000}"/>
    <cellStyle name="Note 7 3 2 2 4 2" xfId="25659" xr:uid="{00000000-0005-0000-0000-000051480000}"/>
    <cellStyle name="Note 7 3 2 2 5" xfId="21187" xr:uid="{00000000-0005-0000-0000-000052480000}"/>
    <cellStyle name="Note 7 3 2 3" xfId="4982" xr:uid="{00000000-0005-0000-0000-000053480000}"/>
    <cellStyle name="Note 7 3 2 3 2" xfId="9021" xr:uid="{00000000-0005-0000-0000-000054480000}"/>
    <cellStyle name="Note 7 3 2 3 2 2" xfId="17959" xr:uid="{00000000-0005-0000-0000-000055480000}"/>
    <cellStyle name="Note 7 3 2 3 2 2 2" xfId="32791" xr:uid="{00000000-0005-0000-0000-000056480000}"/>
    <cellStyle name="Note 7 3 2 3 2 3" xfId="24487" xr:uid="{00000000-0005-0000-0000-000057480000}"/>
    <cellStyle name="Note 7 3 2 3 3" xfId="15304" xr:uid="{00000000-0005-0000-0000-000058480000}"/>
    <cellStyle name="Note 7 3 2 3 3 2" xfId="30136" xr:uid="{00000000-0005-0000-0000-000059480000}"/>
    <cellStyle name="Note 7 3 2 3 4" xfId="11560" xr:uid="{00000000-0005-0000-0000-00005A480000}"/>
    <cellStyle name="Note 7 3 2 3 4 2" xfId="26392" xr:uid="{00000000-0005-0000-0000-00005B480000}"/>
    <cellStyle name="Note 7 3 2 3 5" xfId="22013" xr:uid="{00000000-0005-0000-0000-00005C480000}"/>
    <cellStyle name="Note 7 3 2 4" xfId="2972" xr:uid="{00000000-0005-0000-0000-00005D480000}"/>
    <cellStyle name="Note 7 3 2 4 2" xfId="7052" xr:uid="{00000000-0005-0000-0000-00005E480000}"/>
    <cellStyle name="Note 7 3 2 4 2 2" xfId="16851" xr:uid="{00000000-0005-0000-0000-00005F480000}"/>
    <cellStyle name="Note 7 3 2 4 2 2 2" xfId="31683" xr:uid="{00000000-0005-0000-0000-000060480000}"/>
    <cellStyle name="Note 7 3 2 4 2 3" xfId="23226" xr:uid="{00000000-0005-0000-0000-000061480000}"/>
    <cellStyle name="Note 7 3 2 4 3" xfId="13310" xr:uid="{00000000-0005-0000-0000-000062480000}"/>
    <cellStyle name="Note 7 3 2 4 3 2" xfId="28142" xr:uid="{00000000-0005-0000-0000-000063480000}"/>
    <cellStyle name="Note 7 3 2 4 4" xfId="10506" xr:uid="{00000000-0005-0000-0000-000064480000}"/>
    <cellStyle name="Note 7 3 2 4 4 2" xfId="25338" xr:uid="{00000000-0005-0000-0000-000065480000}"/>
    <cellStyle name="Note 7 3 2 4 5" xfId="20898" xr:uid="{00000000-0005-0000-0000-000066480000}"/>
    <cellStyle name="Note 7 3 2 5" xfId="6144" xr:uid="{00000000-0005-0000-0000-000067480000}"/>
    <cellStyle name="Note 7 3 2 5 2" xfId="16331" xr:uid="{00000000-0005-0000-0000-000068480000}"/>
    <cellStyle name="Note 7 3 2 5 2 2" xfId="31163" xr:uid="{00000000-0005-0000-0000-000069480000}"/>
    <cellStyle name="Note 7 3 2 5 3" xfId="22677" xr:uid="{00000000-0005-0000-0000-00006A480000}"/>
    <cellStyle name="Note 7 3 2 6" xfId="12401" xr:uid="{00000000-0005-0000-0000-00006B480000}"/>
    <cellStyle name="Note 7 3 2 6 2" xfId="27233" xr:uid="{00000000-0005-0000-0000-00006C480000}"/>
    <cellStyle name="Note 7 3 2 7" xfId="9983" xr:uid="{00000000-0005-0000-0000-00006D480000}"/>
    <cellStyle name="Note 7 3 2 7 2" xfId="24815" xr:uid="{00000000-0005-0000-0000-00006E480000}"/>
    <cellStyle name="Note 7 3 2 8" xfId="20356" xr:uid="{00000000-0005-0000-0000-00006F480000}"/>
    <cellStyle name="Note 7 3 3" xfId="3281" xr:uid="{00000000-0005-0000-0000-000070480000}"/>
    <cellStyle name="Note 7 3 3 2" xfId="7345" xr:uid="{00000000-0005-0000-0000-000071480000}"/>
    <cellStyle name="Note 7 3 3 2 2" xfId="17088" xr:uid="{00000000-0005-0000-0000-000072480000}"/>
    <cellStyle name="Note 7 3 3 2 2 2" xfId="31920" xr:uid="{00000000-0005-0000-0000-000073480000}"/>
    <cellStyle name="Note 7 3 3 2 3" xfId="23374" xr:uid="{00000000-0005-0000-0000-000074480000}"/>
    <cellStyle name="Note 7 3 3 3" xfId="13618" xr:uid="{00000000-0005-0000-0000-000075480000}"/>
    <cellStyle name="Note 7 3 3 3 2" xfId="28450" xr:uid="{00000000-0005-0000-0000-000076480000}"/>
    <cellStyle name="Note 7 3 3 4" xfId="10715" xr:uid="{00000000-0005-0000-0000-000077480000}"/>
    <cellStyle name="Note 7 3 3 4 2" xfId="25547" xr:uid="{00000000-0005-0000-0000-000078480000}"/>
    <cellStyle name="Note 7 3 3 5" xfId="21061" xr:uid="{00000000-0005-0000-0000-000079480000}"/>
    <cellStyle name="Note 7 3 4" xfId="4562" xr:uid="{00000000-0005-0000-0000-00007A480000}"/>
    <cellStyle name="Note 7 3 4 2" xfId="8601" xr:uid="{00000000-0005-0000-0000-00007B480000}"/>
    <cellStyle name="Note 7 3 4 2 2" xfId="17719" xr:uid="{00000000-0005-0000-0000-00007C480000}"/>
    <cellStyle name="Note 7 3 4 2 2 2" xfId="32551" xr:uid="{00000000-0005-0000-0000-00007D480000}"/>
    <cellStyle name="Note 7 3 4 2 3" xfId="24227" xr:uid="{00000000-0005-0000-0000-00007E480000}"/>
    <cellStyle name="Note 7 3 4 3" xfId="14889" xr:uid="{00000000-0005-0000-0000-00007F480000}"/>
    <cellStyle name="Note 7 3 4 3 2" xfId="29721" xr:uid="{00000000-0005-0000-0000-000080480000}"/>
    <cellStyle name="Note 7 3 4 4" xfId="11325" xr:uid="{00000000-0005-0000-0000-000081480000}"/>
    <cellStyle name="Note 7 3 4 4 2" xfId="26157" xr:uid="{00000000-0005-0000-0000-000082480000}"/>
    <cellStyle name="Note 7 3 4 5" xfId="21783" xr:uid="{00000000-0005-0000-0000-000083480000}"/>
    <cellStyle name="Note 7 3 5" xfId="2552" xr:uid="{00000000-0005-0000-0000-000084480000}"/>
    <cellStyle name="Note 7 3 5 2" xfId="6658" xr:uid="{00000000-0005-0000-0000-000085480000}"/>
    <cellStyle name="Note 7 3 5 2 2" xfId="16616" xr:uid="{00000000-0005-0000-0000-000086480000}"/>
    <cellStyle name="Note 7 3 5 2 2 2" xfId="31448" xr:uid="{00000000-0005-0000-0000-000087480000}"/>
    <cellStyle name="Note 7 3 5 2 3" xfId="22996" xr:uid="{00000000-0005-0000-0000-000088480000}"/>
    <cellStyle name="Note 7 3 5 3" xfId="12890" xr:uid="{00000000-0005-0000-0000-000089480000}"/>
    <cellStyle name="Note 7 3 5 3 2" xfId="27722" xr:uid="{00000000-0005-0000-0000-00008A480000}"/>
    <cellStyle name="Note 7 3 5 4" xfId="10266" xr:uid="{00000000-0005-0000-0000-00008B480000}"/>
    <cellStyle name="Note 7 3 5 4 2" xfId="25098" xr:uid="{00000000-0005-0000-0000-00008C480000}"/>
    <cellStyle name="Note 7 3 5 5" xfId="20638" xr:uid="{00000000-0005-0000-0000-00008D480000}"/>
    <cellStyle name="Note 7 3 6" xfId="5675" xr:uid="{00000000-0005-0000-0000-00008E480000}"/>
    <cellStyle name="Note 7 3 6 2" xfId="15910" xr:uid="{00000000-0005-0000-0000-00008F480000}"/>
    <cellStyle name="Note 7 3 6 2 2" xfId="30742" xr:uid="{00000000-0005-0000-0000-000090480000}"/>
    <cellStyle name="Note 7 3 6 3" xfId="22371" xr:uid="{00000000-0005-0000-0000-000091480000}"/>
    <cellStyle name="Note 7 3 7" xfId="11930" xr:uid="{00000000-0005-0000-0000-000092480000}"/>
    <cellStyle name="Note 7 3 7 2" xfId="26762" xr:uid="{00000000-0005-0000-0000-000093480000}"/>
    <cellStyle name="Note 7 3 8" xfId="9588" xr:uid="{00000000-0005-0000-0000-000094480000}"/>
    <cellStyle name="Note 7 3 8 2" xfId="19890" xr:uid="{00000000-0005-0000-0000-000095480000}"/>
    <cellStyle name="Note 7 4" xfId="1572" xr:uid="{00000000-0005-0000-0000-000096480000}"/>
    <cellStyle name="Note 7 4 2" xfId="2069" xr:uid="{00000000-0005-0000-0000-000097480000}"/>
    <cellStyle name="Note 7 4 2 2" xfId="3388" xr:uid="{00000000-0005-0000-0000-000098480000}"/>
    <cellStyle name="Note 7 4 2 2 2" xfId="7451" xr:uid="{00000000-0005-0000-0000-000099480000}"/>
    <cellStyle name="Note 7 4 2 2 2 2" xfId="17155" xr:uid="{00000000-0005-0000-0000-00009A480000}"/>
    <cellStyle name="Note 7 4 2 2 2 2 2" xfId="31987" xr:uid="{00000000-0005-0000-0000-00009B480000}"/>
    <cellStyle name="Note 7 4 2 2 2 3" xfId="23443" xr:uid="{00000000-0005-0000-0000-00009C480000}"/>
    <cellStyle name="Note 7 4 2 2 3" xfId="13725" xr:uid="{00000000-0005-0000-0000-00009D480000}"/>
    <cellStyle name="Note 7 4 2 2 3 2" xfId="28557" xr:uid="{00000000-0005-0000-0000-00009E480000}"/>
    <cellStyle name="Note 7 4 2 2 4" xfId="10774" xr:uid="{00000000-0005-0000-0000-00009F480000}"/>
    <cellStyle name="Note 7 4 2 2 4 2" xfId="25606" xr:uid="{00000000-0005-0000-0000-0000A0480000}"/>
    <cellStyle name="Note 7 4 2 2 5" xfId="21125" xr:uid="{00000000-0005-0000-0000-0000A1480000}"/>
    <cellStyle name="Note 7 4 2 3" xfId="5037" xr:uid="{00000000-0005-0000-0000-0000A2480000}"/>
    <cellStyle name="Note 7 4 2 3 2" xfId="9076" xr:uid="{00000000-0005-0000-0000-0000A3480000}"/>
    <cellStyle name="Note 7 4 2 3 2 2" xfId="18009" xr:uid="{00000000-0005-0000-0000-0000A4480000}"/>
    <cellStyle name="Note 7 4 2 3 2 2 2" xfId="32841" xr:uid="{00000000-0005-0000-0000-0000A5480000}"/>
    <cellStyle name="Note 7 4 2 3 2 3" xfId="24510" xr:uid="{00000000-0005-0000-0000-0000A6480000}"/>
    <cellStyle name="Note 7 4 2 3 3" xfId="15358" xr:uid="{00000000-0005-0000-0000-0000A7480000}"/>
    <cellStyle name="Note 7 4 2 3 3 2" xfId="30190" xr:uid="{00000000-0005-0000-0000-0000A8480000}"/>
    <cellStyle name="Note 7 4 2 3 4" xfId="11609" xr:uid="{00000000-0005-0000-0000-0000A9480000}"/>
    <cellStyle name="Note 7 4 2 3 4 2" xfId="26441" xr:uid="{00000000-0005-0000-0000-0000AA480000}"/>
    <cellStyle name="Note 7 4 2 3 5" xfId="22030" xr:uid="{00000000-0005-0000-0000-0000AB480000}"/>
    <cellStyle name="Note 7 4 2 4" xfId="3027" xr:uid="{00000000-0005-0000-0000-0000AC480000}"/>
    <cellStyle name="Note 7 4 2 4 2" xfId="7102" xr:uid="{00000000-0005-0000-0000-0000AD480000}"/>
    <cellStyle name="Note 7 4 2 4 2 2" xfId="16900" xr:uid="{00000000-0005-0000-0000-0000AE480000}"/>
    <cellStyle name="Note 7 4 2 4 2 2 2" xfId="31732" xr:uid="{00000000-0005-0000-0000-0000AF480000}"/>
    <cellStyle name="Note 7 4 2 4 2 3" xfId="23243" xr:uid="{00000000-0005-0000-0000-0000B0480000}"/>
    <cellStyle name="Note 7 4 2 4 3" xfId="13365" xr:uid="{00000000-0005-0000-0000-0000B1480000}"/>
    <cellStyle name="Note 7 4 2 4 3 2" xfId="28197" xr:uid="{00000000-0005-0000-0000-0000B2480000}"/>
    <cellStyle name="Note 7 4 2 4 4" xfId="10556" xr:uid="{00000000-0005-0000-0000-0000B3480000}"/>
    <cellStyle name="Note 7 4 2 4 4 2" xfId="25388" xr:uid="{00000000-0005-0000-0000-0000B4480000}"/>
    <cellStyle name="Note 7 4 2 4 5" xfId="20921" xr:uid="{00000000-0005-0000-0000-0000B5480000}"/>
    <cellStyle name="Note 7 4 2 5" xfId="6194" xr:uid="{00000000-0005-0000-0000-0000B6480000}"/>
    <cellStyle name="Note 7 4 2 5 2" xfId="16380" xr:uid="{00000000-0005-0000-0000-0000B7480000}"/>
    <cellStyle name="Note 7 4 2 5 2 2" xfId="31212" xr:uid="{00000000-0005-0000-0000-0000B8480000}"/>
    <cellStyle name="Note 7 4 2 5 3" xfId="22694" xr:uid="{00000000-0005-0000-0000-0000B9480000}"/>
    <cellStyle name="Note 7 4 2 6" xfId="12450" xr:uid="{00000000-0005-0000-0000-0000BA480000}"/>
    <cellStyle name="Note 7 4 2 6 2" xfId="27282" xr:uid="{00000000-0005-0000-0000-0000BB480000}"/>
    <cellStyle name="Note 7 4 2 7" xfId="10032" xr:uid="{00000000-0005-0000-0000-0000BC480000}"/>
    <cellStyle name="Note 7 4 2 7 2" xfId="24864" xr:uid="{00000000-0005-0000-0000-0000BD480000}"/>
    <cellStyle name="Note 7 4 2 8" xfId="20373" xr:uid="{00000000-0005-0000-0000-0000BE480000}"/>
    <cellStyle name="Note 7 4 3" xfId="3698" xr:uid="{00000000-0005-0000-0000-0000BF480000}"/>
    <cellStyle name="Note 7 4 3 2" xfId="7754" xr:uid="{00000000-0005-0000-0000-0000C0480000}"/>
    <cellStyle name="Note 7 4 3 2 2" xfId="17322" xr:uid="{00000000-0005-0000-0000-0000C1480000}"/>
    <cellStyle name="Note 7 4 3 2 2 2" xfId="32154" xr:uid="{00000000-0005-0000-0000-0000C2480000}"/>
    <cellStyle name="Note 7 4 3 2 3" xfId="23638" xr:uid="{00000000-0005-0000-0000-0000C3480000}"/>
    <cellStyle name="Note 7 4 3 3" xfId="14033" xr:uid="{00000000-0005-0000-0000-0000C4480000}"/>
    <cellStyle name="Note 7 4 3 3 2" xfId="28865" xr:uid="{00000000-0005-0000-0000-0000C5480000}"/>
    <cellStyle name="Note 7 4 3 4" xfId="10940" xr:uid="{00000000-0005-0000-0000-0000C6480000}"/>
    <cellStyle name="Note 7 4 3 4 2" xfId="25772" xr:uid="{00000000-0005-0000-0000-0000C7480000}"/>
    <cellStyle name="Note 7 4 3 5" xfId="21299" xr:uid="{00000000-0005-0000-0000-0000C8480000}"/>
    <cellStyle name="Note 7 4 4" xfId="4617" xr:uid="{00000000-0005-0000-0000-0000C9480000}"/>
    <cellStyle name="Note 7 4 4 2" xfId="8656" xr:uid="{00000000-0005-0000-0000-0000CA480000}"/>
    <cellStyle name="Note 7 4 4 2 2" xfId="17769" xr:uid="{00000000-0005-0000-0000-0000CB480000}"/>
    <cellStyle name="Note 7 4 4 2 2 2" xfId="32601" xr:uid="{00000000-0005-0000-0000-0000CC480000}"/>
    <cellStyle name="Note 7 4 4 2 3" xfId="24250" xr:uid="{00000000-0005-0000-0000-0000CD480000}"/>
    <cellStyle name="Note 7 4 4 3" xfId="14943" xr:uid="{00000000-0005-0000-0000-0000CE480000}"/>
    <cellStyle name="Note 7 4 4 3 2" xfId="29775" xr:uid="{00000000-0005-0000-0000-0000CF480000}"/>
    <cellStyle name="Note 7 4 4 4" xfId="11374" xr:uid="{00000000-0005-0000-0000-0000D0480000}"/>
    <cellStyle name="Note 7 4 4 4 2" xfId="26206" xr:uid="{00000000-0005-0000-0000-0000D1480000}"/>
    <cellStyle name="Note 7 4 4 5" xfId="21800" xr:uid="{00000000-0005-0000-0000-0000D2480000}"/>
    <cellStyle name="Note 7 4 5" xfId="2607" xr:uid="{00000000-0005-0000-0000-0000D3480000}"/>
    <cellStyle name="Note 7 4 5 2" xfId="6708" xr:uid="{00000000-0005-0000-0000-0000D4480000}"/>
    <cellStyle name="Note 7 4 5 2 2" xfId="16665" xr:uid="{00000000-0005-0000-0000-0000D5480000}"/>
    <cellStyle name="Note 7 4 5 2 2 2" xfId="31497" xr:uid="{00000000-0005-0000-0000-0000D6480000}"/>
    <cellStyle name="Note 7 4 5 2 3" xfId="23013" xr:uid="{00000000-0005-0000-0000-0000D7480000}"/>
    <cellStyle name="Note 7 4 5 3" xfId="12945" xr:uid="{00000000-0005-0000-0000-0000D8480000}"/>
    <cellStyle name="Note 7 4 5 3 2" xfId="27777" xr:uid="{00000000-0005-0000-0000-0000D9480000}"/>
    <cellStyle name="Note 7 4 5 4" xfId="10316" xr:uid="{00000000-0005-0000-0000-0000DA480000}"/>
    <cellStyle name="Note 7 4 5 4 2" xfId="25148" xr:uid="{00000000-0005-0000-0000-0000DB480000}"/>
    <cellStyle name="Note 7 4 5 5" xfId="20661" xr:uid="{00000000-0005-0000-0000-0000DC480000}"/>
    <cellStyle name="Note 7 4 6" xfId="5724" xr:uid="{00000000-0005-0000-0000-0000DD480000}"/>
    <cellStyle name="Note 7 4 6 2" xfId="15959" xr:uid="{00000000-0005-0000-0000-0000DE480000}"/>
    <cellStyle name="Note 7 4 6 2 2" xfId="30791" xr:uid="{00000000-0005-0000-0000-0000DF480000}"/>
    <cellStyle name="Note 7 4 6 3" xfId="22388" xr:uid="{00000000-0005-0000-0000-0000E0480000}"/>
    <cellStyle name="Note 7 4 7" xfId="11979" xr:uid="{00000000-0005-0000-0000-0000E1480000}"/>
    <cellStyle name="Note 7 4 7 2" xfId="26811" xr:uid="{00000000-0005-0000-0000-0000E2480000}"/>
    <cellStyle name="Note 7 4 8" xfId="9638" xr:uid="{00000000-0005-0000-0000-0000E3480000}"/>
    <cellStyle name="Note 7 4 8 2" xfId="19939" xr:uid="{00000000-0005-0000-0000-0000E4480000}"/>
    <cellStyle name="Note 7 5" xfId="1622" xr:uid="{00000000-0005-0000-0000-0000E5480000}"/>
    <cellStyle name="Note 7 5 2" xfId="2119" xr:uid="{00000000-0005-0000-0000-0000E6480000}"/>
    <cellStyle name="Note 7 5 2 2" xfId="3534" xr:uid="{00000000-0005-0000-0000-0000E7480000}"/>
    <cellStyle name="Note 7 5 2 2 2" xfId="7596" xr:uid="{00000000-0005-0000-0000-0000E8480000}"/>
    <cellStyle name="Note 7 5 2 2 2 2" xfId="17240" xr:uid="{00000000-0005-0000-0000-0000E9480000}"/>
    <cellStyle name="Note 7 5 2 2 2 2 2" xfId="32072" xr:uid="{00000000-0005-0000-0000-0000EA480000}"/>
    <cellStyle name="Note 7 5 2 2 2 3" xfId="23539" xr:uid="{00000000-0005-0000-0000-0000EB480000}"/>
    <cellStyle name="Note 7 5 2 2 3" xfId="13871" xr:uid="{00000000-0005-0000-0000-0000EC480000}"/>
    <cellStyle name="Note 7 5 2 2 3 2" xfId="28703" xr:uid="{00000000-0005-0000-0000-0000ED480000}"/>
    <cellStyle name="Note 7 5 2 2 4" xfId="10858" xr:uid="{00000000-0005-0000-0000-0000EE480000}"/>
    <cellStyle name="Note 7 5 2 2 4 2" xfId="25690" xr:uid="{00000000-0005-0000-0000-0000EF480000}"/>
    <cellStyle name="Note 7 5 2 2 5" xfId="21213" xr:uid="{00000000-0005-0000-0000-0000F0480000}"/>
    <cellStyle name="Note 7 5 2 3" xfId="5087" xr:uid="{00000000-0005-0000-0000-0000F1480000}"/>
    <cellStyle name="Note 7 5 2 3 2" xfId="9126" xr:uid="{00000000-0005-0000-0000-0000F2480000}"/>
    <cellStyle name="Note 7 5 2 3 2 2" xfId="18054" xr:uid="{00000000-0005-0000-0000-0000F3480000}"/>
    <cellStyle name="Note 7 5 2 3 2 2 2" xfId="32886" xr:uid="{00000000-0005-0000-0000-0000F4480000}"/>
    <cellStyle name="Note 7 5 2 3 2 3" xfId="24528" xr:uid="{00000000-0005-0000-0000-0000F5480000}"/>
    <cellStyle name="Note 7 5 2 3 3" xfId="15407" xr:uid="{00000000-0005-0000-0000-0000F6480000}"/>
    <cellStyle name="Note 7 5 2 3 3 2" xfId="30239" xr:uid="{00000000-0005-0000-0000-0000F7480000}"/>
    <cellStyle name="Note 7 5 2 3 4" xfId="11653" xr:uid="{00000000-0005-0000-0000-0000F8480000}"/>
    <cellStyle name="Note 7 5 2 3 4 2" xfId="26485" xr:uid="{00000000-0005-0000-0000-0000F9480000}"/>
    <cellStyle name="Note 7 5 2 3 5" xfId="22042" xr:uid="{00000000-0005-0000-0000-0000FA480000}"/>
    <cellStyle name="Note 7 5 2 4" xfId="3077" xr:uid="{00000000-0005-0000-0000-0000FB480000}"/>
    <cellStyle name="Note 7 5 2 4 2" xfId="7147" xr:uid="{00000000-0005-0000-0000-0000FC480000}"/>
    <cellStyle name="Note 7 5 2 4 2 2" xfId="16944" xr:uid="{00000000-0005-0000-0000-0000FD480000}"/>
    <cellStyle name="Note 7 5 2 4 2 2 2" xfId="31776" xr:uid="{00000000-0005-0000-0000-0000FE480000}"/>
    <cellStyle name="Note 7 5 2 4 2 3" xfId="23255" xr:uid="{00000000-0005-0000-0000-0000FF480000}"/>
    <cellStyle name="Note 7 5 2 4 3" xfId="13415" xr:uid="{00000000-0005-0000-0000-000000490000}"/>
    <cellStyle name="Note 7 5 2 4 3 2" xfId="28247" xr:uid="{00000000-0005-0000-0000-000001490000}"/>
    <cellStyle name="Note 7 5 2 4 4" xfId="10601" xr:uid="{00000000-0005-0000-0000-000002490000}"/>
    <cellStyle name="Note 7 5 2 4 4 2" xfId="25433" xr:uid="{00000000-0005-0000-0000-000003490000}"/>
    <cellStyle name="Note 7 5 2 4 5" xfId="20939" xr:uid="{00000000-0005-0000-0000-000004490000}"/>
    <cellStyle name="Note 7 5 2 5" xfId="6239" xr:uid="{00000000-0005-0000-0000-000005490000}"/>
    <cellStyle name="Note 7 5 2 5 2" xfId="16424" xr:uid="{00000000-0005-0000-0000-000006490000}"/>
    <cellStyle name="Note 7 5 2 5 2 2" xfId="31256" xr:uid="{00000000-0005-0000-0000-000007490000}"/>
    <cellStyle name="Note 7 5 2 5 3" xfId="22706" xr:uid="{00000000-0005-0000-0000-000008490000}"/>
    <cellStyle name="Note 7 5 2 6" xfId="12494" xr:uid="{00000000-0005-0000-0000-000009490000}"/>
    <cellStyle name="Note 7 5 2 6 2" xfId="27326" xr:uid="{00000000-0005-0000-0000-00000A490000}"/>
    <cellStyle name="Note 7 5 2 7" xfId="10076" xr:uid="{00000000-0005-0000-0000-00000B490000}"/>
    <cellStyle name="Note 7 5 2 7 2" xfId="24908" xr:uid="{00000000-0005-0000-0000-00000C490000}"/>
    <cellStyle name="Note 7 5 2 8" xfId="20385" xr:uid="{00000000-0005-0000-0000-00000D490000}"/>
    <cellStyle name="Note 7 5 3" xfId="3794" xr:uid="{00000000-0005-0000-0000-00000E490000}"/>
    <cellStyle name="Note 7 5 3 2" xfId="7849" xr:uid="{00000000-0005-0000-0000-00000F490000}"/>
    <cellStyle name="Note 7 5 3 2 2" xfId="17368" xr:uid="{00000000-0005-0000-0000-000010490000}"/>
    <cellStyle name="Note 7 5 3 2 2 2" xfId="32200" xr:uid="{00000000-0005-0000-0000-000011490000}"/>
    <cellStyle name="Note 7 5 3 2 3" xfId="23704" xr:uid="{00000000-0005-0000-0000-000012490000}"/>
    <cellStyle name="Note 7 5 3 3" xfId="14129" xr:uid="{00000000-0005-0000-0000-000013490000}"/>
    <cellStyle name="Note 7 5 3 3 2" xfId="28961" xr:uid="{00000000-0005-0000-0000-000014490000}"/>
    <cellStyle name="Note 7 5 3 4" xfId="10985" xr:uid="{00000000-0005-0000-0000-000015490000}"/>
    <cellStyle name="Note 7 5 3 4 2" xfId="25817" xr:uid="{00000000-0005-0000-0000-000016490000}"/>
    <cellStyle name="Note 7 5 3 5" xfId="21356" xr:uid="{00000000-0005-0000-0000-000017490000}"/>
    <cellStyle name="Note 7 5 4" xfId="4667" xr:uid="{00000000-0005-0000-0000-000018490000}"/>
    <cellStyle name="Note 7 5 4 2" xfId="8706" xr:uid="{00000000-0005-0000-0000-000019490000}"/>
    <cellStyle name="Note 7 5 4 2 2" xfId="17814" xr:uid="{00000000-0005-0000-0000-00001A490000}"/>
    <cellStyle name="Note 7 5 4 2 2 2" xfId="32646" xr:uid="{00000000-0005-0000-0000-00001B490000}"/>
    <cellStyle name="Note 7 5 4 2 3" xfId="24268" xr:uid="{00000000-0005-0000-0000-00001C490000}"/>
    <cellStyle name="Note 7 5 4 3" xfId="14992" xr:uid="{00000000-0005-0000-0000-00001D490000}"/>
    <cellStyle name="Note 7 5 4 3 2" xfId="29824" xr:uid="{00000000-0005-0000-0000-00001E490000}"/>
    <cellStyle name="Note 7 5 4 4" xfId="11418" xr:uid="{00000000-0005-0000-0000-00001F490000}"/>
    <cellStyle name="Note 7 5 4 4 2" xfId="26250" xr:uid="{00000000-0005-0000-0000-000020490000}"/>
    <cellStyle name="Note 7 5 4 5" xfId="21812" xr:uid="{00000000-0005-0000-0000-000021490000}"/>
    <cellStyle name="Note 7 5 5" xfId="2657" xr:uid="{00000000-0005-0000-0000-000022490000}"/>
    <cellStyle name="Note 7 5 5 2" xfId="6753" xr:uid="{00000000-0005-0000-0000-000023490000}"/>
    <cellStyle name="Note 7 5 5 2 2" xfId="16709" xr:uid="{00000000-0005-0000-0000-000024490000}"/>
    <cellStyle name="Note 7 5 5 2 2 2" xfId="31541" xr:uid="{00000000-0005-0000-0000-000025490000}"/>
    <cellStyle name="Note 7 5 5 2 3" xfId="23025" xr:uid="{00000000-0005-0000-0000-000026490000}"/>
    <cellStyle name="Note 7 5 5 3" xfId="12995" xr:uid="{00000000-0005-0000-0000-000027490000}"/>
    <cellStyle name="Note 7 5 5 3 2" xfId="27827" xr:uid="{00000000-0005-0000-0000-000028490000}"/>
    <cellStyle name="Note 7 5 5 4" xfId="10361" xr:uid="{00000000-0005-0000-0000-000029490000}"/>
    <cellStyle name="Note 7 5 5 4 2" xfId="25193" xr:uid="{00000000-0005-0000-0000-00002A490000}"/>
    <cellStyle name="Note 7 5 5 5" xfId="20679" xr:uid="{00000000-0005-0000-0000-00002B490000}"/>
    <cellStyle name="Note 7 5 6" xfId="5769" xr:uid="{00000000-0005-0000-0000-00002C490000}"/>
    <cellStyle name="Note 7 5 6 2" xfId="16003" xr:uid="{00000000-0005-0000-0000-00002D490000}"/>
    <cellStyle name="Note 7 5 6 2 2" xfId="30835" xr:uid="{00000000-0005-0000-0000-00002E490000}"/>
    <cellStyle name="Note 7 5 6 3" xfId="22400" xr:uid="{00000000-0005-0000-0000-00002F490000}"/>
    <cellStyle name="Note 7 5 7" xfId="12023" xr:uid="{00000000-0005-0000-0000-000030490000}"/>
    <cellStyle name="Note 7 5 7 2" xfId="26855" xr:uid="{00000000-0005-0000-0000-000031490000}"/>
    <cellStyle name="Note 7 5 8" xfId="9683" xr:uid="{00000000-0005-0000-0000-000032490000}"/>
    <cellStyle name="Note 7 5 8 2" xfId="19983" xr:uid="{00000000-0005-0000-0000-000033490000}"/>
    <cellStyle name="Note 7 6" xfId="1773" xr:uid="{00000000-0005-0000-0000-000034490000}"/>
    <cellStyle name="Note 7 6 2" xfId="3592" xr:uid="{00000000-0005-0000-0000-000035490000}"/>
    <cellStyle name="Note 7 6 2 2" xfId="7654" xr:uid="{00000000-0005-0000-0000-000036490000}"/>
    <cellStyle name="Note 7 6 2 2 2" xfId="17275" xr:uid="{00000000-0005-0000-0000-000037490000}"/>
    <cellStyle name="Note 7 6 2 2 2 2" xfId="32107" xr:uid="{00000000-0005-0000-0000-000038490000}"/>
    <cellStyle name="Note 7 6 2 2 3" xfId="23570" xr:uid="{00000000-0005-0000-0000-000039490000}"/>
    <cellStyle name="Note 7 6 2 3" xfId="13928" xr:uid="{00000000-0005-0000-0000-00003A490000}"/>
    <cellStyle name="Note 7 6 2 3 2" xfId="28760" xr:uid="{00000000-0005-0000-0000-00003B490000}"/>
    <cellStyle name="Note 7 6 2 4" xfId="10892" xr:uid="{00000000-0005-0000-0000-00003C490000}"/>
    <cellStyle name="Note 7 6 2 4 2" xfId="25724" xr:uid="{00000000-0005-0000-0000-00003D490000}"/>
    <cellStyle name="Note 7 6 2 5" xfId="21239" xr:uid="{00000000-0005-0000-0000-00003E490000}"/>
    <cellStyle name="Note 7 6 3" xfId="4751" xr:uid="{00000000-0005-0000-0000-00003F490000}"/>
    <cellStyle name="Note 7 6 3 2" xfId="8790" xr:uid="{00000000-0005-0000-0000-000040490000}"/>
    <cellStyle name="Note 7 6 3 2 2" xfId="17862" xr:uid="{00000000-0005-0000-0000-000041490000}"/>
    <cellStyle name="Note 7 6 3 2 2 2" xfId="32694" xr:uid="{00000000-0005-0000-0000-000042490000}"/>
    <cellStyle name="Note 7 6 3 2 3" xfId="24320" xr:uid="{00000000-0005-0000-0000-000043490000}"/>
    <cellStyle name="Note 7 6 3 3" xfId="15075" xr:uid="{00000000-0005-0000-0000-000044490000}"/>
    <cellStyle name="Note 7 6 3 3 2" xfId="29907" xr:uid="{00000000-0005-0000-0000-000045490000}"/>
    <cellStyle name="Note 7 6 3 4" xfId="11465" xr:uid="{00000000-0005-0000-0000-000046490000}"/>
    <cellStyle name="Note 7 6 3 4 2" xfId="26297" xr:uid="{00000000-0005-0000-0000-000047490000}"/>
    <cellStyle name="Note 7 6 3 5" xfId="21858" xr:uid="{00000000-0005-0000-0000-000048490000}"/>
    <cellStyle name="Note 7 6 4" xfId="2741" xr:uid="{00000000-0005-0000-0000-000049490000}"/>
    <cellStyle name="Note 7 6 4 2" xfId="6832" xr:uid="{00000000-0005-0000-0000-00004A490000}"/>
    <cellStyle name="Note 7 6 4 2 2" xfId="16756" xr:uid="{00000000-0005-0000-0000-00004B490000}"/>
    <cellStyle name="Note 7 6 4 2 2 2" xfId="31588" xr:uid="{00000000-0005-0000-0000-00004C490000}"/>
    <cellStyle name="Note 7 6 4 2 3" xfId="23071" xr:uid="{00000000-0005-0000-0000-00004D490000}"/>
    <cellStyle name="Note 7 6 4 3" xfId="13079" xr:uid="{00000000-0005-0000-0000-00004E490000}"/>
    <cellStyle name="Note 7 6 4 3 2" xfId="27911" xr:uid="{00000000-0005-0000-0000-00004F490000}"/>
    <cellStyle name="Note 7 6 4 4" xfId="10409" xr:uid="{00000000-0005-0000-0000-000050490000}"/>
    <cellStyle name="Note 7 6 4 4 2" xfId="25241" xr:uid="{00000000-0005-0000-0000-000051490000}"/>
    <cellStyle name="Note 7 6 4 5" xfId="20731" xr:uid="{00000000-0005-0000-0000-000052490000}"/>
    <cellStyle name="Note 7 6 5" xfId="5905" xr:uid="{00000000-0005-0000-0000-000053490000}"/>
    <cellStyle name="Note 7 6 5 2" xfId="16097" xr:uid="{00000000-0005-0000-0000-000054490000}"/>
    <cellStyle name="Note 7 6 5 2 2" xfId="30929" xr:uid="{00000000-0005-0000-0000-000055490000}"/>
    <cellStyle name="Note 7 6 5 3" xfId="22502" xr:uid="{00000000-0005-0000-0000-000056490000}"/>
    <cellStyle name="Note 7 6 6" xfId="12167" xr:uid="{00000000-0005-0000-0000-000057490000}"/>
    <cellStyle name="Note 7 6 6 2" xfId="26999" xr:uid="{00000000-0005-0000-0000-000058490000}"/>
    <cellStyle name="Note 7 6 7" xfId="9763" xr:uid="{00000000-0005-0000-0000-000059490000}"/>
    <cellStyle name="Note 7 6 7 2" xfId="24720" xr:uid="{00000000-0005-0000-0000-00005A490000}"/>
    <cellStyle name="Note 7 6 8" xfId="20310" xr:uid="{00000000-0005-0000-0000-00005B490000}"/>
    <cellStyle name="Note 7 7" xfId="2193" xr:uid="{00000000-0005-0000-0000-00005C490000}"/>
    <cellStyle name="Note 7 7 2" xfId="3801" xr:uid="{00000000-0005-0000-0000-00005D490000}"/>
    <cellStyle name="Note 7 7 2 2" xfId="7856" xr:uid="{00000000-0005-0000-0000-00005E490000}"/>
    <cellStyle name="Note 7 7 2 2 2" xfId="17371" xr:uid="{00000000-0005-0000-0000-00005F490000}"/>
    <cellStyle name="Note 7 7 2 2 2 2" xfId="32203" xr:uid="{00000000-0005-0000-0000-000060490000}"/>
    <cellStyle name="Note 7 7 2 2 3" xfId="23709" xr:uid="{00000000-0005-0000-0000-000061490000}"/>
    <cellStyle name="Note 7 7 2 3" xfId="14136" xr:uid="{00000000-0005-0000-0000-000062490000}"/>
    <cellStyle name="Note 7 7 2 3 2" xfId="28968" xr:uid="{00000000-0005-0000-0000-000063490000}"/>
    <cellStyle name="Note 7 7 2 4" xfId="10988" xr:uid="{00000000-0005-0000-0000-000064490000}"/>
    <cellStyle name="Note 7 7 2 4 2" xfId="25820" xr:uid="{00000000-0005-0000-0000-000065490000}"/>
    <cellStyle name="Note 7 7 2 5" xfId="21360" xr:uid="{00000000-0005-0000-0000-000066490000}"/>
    <cellStyle name="Note 7 7 3" xfId="5161" xr:uid="{00000000-0005-0000-0000-000067490000}"/>
    <cellStyle name="Note 7 7 3 2" xfId="9200" xr:uid="{00000000-0005-0000-0000-000068490000}"/>
    <cellStyle name="Note 7 7 3 2 2" xfId="18123" xr:uid="{00000000-0005-0000-0000-000069490000}"/>
    <cellStyle name="Note 7 7 3 2 2 2" xfId="32955" xr:uid="{00000000-0005-0000-0000-00006A490000}"/>
    <cellStyle name="Note 7 7 3 2 3" xfId="24538" xr:uid="{00000000-0005-0000-0000-00006B490000}"/>
    <cellStyle name="Note 7 7 3 3" xfId="15479" xr:uid="{00000000-0005-0000-0000-00006C490000}"/>
    <cellStyle name="Note 7 7 3 3 2" xfId="30311" xr:uid="{00000000-0005-0000-0000-00006D490000}"/>
    <cellStyle name="Note 7 7 3 4" xfId="11720" xr:uid="{00000000-0005-0000-0000-00006E490000}"/>
    <cellStyle name="Note 7 7 3 4 2" xfId="26552" xr:uid="{00000000-0005-0000-0000-00006F490000}"/>
    <cellStyle name="Note 7 7 3 5" xfId="22045" xr:uid="{00000000-0005-0000-0000-000070490000}"/>
    <cellStyle name="Note 7 7 4" xfId="4191" xr:uid="{00000000-0005-0000-0000-000071490000}"/>
    <cellStyle name="Note 7 7 4 2" xfId="8232" xr:uid="{00000000-0005-0000-0000-000072490000}"/>
    <cellStyle name="Note 7 7 4 2 2" xfId="17579" xr:uid="{00000000-0005-0000-0000-000073490000}"/>
    <cellStyle name="Note 7 7 4 2 2 2" xfId="32411" xr:uid="{00000000-0005-0000-0000-000074490000}"/>
    <cellStyle name="Note 7 7 4 2 3" xfId="23927" xr:uid="{00000000-0005-0000-0000-000075490000}"/>
    <cellStyle name="Note 7 7 4 3" xfId="14523" xr:uid="{00000000-0005-0000-0000-000076490000}"/>
    <cellStyle name="Note 7 7 4 3 2" xfId="29355" xr:uid="{00000000-0005-0000-0000-000077490000}"/>
    <cellStyle name="Note 7 7 4 4" xfId="11199" xr:uid="{00000000-0005-0000-0000-000078490000}"/>
    <cellStyle name="Note 7 7 4 4 2" xfId="26031" xr:uid="{00000000-0005-0000-0000-000079490000}"/>
    <cellStyle name="Note 7 7 4 5" xfId="21552" xr:uid="{00000000-0005-0000-0000-00007A490000}"/>
    <cellStyle name="Note 7 7 5" xfId="6307" xr:uid="{00000000-0005-0000-0000-00007B490000}"/>
    <cellStyle name="Note 7 7 5 2" xfId="16491" xr:uid="{00000000-0005-0000-0000-00007C490000}"/>
    <cellStyle name="Note 7 7 5 2 2" xfId="31323" xr:uid="{00000000-0005-0000-0000-00007D490000}"/>
    <cellStyle name="Note 7 7 5 3" xfId="22709" xr:uid="{00000000-0005-0000-0000-00007E490000}"/>
    <cellStyle name="Note 7 7 6" xfId="12561" xr:uid="{00000000-0005-0000-0000-00007F490000}"/>
    <cellStyle name="Note 7 7 6 2" xfId="27393" xr:uid="{00000000-0005-0000-0000-000080490000}"/>
    <cellStyle name="Note 7 7 7" xfId="10143" xr:uid="{00000000-0005-0000-0000-000081490000}"/>
    <cellStyle name="Note 7 7 7 2" xfId="24975" xr:uid="{00000000-0005-0000-0000-000082490000}"/>
    <cellStyle name="Note 7 7 8" xfId="20388" xr:uid="{00000000-0005-0000-0000-000083490000}"/>
    <cellStyle name="Note 7 8" xfId="3298" xr:uid="{00000000-0005-0000-0000-000084490000}"/>
    <cellStyle name="Note 7 8 2" xfId="7362" xr:uid="{00000000-0005-0000-0000-000085490000}"/>
    <cellStyle name="Note 7 8 2 2" xfId="17103" xr:uid="{00000000-0005-0000-0000-000086490000}"/>
    <cellStyle name="Note 7 8 2 2 2" xfId="31935" xr:uid="{00000000-0005-0000-0000-000087490000}"/>
    <cellStyle name="Note 7 8 2 3" xfId="23385" xr:uid="{00000000-0005-0000-0000-000088490000}"/>
    <cellStyle name="Note 7 8 3" xfId="13635" xr:uid="{00000000-0005-0000-0000-000089490000}"/>
    <cellStyle name="Note 7 8 3 2" xfId="28467" xr:uid="{00000000-0005-0000-0000-00008A490000}"/>
    <cellStyle name="Note 7 8 4" xfId="10727" xr:uid="{00000000-0005-0000-0000-00008B490000}"/>
    <cellStyle name="Note 7 8 4 2" xfId="25559" xr:uid="{00000000-0005-0000-0000-00008C490000}"/>
    <cellStyle name="Note 7 8 5" xfId="21072" xr:uid="{00000000-0005-0000-0000-00008D490000}"/>
    <cellStyle name="Note 7 9" xfId="3344" xr:uid="{00000000-0005-0000-0000-00008E490000}"/>
    <cellStyle name="Note 7 9 2" xfId="7407" xr:uid="{00000000-0005-0000-0000-00008F490000}"/>
    <cellStyle name="Note 7 9 2 2" xfId="17135" xr:uid="{00000000-0005-0000-0000-000090490000}"/>
    <cellStyle name="Note 7 9 2 2 2" xfId="31967" xr:uid="{00000000-0005-0000-0000-000091490000}"/>
    <cellStyle name="Note 7 9 2 3" xfId="23412" xr:uid="{00000000-0005-0000-0000-000092490000}"/>
    <cellStyle name="Note 7 9 3" xfId="13681" xr:uid="{00000000-0005-0000-0000-000093490000}"/>
    <cellStyle name="Note 7 9 3 2" xfId="28513" xr:uid="{00000000-0005-0000-0000-000094490000}"/>
    <cellStyle name="Note 7 9 4" xfId="10754" xr:uid="{00000000-0005-0000-0000-000095490000}"/>
    <cellStyle name="Note 7 9 4 2" xfId="25586" xr:uid="{00000000-0005-0000-0000-000096490000}"/>
    <cellStyle name="Note 7 9 5" xfId="21099" xr:uid="{00000000-0005-0000-0000-000097490000}"/>
    <cellStyle name="Note 8" xfId="1229" xr:uid="{00000000-0005-0000-0000-000098490000}"/>
    <cellStyle name="Note 8 10" xfId="2315" xr:uid="{00000000-0005-0000-0000-000099490000}"/>
    <cellStyle name="Note 8 10 2" xfId="6427" xr:uid="{00000000-0005-0000-0000-00009A490000}"/>
    <cellStyle name="Note 8 10 2 2" xfId="16520" xr:uid="{00000000-0005-0000-0000-00009B490000}"/>
    <cellStyle name="Note 8 10 2 2 2" xfId="31352" xr:uid="{00000000-0005-0000-0000-00009C490000}"/>
    <cellStyle name="Note 8 10 2 3" xfId="22829" xr:uid="{00000000-0005-0000-0000-00009D490000}"/>
    <cellStyle name="Note 8 10 3" xfId="12655" xr:uid="{00000000-0005-0000-0000-00009E490000}"/>
    <cellStyle name="Note 8 10 3 2" xfId="27487" xr:uid="{00000000-0005-0000-0000-00009F490000}"/>
    <cellStyle name="Note 8 10 4" xfId="10171" xr:uid="{00000000-0005-0000-0000-0000A0490000}"/>
    <cellStyle name="Note 8 10 4 2" xfId="25003" xr:uid="{00000000-0005-0000-0000-0000A1490000}"/>
    <cellStyle name="Note 8 10 5" xfId="20478" xr:uid="{00000000-0005-0000-0000-0000A2490000}"/>
    <cellStyle name="Note 8 11" xfId="5278" xr:uid="{00000000-0005-0000-0000-0000A3490000}"/>
    <cellStyle name="Note 8 11 2" xfId="9286" xr:uid="{00000000-0005-0000-0000-0000A4490000}"/>
    <cellStyle name="Note 8 11 2 2" xfId="18153" xr:uid="{00000000-0005-0000-0000-0000A5490000}"/>
    <cellStyle name="Note 8 11 2 2 2" xfId="32985" xr:uid="{00000000-0005-0000-0000-0000A6490000}"/>
    <cellStyle name="Note 8 11 2 3" xfId="24624" xr:uid="{00000000-0005-0000-0000-0000A7490000}"/>
    <cellStyle name="Note 8 11 3" xfId="15594" xr:uid="{00000000-0005-0000-0000-0000A8490000}"/>
    <cellStyle name="Note 8 11 3 2" xfId="30426" xr:uid="{00000000-0005-0000-0000-0000A9490000}"/>
    <cellStyle name="Note 8 11 4" xfId="22135" xr:uid="{00000000-0005-0000-0000-0000AA490000}"/>
    <cellStyle name="Note 8 12" xfId="5436" xr:uid="{00000000-0005-0000-0000-0000AB490000}"/>
    <cellStyle name="Note 8 12 2" xfId="15672" xr:uid="{00000000-0005-0000-0000-0000AC490000}"/>
    <cellStyle name="Note 8 12 2 2" xfId="30504" xr:uid="{00000000-0005-0000-0000-0000AD490000}"/>
    <cellStyle name="Note 8 12 3" xfId="22197" xr:uid="{00000000-0005-0000-0000-0000AE490000}"/>
    <cellStyle name="Note 8 13" xfId="9355" xr:uid="{00000000-0005-0000-0000-0000AF490000}"/>
    <cellStyle name="Note 8 13 2" xfId="24661" xr:uid="{00000000-0005-0000-0000-0000B0490000}"/>
    <cellStyle name="Note 8 14" xfId="5344" xr:uid="{00000000-0005-0000-0000-0000B1490000}"/>
    <cellStyle name="Note 8 14 2" xfId="18218" xr:uid="{00000000-0005-0000-0000-0000B2490000}"/>
    <cellStyle name="Note 8 2" xfId="1348" xr:uid="{00000000-0005-0000-0000-0000B3490000}"/>
    <cellStyle name="Note 8 2 2" xfId="1852" xr:uid="{00000000-0005-0000-0000-0000B4490000}"/>
    <cellStyle name="Note 8 2 2 2" xfId="4142" xr:uid="{00000000-0005-0000-0000-0000B5490000}"/>
    <cellStyle name="Note 8 2 2 2 2" xfId="8186" xr:uid="{00000000-0005-0000-0000-0000B6490000}"/>
    <cellStyle name="Note 8 2 2 2 2 2" xfId="17541" xr:uid="{00000000-0005-0000-0000-0000B7490000}"/>
    <cellStyle name="Note 8 2 2 2 2 2 2" xfId="32373" xr:uid="{00000000-0005-0000-0000-0000B8490000}"/>
    <cellStyle name="Note 8 2 2 2 2 3" xfId="23915" xr:uid="{00000000-0005-0000-0000-0000B9490000}"/>
    <cellStyle name="Note 8 2 2 2 3" xfId="14474" xr:uid="{00000000-0005-0000-0000-0000BA490000}"/>
    <cellStyle name="Note 8 2 2 2 3 2" xfId="29306" xr:uid="{00000000-0005-0000-0000-0000BB490000}"/>
    <cellStyle name="Note 8 2 2 2 4" xfId="11159" xr:uid="{00000000-0005-0000-0000-0000BC490000}"/>
    <cellStyle name="Note 8 2 2 2 4 2" xfId="25991" xr:uid="{00000000-0005-0000-0000-0000BD490000}"/>
    <cellStyle name="Note 8 2 2 2 5" xfId="21542" xr:uid="{00000000-0005-0000-0000-0000BE490000}"/>
    <cellStyle name="Note 8 2 2 3" xfId="4830" xr:uid="{00000000-0005-0000-0000-0000BF490000}"/>
    <cellStyle name="Note 8 2 2 3 2" xfId="8869" xr:uid="{00000000-0005-0000-0000-0000C0490000}"/>
    <cellStyle name="Note 8 2 2 3 2 2" xfId="17910" xr:uid="{00000000-0005-0000-0000-0000C1490000}"/>
    <cellStyle name="Note 8 2 2 3 2 2 2" xfId="32742" xr:uid="{00000000-0005-0000-0000-0000C2490000}"/>
    <cellStyle name="Note 8 2 2 3 2 3" xfId="24367" xr:uid="{00000000-0005-0000-0000-0000C3490000}"/>
    <cellStyle name="Note 8 2 2 3 3" xfId="15154" xr:uid="{00000000-0005-0000-0000-0000C4490000}"/>
    <cellStyle name="Note 8 2 2 3 3 2" xfId="29986" xr:uid="{00000000-0005-0000-0000-0000C5490000}"/>
    <cellStyle name="Note 8 2 2 3 4" xfId="11513" xr:uid="{00000000-0005-0000-0000-0000C6490000}"/>
    <cellStyle name="Note 8 2 2 3 4 2" xfId="26345" xr:uid="{00000000-0005-0000-0000-0000C7490000}"/>
    <cellStyle name="Note 8 2 2 3 5" xfId="21905" xr:uid="{00000000-0005-0000-0000-0000C8490000}"/>
    <cellStyle name="Note 8 2 2 4" xfId="2820" xr:uid="{00000000-0005-0000-0000-0000C9490000}"/>
    <cellStyle name="Note 8 2 2 4 2" xfId="6911" xr:uid="{00000000-0005-0000-0000-0000CA490000}"/>
    <cellStyle name="Note 8 2 2 4 2 2" xfId="16804" xr:uid="{00000000-0005-0000-0000-0000CB490000}"/>
    <cellStyle name="Note 8 2 2 4 2 2 2" xfId="31636" xr:uid="{00000000-0005-0000-0000-0000CC490000}"/>
    <cellStyle name="Note 8 2 2 4 2 3" xfId="23118" xr:uid="{00000000-0005-0000-0000-0000CD490000}"/>
    <cellStyle name="Note 8 2 2 4 3" xfId="13158" xr:uid="{00000000-0005-0000-0000-0000CE490000}"/>
    <cellStyle name="Note 8 2 2 4 3 2" xfId="27990" xr:uid="{00000000-0005-0000-0000-0000CF490000}"/>
    <cellStyle name="Note 8 2 2 4 4" xfId="10457" xr:uid="{00000000-0005-0000-0000-0000D0490000}"/>
    <cellStyle name="Note 8 2 2 4 4 2" xfId="25289" xr:uid="{00000000-0005-0000-0000-0000D1490000}"/>
    <cellStyle name="Note 8 2 2 4 5" xfId="20778" xr:uid="{00000000-0005-0000-0000-0000D2490000}"/>
    <cellStyle name="Note 8 2 2 5" xfId="5984" xr:uid="{00000000-0005-0000-0000-0000D3490000}"/>
    <cellStyle name="Note 8 2 2 5 2" xfId="16176" xr:uid="{00000000-0005-0000-0000-0000D4490000}"/>
    <cellStyle name="Note 8 2 2 5 2 2" xfId="31008" xr:uid="{00000000-0005-0000-0000-0000D5490000}"/>
    <cellStyle name="Note 8 2 2 5 3" xfId="22549" xr:uid="{00000000-0005-0000-0000-0000D6490000}"/>
    <cellStyle name="Note 8 2 2 6" xfId="12246" xr:uid="{00000000-0005-0000-0000-0000D7490000}"/>
    <cellStyle name="Note 8 2 2 6 2" xfId="27078" xr:uid="{00000000-0005-0000-0000-0000D8490000}"/>
    <cellStyle name="Note 8 2 2 7" xfId="9842" xr:uid="{00000000-0005-0000-0000-0000D9490000}"/>
    <cellStyle name="Note 8 2 2 7 2" xfId="24768" xr:uid="{00000000-0005-0000-0000-0000DA490000}"/>
    <cellStyle name="Note 8 2 2 8" xfId="20326" xr:uid="{00000000-0005-0000-0000-0000DB490000}"/>
    <cellStyle name="Note 8 2 3" xfId="3791" xr:uid="{00000000-0005-0000-0000-0000DC490000}"/>
    <cellStyle name="Note 8 2 3 2" xfId="7846" xr:uid="{00000000-0005-0000-0000-0000DD490000}"/>
    <cellStyle name="Note 8 2 3 2 2" xfId="17366" xr:uid="{00000000-0005-0000-0000-0000DE490000}"/>
    <cellStyle name="Note 8 2 3 2 2 2" xfId="32198" xr:uid="{00000000-0005-0000-0000-0000DF490000}"/>
    <cellStyle name="Note 8 2 3 2 3" xfId="23701" xr:uid="{00000000-0005-0000-0000-0000E0490000}"/>
    <cellStyle name="Note 8 2 3 3" xfId="14126" xr:uid="{00000000-0005-0000-0000-0000E1490000}"/>
    <cellStyle name="Note 8 2 3 3 2" xfId="28958" xr:uid="{00000000-0005-0000-0000-0000E2490000}"/>
    <cellStyle name="Note 8 2 3 4" xfId="10983" xr:uid="{00000000-0005-0000-0000-0000E3490000}"/>
    <cellStyle name="Note 8 2 3 4 2" xfId="25815" xr:uid="{00000000-0005-0000-0000-0000E4490000}"/>
    <cellStyle name="Note 8 2 3 5" xfId="21353" xr:uid="{00000000-0005-0000-0000-0000E5490000}"/>
    <cellStyle name="Note 8 2 4" xfId="4410" xr:uid="{00000000-0005-0000-0000-0000E6490000}"/>
    <cellStyle name="Note 8 2 4 2" xfId="8449" xr:uid="{00000000-0005-0000-0000-0000E7490000}"/>
    <cellStyle name="Note 8 2 4 2 2" xfId="17670" xr:uid="{00000000-0005-0000-0000-0000E8490000}"/>
    <cellStyle name="Note 8 2 4 2 2 2" xfId="32502" xr:uid="{00000000-0005-0000-0000-0000E9490000}"/>
    <cellStyle name="Note 8 2 4 2 3" xfId="24107" xr:uid="{00000000-0005-0000-0000-0000EA490000}"/>
    <cellStyle name="Note 8 2 4 3" xfId="14739" xr:uid="{00000000-0005-0000-0000-0000EB490000}"/>
    <cellStyle name="Note 8 2 4 3 2" xfId="29571" xr:uid="{00000000-0005-0000-0000-0000EC490000}"/>
    <cellStyle name="Note 8 2 4 4" xfId="11278" xr:uid="{00000000-0005-0000-0000-0000ED490000}"/>
    <cellStyle name="Note 8 2 4 4 2" xfId="26110" xr:uid="{00000000-0005-0000-0000-0000EE490000}"/>
    <cellStyle name="Note 8 2 4 5" xfId="21675" xr:uid="{00000000-0005-0000-0000-0000EF490000}"/>
    <cellStyle name="Note 8 2 5" xfId="2400" xr:uid="{00000000-0005-0000-0000-0000F0490000}"/>
    <cellStyle name="Note 8 2 5 2" xfId="6512" xr:uid="{00000000-0005-0000-0000-0000F1490000}"/>
    <cellStyle name="Note 8 2 5 2 2" xfId="16568" xr:uid="{00000000-0005-0000-0000-0000F2490000}"/>
    <cellStyle name="Note 8 2 5 2 2 2" xfId="31400" xr:uid="{00000000-0005-0000-0000-0000F3490000}"/>
    <cellStyle name="Note 8 2 5 2 3" xfId="22882" xr:uid="{00000000-0005-0000-0000-0000F4490000}"/>
    <cellStyle name="Note 8 2 5 3" xfId="12739" xr:uid="{00000000-0005-0000-0000-0000F5490000}"/>
    <cellStyle name="Note 8 2 5 3 2" xfId="27571" xr:uid="{00000000-0005-0000-0000-0000F6490000}"/>
    <cellStyle name="Note 8 2 5 4" xfId="10218" xr:uid="{00000000-0005-0000-0000-0000F7490000}"/>
    <cellStyle name="Note 8 2 5 4 2" xfId="25050" xr:uid="{00000000-0005-0000-0000-0000F8490000}"/>
    <cellStyle name="Note 8 2 5 5" xfId="20524" xr:uid="{00000000-0005-0000-0000-0000F9490000}"/>
    <cellStyle name="Note 8 2 6" xfId="5525" xr:uid="{00000000-0005-0000-0000-0000FA490000}"/>
    <cellStyle name="Note 8 2 6 2" xfId="15760" xr:uid="{00000000-0005-0000-0000-0000FB490000}"/>
    <cellStyle name="Note 8 2 6 2 2" xfId="30592" xr:uid="{00000000-0005-0000-0000-0000FC490000}"/>
    <cellStyle name="Note 8 2 6 3" xfId="22253" xr:uid="{00000000-0005-0000-0000-0000FD490000}"/>
    <cellStyle name="Note 8 2 7" xfId="11775" xr:uid="{00000000-0005-0000-0000-0000FE490000}"/>
    <cellStyle name="Note 8 2 7 2" xfId="26607" xr:uid="{00000000-0005-0000-0000-0000FF490000}"/>
    <cellStyle name="Note 8 2 8" xfId="9446" xr:uid="{00000000-0005-0000-0000-0000004A0000}"/>
    <cellStyle name="Note 8 2 8 2" xfId="19750" xr:uid="{00000000-0005-0000-0000-0000014A0000}"/>
    <cellStyle name="Note 8 3" xfId="1518" xr:uid="{00000000-0005-0000-0000-0000024A0000}"/>
    <cellStyle name="Note 8 3 2" xfId="2015" xr:uid="{00000000-0005-0000-0000-0000034A0000}"/>
    <cellStyle name="Note 8 3 2 2" xfId="3954" xr:uid="{00000000-0005-0000-0000-0000044A0000}"/>
    <cellStyle name="Note 8 3 2 2 2" xfId="8004" xr:uid="{00000000-0005-0000-0000-0000054A0000}"/>
    <cellStyle name="Note 8 3 2 2 2 2" xfId="17446" xr:uid="{00000000-0005-0000-0000-0000064A0000}"/>
    <cellStyle name="Note 8 3 2 2 2 2 2" xfId="32278" xr:uid="{00000000-0005-0000-0000-0000074A0000}"/>
    <cellStyle name="Note 8 3 2 2 2 3" xfId="23802" xr:uid="{00000000-0005-0000-0000-0000084A0000}"/>
    <cellStyle name="Note 8 3 2 2 3" xfId="14287" xr:uid="{00000000-0005-0000-0000-0000094A0000}"/>
    <cellStyle name="Note 8 3 2 2 3 2" xfId="29119" xr:uid="{00000000-0005-0000-0000-00000A4A0000}"/>
    <cellStyle name="Note 8 3 2 2 4" xfId="11061" xr:uid="{00000000-0005-0000-0000-00000B4A0000}"/>
    <cellStyle name="Note 8 3 2 2 4 2" xfId="25893" xr:uid="{00000000-0005-0000-0000-00000C4A0000}"/>
    <cellStyle name="Note 8 3 2 2 5" xfId="21444" xr:uid="{00000000-0005-0000-0000-00000D4A0000}"/>
    <cellStyle name="Note 8 3 2 3" xfId="4983" xr:uid="{00000000-0005-0000-0000-00000E4A0000}"/>
    <cellStyle name="Note 8 3 2 3 2" xfId="9022" xr:uid="{00000000-0005-0000-0000-00000F4A0000}"/>
    <cellStyle name="Note 8 3 2 3 2 2" xfId="17960" xr:uid="{00000000-0005-0000-0000-0000104A0000}"/>
    <cellStyle name="Note 8 3 2 3 2 2 2" xfId="32792" xr:uid="{00000000-0005-0000-0000-0000114A0000}"/>
    <cellStyle name="Note 8 3 2 3 2 3" xfId="24488" xr:uid="{00000000-0005-0000-0000-0000124A0000}"/>
    <cellStyle name="Note 8 3 2 3 3" xfId="15305" xr:uid="{00000000-0005-0000-0000-0000134A0000}"/>
    <cellStyle name="Note 8 3 2 3 3 2" xfId="30137" xr:uid="{00000000-0005-0000-0000-0000144A0000}"/>
    <cellStyle name="Note 8 3 2 3 4" xfId="11561" xr:uid="{00000000-0005-0000-0000-0000154A0000}"/>
    <cellStyle name="Note 8 3 2 3 4 2" xfId="26393" xr:uid="{00000000-0005-0000-0000-0000164A0000}"/>
    <cellStyle name="Note 8 3 2 3 5" xfId="22014" xr:uid="{00000000-0005-0000-0000-0000174A0000}"/>
    <cellStyle name="Note 8 3 2 4" xfId="2973" xr:uid="{00000000-0005-0000-0000-0000184A0000}"/>
    <cellStyle name="Note 8 3 2 4 2" xfId="7053" xr:uid="{00000000-0005-0000-0000-0000194A0000}"/>
    <cellStyle name="Note 8 3 2 4 2 2" xfId="16852" xr:uid="{00000000-0005-0000-0000-00001A4A0000}"/>
    <cellStyle name="Note 8 3 2 4 2 2 2" xfId="31684" xr:uid="{00000000-0005-0000-0000-00001B4A0000}"/>
    <cellStyle name="Note 8 3 2 4 2 3" xfId="23227" xr:uid="{00000000-0005-0000-0000-00001C4A0000}"/>
    <cellStyle name="Note 8 3 2 4 3" xfId="13311" xr:uid="{00000000-0005-0000-0000-00001D4A0000}"/>
    <cellStyle name="Note 8 3 2 4 3 2" xfId="28143" xr:uid="{00000000-0005-0000-0000-00001E4A0000}"/>
    <cellStyle name="Note 8 3 2 4 4" xfId="10507" xr:uid="{00000000-0005-0000-0000-00001F4A0000}"/>
    <cellStyle name="Note 8 3 2 4 4 2" xfId="25339" xr:uid="{00000000-0005-0000-0000-0000204A0000}"/>
    <cellStyle name="Note 8 3 2 4 5" xfId="20899" xr:uid="{00000000-0005-0000-0000-0000214A0000}"/>
    <cellStyle name="Note 8 3 2 5" xfId="6145" xr:uid="{00000000-0005-0000-0000-0000224A0000}"/>
    <cellStyle name="Note 8 3 2 5 2" xfId="16332" xr:uid="{00000000-0005-0000-0000-0000234A0000}"/>
    <cellStyle name="Note 8 3 2 5 2 2" xfId="31164" xr:uid="{00000000-0005-0000-0000-0000244A0000}"/>
    <cellStyle name="Note 8 3 2 5 3" xfId="22678" xr:uid="{00000000-0005-0000-0000-0000254A0000}"/>
    <cellStyle name="Note 8 3 2 6" xfId="12402" xr:uid="{00000000-0005-0000-0000-0000264A0000}"/>
    <cellStyle name="Note 8 3 2 6 2" xfId="27234" xr:uid="{00000000-0005-0000-0000-0000274A0000}"/>
    <cellStyle name="Note 8 3 2 7" xfId="9984" xr:uid="{00000000-0005-0000-0000-0000284A0000}"/>
    <cellStyle name="Note 8 3 2 7 2" xfId="24816" xr:uid="{00000000-0005-0000-0000-0000294A0000}"/>
    <cellStyle name="Note 8 3 2 8" xfId="20357" xr:uid="{00000000-0005-0000-0000-00002A4A0000}"/>
    <cellStyle name="Note 8 3 3" xfId="3177" xr:uid="{00000000-0005-0000-0000-00002B4A0000}"/>
    <cellStyle name="Note 8 3 3 2" xfId="7241" xr:uid="{00000000-0005-0000-0000-00002C4A0000}"/>
    <cellStyle name="Note 8 3 3 2 2" xfId="17015" xr:uid="{00000000-0005-0000-0000-00002D4A0000}"/>
    <cellStyle name="Note 8 3 3 2 2 2" xfId="31847" xr:uid="{00000000-0005-0000-0000-00002E4A0000}"/>
    <cellStyle name="Note 8 3 3 2 3" xfId="23299" xr:uid="{00000000-0005-0000-0000-00002F4A0000}"/>
    <cellStyle name="Note 8 3 3 3" xfId="13515" xr:uid="{00000000-0005-0000-0000-0000304A0000}"/>
    <cellStyle name="Note 8 3 3 3 2" xfId="28347" xr:uid="{00000000-0005-0000-0000-0000314A0000}"/>
    <cellStyle name="Note 8 3 3 4" xfId="10665" xr:uid="{00000000-0005-0000-0000-0000324A0000}"/>
    <cellStyle name="Note 8 3 3 4 2" xfId="25497" xr:uid="{00000000-0005-0000-0000-0000334A0000}"/>
    <cellStyle name="Note 8 3 3 5" xfId="20989" xr:uid="{00000000-0005-0000-0000-0000344A0000}"/>
    <cellStyle name="Note 8 3 4" xfId="4563" xr:uid="{00000000-0005-0000-0000-0000354A0000}"/>
    <cellStyle name="Note 8 3 4 2" xfId="8602" xr:uid="{00000000-0005-0000-0000-0000364A0000}"/>
    <cellStyle name="Note 8 3 4 2 2" xfId="17720" xr:uid="{00000000-0005-0000-0000-0000374A0000}"/>
    <cellStyle name="Note 8 3 4 2 2 2" xfId="32552" xr:uid="{00000000-0005-0000-0000-0000384A0000}"/>
    <cellStyle name="Note 8 3 4 2 3" xfId="24228" xr:uid="{00000000-0005-0000-0000-0000394A0000}"/>
    <cellStyle name="Note 8 3 4 3" xfId="14890" xr:uid="{00000000-0005-0000-0000-00003A4A0000}"/>
    <cellStyle name="Note 8 3 4 3 2" xfId="29722" xr:uid="{00000000-0005-0000-0000-00003B4A0000}"/>
    <cellStyle name="Note 8 3 4 4" xfId="11326" xr:uid="{00000000-0005-0000-0000-00003C4A0000}"/>
    <cellStyle name="Note 8 3 4 4 2" xfId="26158" xr:uid="{00000000-0005-0000-0000-00003D4A0000}"/>
    <cellStyle name="Note 8 3 4 5" xfId="21784" xr:uid="{00000000-0005-0000-0000-00003E4A0000}"/>
    <cellStyle name="Note 8 3 5" xfId="2553" xr:uid="{00000000-0005-0000-0000-00003F4A0000}"/>
    <cellStyle name="Note 8 3 5 2" xfId="6659" xr:uid="{00000000-0005-0000-0000-0000404A0000}"/>
    <cellStyle name="Note 8 3 5 2 2" xfId="16617" xr:uid="{00000000-0005-0000-0000-0000414A0000}"/>
    <cellStyle name="Note 8 3 5 2 2 2" xfId="31449" xr:uid="{00000000-0005-0000-0000-0000424A0000}"/>
    <cellStyle name="Note 8 3 5 2 3" xfId="22997" xr:uid="{00000000-0005-0000-0000-0000434A0000}"/>
    <cellStyle name="Note 8 3 5 3" xfId="12891" xr:uid="{00000000-0005-0000-0000-0000444A0000}"/>
    <cellStyle name="Note 8 3 5 3 2" xfId="27723" xr:uid="{00000000-0005-0000-0000-0000454A0000}"/>
    <cellStyle name="Note 8 3 5 4" xfId="10267" xr:uid="{00000000-0005-0000-0000-0000464A0000}"/>
    <cellStyle name="Note 8 3 5 4 2" xfId="25099" xr:uid="{00000000-0005-0000-0000-0000474A0000}"/>
    <cellStyle name="Note 8 3 5 5" xfId="20639" xr:uid="{00000000-0005-0000-0000-0000484A0000}"/>
    <cellStyle name="Note 8 3 6" xfId="5676" xr:uid="{00000000-0005-0000-0000-0000494A0000}"/>
    <cellStyle name="Note 8 3 6 2" xfId="15911" xr:uid="{00000000-0005-0000-0000-00004A4A0000}"/>
    <cellStyle name="Note 8 3 6 2 2" xfId="30743" xr:uid="{00000000-0005-0000-0000-00004B4A0000}"/>
    <cellStyle name="Note 8 3 6 3" xfId="22372" xr:uid="{00000000-0005-0000-0000-00004C4A0000}"/>
    <cellStyle name="Note 8 3 7" xfId="11931" xr:uid="{00000000-0005-0000-0000-00004D4A0000}"/>
    <cellStyle name="Note 8 3 7 2" xfId="26763" xr:uid="{00000000-0005-0000-0000-00004E4A0000}"/>
    <cellStyle name="Note 8 3 8" xfId="9589" xr:uid="{00000000-0005-0000-0000-00004F4A0000}"/>
    <cellStyle name="Note 8 3 8 2" xfId="19891" xr:uid="{00000000-0005-0000-0000-0000504A0000}"/>
    <cellStyle name="Note 8 4" xfId="1573" xr:uid="{00000000-0005-0000-0000-0000514A0000}"/>
    <cellStyle name="Note 8 4 2" xfId="2070" xr:uid="{00000000-0005-0000-0000-0000524A0000}"/>
    <cellStyle name="Note 8 4 2 2" xfId="3410" xr:uid="{00000000-0005-0000-0000-0000534A0000}"/>
    <cellStyle name="Note 8 4 2 2 2" xfId="7473" xr:uid="{00000000-0005-0000-0000-0000544A0000}"/>
    <cellStyle name="Note 8 4 2 2 2 2" xfId="17172" xr:uid="{00000000-0005-0000-0000-0000554A0000}"/>
    <cellStyle name="Note 8 4 2 2 2 2 2" xfId="32004" xr:uid="{00000000-0005-0000-0000-0000564A0000}"/>
    <cellStyle name="Note 8 4 2 2 2 3" xfId="23461" xr:uid="{00000000-0005-0000-0000-0000574A0000}"/>
    <cellStyle name="Note 8 4 2 2 3" xfId="13747" xr:uid="{00000000-0005-0000-0000-0000584A0000}"/>
    <cellStyle name="Note 8 4 2 2 3 2" xfId="28579" xr:uid="{00000000-0005-0000-0000-0000594A0000}"/>
    <cellStyle name="Note 8 4 2 2 4" xfId="10791" xr:uid="{00000000-0005-0000-0000-00005A4A0000}"/>
    <cellStyle name="Note 8 4 2 2 4 2" xfId="25623" xr:uid="{00000000-0005-0000-0000-00005B4A0000}"/>
    <cellStyle name="Note 8 4 2 2 5" xfId="21139" xr:uid="{00000000-0005-0000-0000-00005C4A0000}"/>
    <cellStyle name="Note 8 4 2 3" xfId="5038" xr:uid="{00000000-0005-0000-0000-00005D4A0000}"/>
    <cellStyle name="Note 8 4 2 3 2" xfId="9077" xr:uid="{00000000-0005-0000-0000-00005E4A0000}"/>
    <cellStyle name="Note 8 4 2 3 2 2" xfId="18010" xr:uid="{00000000-0005-0000-0000-00005F4A0000}"/>
    <cellStyle name="Note 8 4 2 3 2 2 2" xfId="32842" xr:uid="{00000000-0005-0000-0000-0000604A0000}"/>
    <cellStyle name="Note 8 4 2 3 2 3" xfId="24511" xr:uid="{00000000-0005-0000-0000-0000614A0000}"/>
    <cellStyle name="Note 8 4 2 3 3" xfId="15359" xr:uid="{00000000-0005-0000-0000-0000624A0000}"/>
    <cellStyle name="Note 8 4 2 3 3 2" xfId="30191" xr:uid="{00000000-0005-0000-0000-0000634A0000}"/>
    <cellStyle name="Note 8 4 2 3 4" xfId="11610" xr:uid="{00000000-0005-0000-0000-0000644A0000}"/>
    <cellStyle name="Note 8 4 2 3 4 2" xfId="26442" xr:uid="{00000000-0005-0000-0000-0000654A0000}"/>
    <cellStyle name="Note 8 4 2 3 5" xfId="22031" xr:uid="{00000000-0005-0000-0000-0000664A0000}"/>
    <cellStyle name="Note 8 4 2 4" xfId="3028" xr:uid="{00000000-0005-0000-0000-0000674A0000}"/>
    <cellStyle name="Note 8 4 2 4 2" xfId="7103" xr:uid="{00000000-0005-0000-0000-0000684A0000}"/>
    <cellStyle name="Note 8 4 2 4 2 2" xfId="16901" xr:uid="{00000000-0005-0000-0000-0000694A0000}"/>
    <cellStyle name="Note 8 4 2 4 2 2 2" xfId="31733" xr:uid="{00000000-0005-0000-0000-00006A4A0000}"/>
    <cellStyle name="Note 8 4 2 4 2 3" xfId="23244" xr:uid="{00000000-0005-0000-0000-00006B4A0000}"/>
    <cellStyle name="Note 8 4 2 4 3" xfId="13366" xr:uid="{00000000-0005-0000-0000-00006C4A0000}"/>
    <cellStyle name="Note 8 4 2 4 3 2" xfId="28198" xr:uid="{00000000-0005-0000-0000-00006D4A0000}"/>
    <cellStyle name="Note 8 4 2 4 4" xfId="10557" xr:uid="{00000000-0005-0000-0000-00006E4A0000}"/>
    <cellStyle name="Note 8 4 2 4 4 2" xfId="25389" xr:uid="{00000000-0005-0000-0000-00006F4A0000}"/>
    <cellStyle name="Note 8 4 2 4 5" xfId="20922" xr:uid="{00000000-0005-0000-0000-0000704A0000}"/>
    <cellStyle name="Note 8 4 2 5" xfId="6195" xr:uid="{00000000-0005-0000-0000-0000714A0000}"/>
    <cellStyle name="Note 8 4 2 5 2" xfId="16381" xr:uid="{00000000-0005-0000-0000-0000724A0000}"/>
    <cellStyle name="Note 8 4 2 5 2 2" xfId="31213" xr:uid="{00000000-0005-0000-0000-0000734A0000}"/>
    <cellStyle name="Note 8 4 2 5 3" xfId="22695" xr:uid="{00000000-0005-0000-0000-0000744A0000}"/>
    <cellStyle name="Note 8 4 2 6" xfId="12451" xr:uid="{00000000-0005-0000-0000-0000754A0000}"/>
    <cellStyle name="Note 8 4 2 6 2" xfId="27283" xr:uid="{00000000-0005-0000-0000-0000764A0000}"/>
    <cellStyle name="Note 8 4 2 7" xfId="10033" xr:uid="{00000000-0005-0000-0000-0000774A0000}"/>
    <cellStyle name="Note 8 4 2 7 2" xfId="24865" xr:uid="{00000000-0005-0000-0000-0000784A0000}"/>
    <cellStyle name="Note 8 4 2 8" xfId="20374" xr:uid="{00000000-0005-0000-0000-0000794A0000}"/>
    <cellStyle name="Note 8 4 3" xfId="3999" xr:uid="{00000000-0005-0000-0000-00007A4A0000}"/>
    <cellStyle name="Note 8 4 3 2" xfId="8046" xr:uid="{00000000-0005-0000-0000-00007B4A0000}"/>
    <cellStyle name="Note 8 4 3 2 2" xfId="17466" xr:uid="{00000000-0005-0000-0000-00007C4A0000}"/>
    <cellStyle name="Note 8 4 3 2 2 2" xfId="32298" xr:uid="{00000000-0005-0000-0000-00007D4A0000}"/>
    <cellStyle name="Note 8 4 3 2 3" xfId="23829" xr:uid="{00000000-0005-0000-0000-00007E4A0000}"/>
    <cellStyle name="Note 8 4 3 3" xfId="14331" xr:uid="{00000000-0005-0000-0000-00007F4A0000}"/>
    <cellStyle name="Note 8 4 3 3 2" xfId="29163" xr:uid="{00000000-0005-0000-0000-0000804A0000}"/>
    <cellStyle name="Note 8 4 3 4" xfId="11083" xr:uid="{00000000-0005-0000-0000-0000814A0000}"/>
    <cellStyle name="Note 8 4 3 4 2" xfId="25915" xr:uid="{00000000-0005-0000-0000-0000824A0000}"/>
    <cellStyle name="Note 8 4 3 5" xfId="21467" xr:uid="{00000000-0005-0000-0000-0000834A0000}"/>
    <cellStyle name="Note 8 4 4" xfId="4618" xr:uid="{00000000-0005-0000-0000-0000844A0000}"/>
    <cellStyle name="Note 8 4 4 2" xfId="8657" xr:uid="{00000000-0005-0000-0000-0000854A0000}"/>
    <cellStyle name="Note 8 4 4 2 2" xfId="17770" xr:uid="{00000000-0005-0000-0000-0000864A0000}"/>
    <cellStyle name="Note 8 4 4 2 2 2" xfId="32602" xr:uid="{00000000-0005-0000-0000-0000874A0000}"/>
    <cellStyle name="Note 8 4 4 2 3" xfId="24251" xr:uid="{00000000-0005-0000-0000-0000884A0000}"/>
    <cellStyle name="Note 8 4 4 3" xfId="14944" xr:uid="{00000000-0005-0000-0000-0000894A0000}"/>
    <cellStyle name="Note 8 4 4 3 2" xfId="29776" xr:uid="{00000000-0005-0000-0000-00008A4A0000}"/>
    <cellStyle name="Note 8 4 4 4" xfId="11375" xr:uid="{00000000-0005-0000-0000-00008B4A0000}"/>
    <cellStyle name="Note 8 4 4 4 2" xfId="26207" xr:uid="{00000000-0005-0000-0000-00008C4A0000}"/>
    <cellStyle name="Note 8 4 4 5" xfId="21801" xr:uid="{00000000-0005-0000-0000-00008D4A0000}"/>
    <cellStyle name="Note 8 4 5" xfId="2608" xr:uid="{00000000-0005-0000-0000-00008E4A0000}"/>
    <cellStyle name="Note 8 4 5 2" xfId="6709" xr:uid="{00000000-0005-0000-0000-00008F4A0000}"/>
    <cellStyle name="Note 8 4 5 2 2" xfId="16666" xr:uid="{00000000-0005-0000-0000-0000904A0000}"/>
    <cellStyle name="Note 8 4 5 2 2 2" xfId="31498" xr:uid="{00000000-0005-0000-0000-0000914A0000}"/>
    <cellStyle name="Note 8 4 5 2 3" xfId="23014" xr:uid="{00000000-0005-0000-0000-0000924A0000}"/>
    <cellStyle name="Note 8 4 5 3" xfId="12946" xr:uid="{00000000-0005-0000-0000-0000934A0000}"/>
    <cellStyle name="Note 8 4 5 3 2" xfId="27778" xr:uid="{00000000-0005-0000-0000-0000944A0000}"/>
    <cellStyle name="Note 8 4 5 4" xfId="10317" xr:uid="{00000000-0005-0000-0000-0000954A0000}"/>
    <cellStyle name="Note 8 4 5 4 2" xfId="25149" xr:uid="{00000000-0005-0000-0000-0000964A0000}"/>
    <cellStyle name="Note 8 4 5 5" xfId="20662" xr:uid="{00000000-0005-0000-0000-0000974A0000}"/>
    <cellStyle name="Note 8 4 6" xfId="5725" xr:uid="{00000000-0005-0000-0000-0000984A0000}"/>
    <cellStyle name="Note 8 4 6 2" xfId="15960" xr:uid="{00000000-0005-0000-0000-0000994A0000}"/>
    <cellStyle name="Note 8 4 6 2 2" xfId="30792" xr:uid="{00000000-0005-0000-0000-00009A4A0000}"/>
    <cellStyle name="Note 8 4 6 3" xfId="22389" xr:uid="{00000000-0005-0000-0000-00009B4A0000}"/>
    <cellStyle name="Note 8 4 7" xfId="11980" xr:uid="{00000000-0005-0000-0000-00009C4A0000}"/>
    <cellStyle name="Note 8 4 7 2" xfId="26812" xr:uid="{00000000-0005-0000-0000-00009D4A0000}"/>
    <cellStyle name="Note 8 4 8" xfId="9639" xr:uid="{00000000-0005-0000-0000-00009E4A0000}"/>
    <cellStyle name="Note 8 4 8 2" xfId="19940" xr:uid="{00000000-0005-0000-0000-00009F4A0000}"/>
    <cellStyle name="Note 8 5" xfId="1623" xr:uid="{00000000-0005-0000-0000-0000A04A0000}"/>
    <cellStyle name="Note 8 5 2" xfId="2120" xr:uid="{00000000-0005-0000-0000-0000A14A0000}"/>
    <cellStyle name="Note 8 5 2 2" xfId="4144" xr:uid="{00000000-0005-0000-0000-0000A24A0000}"/>
    <cellStyle name="Note 8 5 2 2 2" xfId="8188" xr:uid="{00000000-0005-0000-0000-0000A34A0000}"/>
    <cellStyle name="Note 8 5 2 2 2 2" xfId="17542" xr:uid="{00000000-0005-0000-0000-0000A44A0000}"/>
    <cellStyle name="Note 8 5 2 2 2 2 2" xfId="32374" xr:uid="{00000000-0005-0000-0000-0000A54A0000}"/>
    <cellStyle name="Note 8 5 2 2 2 3" xfId="23917" xr:uid="{00000000-0005-0000-0000-0000A64A0000}"/>
    <cellStyle name="Note 8 5 2 2 3" xfId="14476" xr:uid="{00000000-0005-0000-0000-0000A74A0000}"/>
    <cellStyle name="Note 8 5 2 2 3 2" xfId="29308" xr:uid="{00000000-0005-0000-0000-0000A84A0000}"/>
    <cellStyle name="Note 8 5 2 2 4" xfId="11160" xr:uid="{00000000-0005-0000-0000-0000A94A0000}"/>
    <cellStyle name="Note 8 5 2 2 4 2" xfId="25992" xr:uid="{00000000-0005-0000-0000-0000AA4A0000}"/>
    <cellStyle name="Note 8 5 2 2 5" xfId="21544" xr:uid="{00000000-0005-0000-0000-0000AB4A0000}"/>
    <cellStyle name="Note 8 5 2 3" xfId="5088" xr:uid="{00000000-0005-0000-0000-0000AC4A0000}"/>
    <cellStyle name="Note 8 5 2 3 2" xfId="9127" xr:uid="{00000000-0005-0000-0000-0000AD4A0000}"/>
    <cellStyle name="Note 8 5 2 3 2 2" xfId="18055" xr:uid="{00000000-0005-0000-0000-0000AE4A0000}"/>
    <cellStyle name="Note 8 5 2 3 2 2 2" xfId="32887" xr:uid="{00000000-0005-0000-0000-0000AF4A0000}"/>
    <cellStyle name="Note 8 5 2 3 2 3" xfId="24529" xr:uid="{00000000-0005-0000-0000-0000B04A0000}"/>
    <cellStyle name="Note 8 5 2 3 3" xfId="15408" xr:uid="{00000000-0005-0000-0000-0000B14A0000}"/>
    <cellStyle name="Note 8 5 2 3 3 2" xfId="30240" xr:uid="{00000000-0005-0000-0000-0000B24A0000}"/>
    <cellStyle name="Note 8 5 2 3 4" xfId="11654" xr:uid="{00000000-0005-0000-0000-0000B34A0000}"/>
    <cellStyle name="Note 8 5 2 3 4 2" xfId="26486" xr:uid="{00000000-0005-0000-0000-0000B44A0000}"/>
    <cellStyle name="Note 8 5 2 3 5" xfId="22043" xr:uid="{00000000-0005-0000-0000-0000B54A0000}"/>
    <cellStyle name="Note 8 5 2 4" xfId="3078" xr:uid="{00000000-0005-0000-0000-0000B64A0000}"/>
    <cellStyle name="Note 8 5 2 4 2" xfId="7148" xr:uid="{00000000-0005-0000-0000-0000B74A0000}"/>
    <cellStyle name="Note 8 5 2 4 2 2" xfId="16945" xr:uid="{00000000-0005-0000-0000-0000B84A0000}"/>
    <cellStyle name="Note 8 5 2 4 2 2 2" xfId="31777" xr:uid="{00000000-0005-0000-0000-0000B94A0000}"/>
    <cellStyle name="Note 8 5 2 4 2 3" xfId="23256" xr:uid="{00000000-0005-0000-0000-0000BA4A0000}"/>
    <cellStyle name="Note 8 5 2 4 3" xfId="13416" xr:uid="{00000000-0005-0000-0000-0000BB4A0000}"/>
    <cellStyle name="Note 8 5 2 4 3 2" xfId="28248" xr:uid="{00000000-0005-0000-0000-0000BC4A0000}"/>
    <cellStyle name="Note 8 5 2 4 4" xfId="10602" xr:uid="{00000000-0005-0000-0000-0000BD4A0000}"/>
    <cellStyle name="Note 8 5 2 4 4 2" xfId="25434" xr:uid="{00000000-0005-0000-0000-0000BE4A0000}"/>
    <cellStyle name="Note 8 5 2 4 5" xfId="20940" xr:uid="{00000000-0005-0000-0000-0000BF4A0000}"/>
    <cellStyle name="Note 8 5 2 5" xfId="6240" xr:uid="{00000000-0005-0000-0000-0000C04A0000}"/>
    <cellStyle name="Note 8 5 2 5 2" xfId="16425" xr:uid="{00000000-0005-0000-0000-0000C14A0000}"/>
    <cellStyle name="Note 8 5 2 5 2 2" xfId="31257" xr:uid="{00000000-0005-0000-0000-0000C24A0000}"/>
    <cellStyle name="Note 8 5 2 5 3" xfId="22707" xr:uid="{00000000-0005-0000-0000-0000C34A0000}"/>
    <cellStyle name="Note 8 5 2 6" xfId="12495" xr:uid="{00000000-0005-0000-0000-0000C44A0000}"/>
    <cellStyle name="Note 8 5 2 6 2" xfId="27327" xr:uid="{00000000-0005-0000-0000-0000C54A0000}"/>
    <cellStyle name="Note 8 5 2 7" xfId="10077" xr:uid="{00000000-0005-0000-0000-0000C64A0000}"/>
    <cellStyle name="Note 8 5 2 7 2" xfId="24909" xr:uid="{00000000-0005-0000-0000-0000C74A0000}"/>
    <cellStyle name="Note 8 5 2 8" xfId="20386" xr:uid="{00000000-0005-0000-0000-0000C84A0000}"/>
    <cellStyle name="Note 8 5 3" xfId="4327" xr:uid="{00000000-0005-0000-0000-0000C94A0000}"/>
    <cellStyle name="Note 8 5 3 2" xfId="8366" xr:uid="{00000000-0005-0000-0000-0000CA4A0000}"/>
    <cellStyle name="Note 8 5 3 2 2" xfId="17644" xr:uid="{00000000-0005-0000-0000-0000CB4A0000}"/>
    <cellStyle name="Note 8 5 3 2 2 2" xfId="32476" xr:uid="{00000000-0005-0000-0000-0000CC4A0000}"/>
    <cellStyle name="Note 8 5 3 2 3" xfId="24032" xr:uid="{00000000-0005-0000-0000-0000CD4A0000}"/>
    <cellStyle name="Note 8 5 3 3" xfId="14658" xr:uid="{00000000-0005-0000-0000-0000CE4A0000}"/>
    <cellStyle name="Note 8 5 3 3 2" xfId="29490" xr:uid="{00000000-0005-0000-0000-0000CF4A0000}"/>
    <cellStyle name="Note 8 5 3 4" xfId="11254" xr:uid="{00000000-0005-0000-0000-0000D04A0000}"/>
    <cellStyle name="Note 8 5 3 4 2" xfId="26086" xr:uid="{00000000-0005-0000-0000-0000D14A0000}"/>
    <cellStyle name="Note 8 5 3 5" xfId="21628" xr:uid="{00000000-0005-0000-0000-0000D24A0000}"/>
    <cellStyle name="Note 8 5 4" xfId="4668" xr:uid="{00000000-0005-0000-0000-0000D34A0000}"/>
    <cellStyle name="Note 8 5 4 2" xfId="8707" xr:uid="{00000000-0005-0000-0000-0000D44A0000}"/>
    <cellStyle name="Note 8 5 4 2 2" xfId="17815" xr:uid="{00000000-0005-0000-0000-0000D54A0000}"/>
    <cellStyle name="Note 8 5 4 2 2 2" xfId="32647" xr:uid="{00000000-0005-0000-0000-0000D64A0000}"/>
    <cellStyle name="Note 8 5 4 2 3" xfId="24269" xr:uid="{00000000-0005-0000-0000-0000D74A0000}"/>
    <cellStyle name="Note 8 5 4 3" xfId="14993" xr:uid="{00000000-0005-0000-0000-0000D84A0000}"/>
    <cellStyle name="Note 8 5 4 3 2" xfId="29825" xr:uid="{00000000-0005-0000-0000-0000D94A0000}"/>
    <cellStyle name="Note 8 5 4 4" xfId="11419" xr:uid="{00000000-0005-0000-0000-0000DA4A0000}"/>
    <cellStyle name="Note 8 5 4 4 2" xfId="26251" xr:uid="{00000000-0005-0000-0000-0000DB4A0000}"/>
    <cellStyle name="Note 8 5 4 5" xfId="21813" xr:uid="{00000000-0005-0000-0000-0000DC4A0000}"/>
    <cellStyle name="Note 8 5 5" xfId="2658" xr:uid="{00000000-0005-0000-0000-0000DD4A0000}"/>
    <cellStyle name="Note 8 5 5 2" xfId="6754" xr:uid="{00000000-0005-0000-0000-0000DE4A0000}"/>
    <cellStyle name="Note 8 5 5 2 2" xfId="16710" xr:uid="{00000000-0005-0000-0000-0000DF4A0000}"/>
    <cellStyle name="Note 8 5 5 2 2 2" xfId="31542" xr:uid="{00000000-0005-0000-0000-0000E04A0000}"/>
    <cellStyle name="Note 8 5 5 2 3" xfId="23026" xr:uid="{00000000-0005-0000-0000-0000E14A0000}"/>
    <cellStyle name="Note 8 5 5 3" xfId="12996" xr:uid="{00000000-0005-0000-0000-0000E24A0000}"/>
    <cellStyle name="Note 8 5 5 3 2" xfId="27828" xr:uid="{00000000-0005-0000-0000-0000E34A0000}"/>
    <cellStyle name="Note 8 5 5 4" xfId="10362" xr:uid="{00000000-0005-0000-0000-0000E44A0000}"/>
    <cellStyle name="Note 8 5 5 4 2" xfId="25194" xr:uid="{00000000-0005-0000-0000-0000E54A0000}"/>
    <cellStyle name="Note 8 5 5 5" xfId="20680" xr:uid="{00000000-0005-0000-0000-0000E64A0000}"/>
    <cellStyle name="Note 8 5 6" xfId="5770" xr:uid="{00000000-0005-0000-0000-0000E74A0000}"/>
    <cellStyle name="Note 8 5 6 2" xfId="16004" xr:uid="{00000000-0005-0000-0000-0000E84A0000}"/>
    <cellStyle name="Note 8 5 6 2 2" xfId="30836" xr:uid="{00000000-0005-0000-0000-0000E94A0000}"/>
    <cellStyle name="Note 8 5 6 3" xfId="22401" xr:uid="{00000000-0005-0000-0000-0000EA4A0000}"/>
    <cellStyle name="Note 8 5 7" xfId="12024" xr:uid="{00000000-0005-0000-0000-0000EB4A0000}"/>
    <cellStyle name="Note 8 5 7 2" xfId="26856" xr:uid="{00000000-0005-0000-0000-0000EC4A0000}"/>
    <cellStyle name="Note 8 5 8" xfId="9684" xr:uid="{00000000-0005-0000-0000-0000ED4A0000}"/>
    <cellStyle name="Note 8 5 8 2" xfId="19984" xr:uid="{00000000-0005-0000-0000-0000EE4A0000}"/>
    <cellStyle name="Note 8 6" xfId="1774" xr:uid="{00000000-0005-0000-0000-0000EF4A0000}"/>
    <cellStyle name="Note 8 6 2" xfId="3511" xr:uid="{00000000-0005-0000-0000-0000F04A0000}"/>
    <cellStyle name="Note 8 6 2 2" xfId="7573" xr:uid="{00000000-0005-0000-0000-0000F14A0000}"/>
    <cellStyle name="Note 8 6 2 2 2" xfId="17228" xr:uid="{00000000-0005-0000-0000-0000F24A0000}"/>
    <cellStyle name="Note 8 6 2 2 2 2" xfId="32060" xr:uid="{00000000-0005-0000-0000-0000F34A0000}"/>
    <cellStyle name="Note 8 6 2 2 3" xfId="23525" xr:uid="{00000000-0005-0000-0000-0000F44A0000}"/>
    <cellStyle name="Note 8 6 2 3" xfId="13848" xr:uid="{00000000-0005-0000-0000-0000F54A0000}"/>
    <cellStyle name="Note 8 6 2 3 2" xfId="28680" xr:uid="{00000000-0005-0000-0000-0000F64A0000}"/>
    <cellStyle name="Note 8 6 2 4" xfId="10846" xr:uid="{00000000-0005-0000-0000-0000F74A0000}"/>
    <cellStyle name="Note 8 6 2 4 2" xfId="25678" xr:uid="{00000000-0005-0000-0000-0000F84A0000}"/>
    <cellStyle name="Note 8 6 2 5" xfId="21200" xr:uid="{00000000-0005-0000-0000-0000F94A0000}"/>
    <cellStyle name="Note 8 6 3" xfId="4752" xr:uid="{00000000-0005-0000-0000-0000FA4A0000}"/>
    <cellStyle name="Note 8 6 3 2" xfId="8791" xr:uid="{00000000-0005-0000-0000-0000FB4A0000}"/>
    <cellStyle name="Note 8 6 3 2 2" xfId="17863" xr:uid="{00000000-0005-0000-0000-0000FC4A0000}"/>
    <cellStyle name="Note 8 6 3 2 2 2" xfId="32695" xr:uid="{00000000-0005-0000-0000-0000FD4A0000}"/>
    <cellStyle name="Note 8 6 3 2 3" xfId="24321" xr:uid="{00000000-0005-0000-0000-0000FE4A0000}"/>
    <cellStyle name="Note 8 6 3 3" xfId="15076" xr:uid="{00000000-0005-0000-0000-0000FF4A0000}"/>
    <cellStyle name="Note 8 6 3 3 2" xfId="29908" xr:uid="{00000000-0005-0000-0000-0000004B0000}"/>
    <cellStyle name="Note 8 6 3 4" xfId="11466" xr:uid="{00000000-0005-0000-0000-0000014B0000}"/>
    <cellStyle name="Note 8 6 3 4 2" xfId="26298" xr:uid="{00000000-0005-0000-0000-0000024B0000}"/>
    <cellStyle name="Note 8 6 3 5" xfId="21859" xr:uid="{00000000-0005-0000-0000-0000034B0000}"/>
    <cellStyle name="Note 8 6 4" xfId="2742" xr:uid="{00000000-0005-0000-0000-0000044B0000}"/>
    <cellStyle name="Note 8 6 4 2" xfId="6833" xr:uid="{00000000-0005-0000-0000-0000054B0000}"/>
    <cellStyle name="Note 8 6 4 2 2" xfId="16757" xr:uid="{00000000-0005-0000-0000-0000064B0000}"/>
    <cellStyle name="Note 8 6 4 2 2 2" xfId="31589" xr:uid="{00000000-0005-0000-0000-0000074B0000}"/>
    <cellStyle name="Note 8 6 4 2 3" xfId="23072" xr:uid="{00000000-0005-0000-0000-0000084B0000}"/>
    <cellStyle name="Note 8 6 4 3" xfId="13080" xr:uid="{00000000-0005-0000-0000-0000094B0000}"/>
    <cellStyle name="Note 8 6 4 3 2" xfId="27912" xr:uid="{00000000-0005-0000-0000-00000A4B0000}"/>
    <cellStyle name="Note 8 6 4 4" xfId="10410" xr:uid="{00000000-0005-0000-0000-00000B4B0000}"/>
    <cellStyle name="Note 8 6 4 4 2" xfId="25242" xr:uid="{00000000-0005-0000-0000-00000C4B0000}"/>
    <cellStyle name="Note 8 6 4 5" xfId="20732" xr:uid="{00000000-0005-0000-0000-00000D4B0000}"/>
    <cellStyle name="Note 8 6 5" xfId="5906" xr:uid="{00000000-0005-0000-0000-00000E4B0000}"/>
    <cellStyle name="Note 8 6 5 2" xfId="16098" xr:uid="{00000000-0005-0000-0000-00000F4B0000}"/>
    <cellStyle name="Note 8 6 5 2 2" xfId="30930" xr:uid="{00000000-0005-0000-0000-0000104B0000}"/>
    <cellStyle name="Note 8 6 5 3" xfId="22503" xr:uid="{00000000-0005-0000-0000-0000114B0000}"/>
    <cellStyle name="Note 8 6 6" xfId="12168" xr:uid="{00000000-0005-0000-0000-0000124B0000}"/>
    <cellStyle name="Note 8 6 6 2" xfId="27000" xr:uid="{00000000-0005-0000-0000-0000134B0000}"/>
    <cellStyle name="Note 8 6 7" xfId="9764" xr:uid="{00000000-0005-0000-0000-0000144B0000}"/>
    <cellStyle name="Note 8 6 7 2" xfId="24721" xr:uid="{00000000-0005-0000-0000-0000154B0000}"/>
    <cellStyle name="Note 8 6 8" xfId="20311" xr:uid="{00000000-0005-0000-0000-0000164B0000}"/>
    <cellStyle name="Note 8 7" xfId="2192" xr:uid="{00000000-0005-0000-0000-0000174B0000}"/>
    <cellStyle name="Note 8 7 2" xfId="3498" xr:uid="{00000000-0005-0000-0000-0000184B0000}"/>
    <cellStyle name="Note 8 7 2 2" xfId="7560" xr:uid="{00000000-0005-0000-0000-0000194B0000}"/>
    <cellStyle name="Note 8 7 2 2 2" xfId="17221" xr:uid="{00000000-0005-0000-0000-00001A4B0000}"/>
    <cellStyle name="Note 8 7 2 2 2 2" xfId="32053" xr:uid="{00000000-0005-0000-0000-00001B4B0000}"/>
    <cellStyle name="Note 8 7 2 2 3" xfId="23514" xr:uid="{00000000-0005-0000-0000-00001C4B0000}"/>
    <cellStyle name="Note 8 7 2 3" xfId="13835" xr:uid="{00000000-0005-0000-0000-00001D4B0000}"/>
    <cellStyle name="Note 8 7 2 3 2" xfId="28667" xr:uid="{00000000-0005-0000-0000-00001E4B0000}"/>
    <cellStyle name="Note 8 7 2 4" xfId="10839" xr:uid="{00000000-0005-0000-0000-00001F4B0000}"/>
    <cellStyle name="Note 8 7 2 4 2" xfId="25671" xr:uid="{00000000-0005-0000-0000-0000204B0000}"/>
    <cellStyle name="Note 8 7 2 5" xfId="21189" xr:uid="{00000000-0005-0000-0000-0000214B0000}"/>
    <cellStyle name="Note 8 7 3" xfId="5160" xr:uid="{00000000-0005-0000-0000-0000224B0000}"/>
    <cellStyle name="Note 8 7 3 2" xfId="9199" xr:uid="{00000000-0005-0000-0000-0000234B0000}"/>
    <cellStyle name="Note 8 7 3 2 2" xfId="18122" xr:uid="{00000000-0005-0000-0000-0000244B0000}"/>
    <cellStyle name="Note 8 7 3 2 2 2" xfId="32954" xr:uid="{00000000-0005-0000-0000-0000254B0000}"/>
    <cellStyle name="Note 8 7 3 2 3" xfId="24537" xr:uid="{00000000-0005-0000-0000-0000264B0000}"/>
    <cellStyle name="Note 8 7 3 3" xfId="15478" xr:uid="{00000000-0005-0000-0000-0000274B0000}"/>
    <cellStyle name="Note 8 7 3 3 2" xfId="30310" xr:uid="{00000000-0005-0000-0000-0000284B0000}"/>
    <cellStyle name="Note 8 7 3 4" xfId="11719" xr:uid="{00000000-0005-0000-0000-0000294B0000}"/>
    <cellStyle name="Note 8 7 3 4 2" xfId="26551" xr:uid="{00000000-0005-0000-0000-00002A4B0000}"/>
    <cellStyle name="Note 8 7 3 5" xfId="22044" xr:uid="{00000000-0005-0000-0000-00002B4B0000}"/>
    <cellStyle name="Note 8 7 4" xfId="4190" xr:uid="{00000000-0005-0000-0000-00002C4B0000}"/>
    <cellStyle name="Note 8 7 4 2" xfId="8231" xr:uid="{00000000-0005-0000-0000-00002D4B0000}"/>
    <cellStyle name="Note 8 7 4 2 2" xfId="17578" xr:uid="{00000000-0005-0000-0000-00002E4B0000}"/>
    <cellStyle name="Note 8 7 4 2 2 2" xfId="32410" xr:uid="{00000000-0005-0000-0000-00002F4B0000}"/>
    <cellStyle name="Note 8 7 4 2 3" xfId="23926" xr:uid="{00000000-0005-0000-0000-0000304B0000}"/>
    <cellStyle name="Note 8 7 4 3" xfId="14522" xr:uid="{00000000-0005-0000-0000-0000314B0000}"/>
    <cellStyle name="Note 8 7 4 3 2" xfId="29354" xr:uid="{00000000-0005-0000-0000-0000324B0000}"/>
    <cellStyle name="Note 8 7 4 4" xfId="11198" xr:uid="{00000000-0005-0000-0000-0000334B0000}"/>
    <cellStyle name="Note 8 7 4 4 2" xfId="26030" xr:uid="{00000000-0005-0000-0000-0000344B0000}"/>
    <cellStyle name="Note 8 7 4 5" xfId="21551" xr:uid="{00000000-0005-0000-0000-0000354B0000}"/>
    <cellStyle name="Note 8 7 5" xfId="6306" xr:uid="{00000000-0005-0000-0000-0000364B0000}"/>
    <cellStyle name="Note 8 7 5 2" xfId="16490" xr:uid="{00000000-0005-0000-0000-0000374B0000}"/>
    <cellStyle name="Note 8 7 5 2 2" xfId="31322" xr:uid="{00000000-0005-0000-0000-0000384B0000}"/>
    <cellStyle name="Note 8 7 5 3" xfId="22708" xr:uid="{00000000-0005-0000-0000-0000394B0000}"/>
    <cellStyle name="Note 8 7 6" xfId="12560" xr:uid="{00000000-0005-0000-0000-00003A4B0000}"/>
    <cellStyle name="Note 8 7 6 2" xfId="27392" xr:uid="{00000000-0005-0000-0000-00003B4B0000}"/>
    <cellStyle name="Note 8 7 7" xfId="10142" xr:uid="{00000000-0005-0000-0000-00003C4B0000}"/>
    <cellStyle name="Note 8 7 7 2" xfId="24974" xr:uid="{00000000-0005-0000-0000-00003D4B0000}"/>
    <cellStyle name="Note 8 7 8" xfId="20387" xr:uid="{00000000-0005-0000-0000-00003E4B0000}"/>
    <cellStyle name="Note 8 8" xfId="3148" xr:uid="{00000000-0005-0000-0000-00003F4B0000}"/>
    <cellStyle name="Note 8 8 2" xfId="7212" xr:uid="{00000000-0005-0000-0000-0000404B0000}"/>
    <cellStyle name="Note 8 8 2 2" xfId="16991" xr:uid="{00000000-0005-0000-0000-0000414B0000}"/>
    <cellStyle name="Note 8 8 2 2 2" xfId="31823" xr:uid="{00000000-0005-0000-0000-0000424B0000}"/>
    <cellStyle name="Note 8 8 2 3" xfId="23281" xr:uid="{00000000-0005-0000-0000-0000434B0000}"/>
    <cellStyle name="Note 8 8 3" xfId="13486" xr:uid="{00000000-0005-0000-0000-0000444B0000}"/>
    <cellStyle name="Note 8 8 3 2" xfId="28318" xr:uid="{00000000-0005-0000-0000-0000454B0000}"/>
    <cellStyle name="Note 8 8 4" xfId="10645" xr:uid="{00000000-0005-0000-0000-0000464B0000}"/>
    <cellStyle name="Note 8 8 4 2" xfId="25477" xr:uid="{00000000-0005-0000-0000-0000474B0000}"/>
    <cellStyle name="Note 8 8 5" xfId="20972" xr:uid="{00000000-0005-0000-0000-0000484B0000}"/>
    <cellStyle name="Note 8 9" xfId="4285" xr:uid="{00000000-0005-0000-0000-0000494B0000}"/>
    <cellStyle name="Note 8 9 2" xfId="8324" xr:uid="{00000000-0005-0000-0000-00004A4B0000}"/>
    <cellStyle name="Note 8 9 2 2" xfId="17606" xr:uid="{00000000-0005-0000-0000-00004B4B0000}"/>
    <cellStyle name="Note 8 9 2 2 2" xfId="32438" xr:uid="{00000000-0005-0000-0000-00004C4B0000}"/>
    <cellStyle name="Note 8 9 2 3" xfId="24014" xr:uid="{00000000-0005-0000-0000-00004D4B0000}"/>
    <cellStyle name="Note 8 9 3" xfId="14617" xr:uid="{00000000-0005-0000-0000-00004E4B0000}"/>
    <cellStyle name="Note 8 9 3 2" xfId="29449" xr:uid="{00000000-0005-0000-0000-00004F4B0000}"/>
    <cellStyle name="Note 8 9 4" xfId="11222" xr:uid="{00000000-0005-0000-0000-0000504B0000}"/>
    <cellStyle name="Note 8 9 4 2" xfId="26054" xr:uid="{00000000-0005-0000-0000-0000514B0000}"/>
    <cellStyle name="Note 8 9 5" xfId="21612" xr:uid="{00000000-0005-0000-0000-0000524B0000}"/>
    <cellStyle name="Note 9" xfId="1215" xr:uid="{00000000-0005-0000-0000-0000534B0000}"/>
    <cellStyle name="Note 9 10" xfId="2301" xr:uid="{00000000-0005-0000-0000-0000544B0000}"/>
    <cellStyle name="Note 9 10 2" xfId="6413" xr:uid="{00000000-0005-0000-0000-0000554B0000}"/>
    <cellStyle name="Note 9 10 2 2" xfId="16506" xr:uid="{00000000-0005-0000-0000-0000564B0000}"/>
    <cellStyle name="Note 9 10 2 2 2" xfId="31338" xr:uid="{00000000-0005-0000-0000-0000574B0000}"/>
    <cellStyle name="Note 9 10 2 3" xfId="22815" xr:uid="{00000000-0005-0000-0000-0000584B0000}"/>
    <cellStyle name="Note 9 10 3" xfId="12641" xr:uid="{00000000-0005-0000-0000-0000594B0000}"/>
    <cellStyle name="Note 9 10 3 2" xfId="27473" xr:uid="{00000000-0005-0000-0000-00005A4B0000}"/>
    <cellStyle name="Note 9 10 4" xfId="10157" xr:uid="{00000000-0005-0000-0000-00005B4B0000}"/>
    <cellStyle name="Note 9 10 4 2" xfId="24989" xr:uid="{00000000-0005-0000-0000-00005C4B0000}"/>
    <cellStyle name="Note 9 10 5" xfId="20464" xr:uid="{00000000-0005-0000-0000-00005D4B0000}"/>
    <cellStyle name="Note 9 11" xfId="5264" xr:uid="{00000000-0005-0000-0000-00005E4B0000}"/>
    <cellStyle name="Note 9 11 2" xfId="9272" xr:uid="{00000000-0005-0000-0000-00005F4B0000}"/>
    <cellStyle name="Note 9 11 2 2" xfId="18139" xr:uid="{00000000-0005-0000-0000-0000604B0000}"/>
    <cellStyle name="Note 9 11 2 2 2" xfId="32971" xr:uid="{00000000-0005-0000-0000-0000614B0000}"/>
    <cellStyle name="Note 9 11 2 3" xfId="24610" xr:uid="{00000000-0005-0000-0000-0000624B0000}"/>
    <cellStyle name="Note 9 11 3" xfId="15580" xr:uid="{00000000-0005-0000-0000-0000634B0000}"/>
    <cellStyle name="Note 9 11 3 2" xfId="30412" xr:uid="{00000000-0005-0000-0000-0000644B0000}"/>
    <cellStyle name="Note 9 11 4" xfId="22121" xr:uid="{00000000-0005-0000-0000-0000654B0000}"/>
    <cellStyle name="Note 9 12" xfId="5422" xr:uid="{00000000-0005-0000-0000-0000664B0000}"/>
    <cellStyle name="Note 9 12 2" xfId="15658" xr:uid="{00000000-0005-0000-0000-0000674B0000}"/>
    <cellStyle name="Note 9 12 2 2" xfId="30490" xr:uid="{00000000-0005-0000-0000-0000684B0000}"/>
    <cellStyle name="Note 9 12 3" xfId="22183" xr:uid="{00000000-0005-0000-0000-0000694B0000}"/>
    <cellStyle name="Note 9 13" xfId="9369" xr:uid="{00000000-0005-0000-0000-00006A4B0000}"/>
    <cellStyle name="Note 9 13 2" xfId="24675" xr:uid="{00000000-0005-0000-0000-00006B4B0000}"/>
    <cellStyle name="Note 9 14" xfId="5358" xr:uid="{00000000-0005-0000-0000-00006C4B0000}"/>
    <cellStyle name="Note 9 14 2" xfId="18232" xr:uid="{00000000-0005-0000-0000-00006D4B0000}"/>
    <cellStyle name="Note 9 2" xfId="1334" xr:uid="{00000000-0005-0000-0000-00006E4B0000}"/>
    <cellStyle name="Note 9 2 2" xfId="1838" xr:uid="{00000000-0005-0000-0000-00006F4B0000}"/>
    <cellStyle name="Note 9 2 2 2" xfId="4027" xr:uid="{00000000-0005-0000-0000-0000704B0000}"/>
    <cellStyle name="Note 9 2 2 2 2" xfId="8074" xr:uid="{00000000-0005-0000-0000-0000714B0000}"/>
    <cellStyle name="Note 9 2 2 2 2 2" xfId="17484" xr:uid="{00000000-0005-0000-0000-0000724B0000}"/>
    <cellStyle name="Note 9 2 2 2 2 2 2" xfId="32316" xr:uid="{00000000-0005-0000-0000-0000734B0000}"/>
    <cellStyle name="Note 9 2 2 2 2 3" xfId="23844" xr:uid="{00000000-0005-0000-0000-0000744B0000}"/>
    <cellStyle name="Note 9 2 2 2 3" xfId="14359" xr:uid="{00000000-0005-0000-0000-0000754B0000}"/>
    <cellStyle name="Note 9 2 2 2 3 2" xfId="29191" xr:uid="{00000000-0005-0000-0000-0000764B0000}"/>
    <cellStyle name="Note 9 2 2 2 4" xfId="11100" xr:uid="{00000000-0005-0000-0000-0000774B0000}"/>
    <cellStyle name="Note 9 2 2 2 4 2" xfId="25932" xr:uid="{00000000-0005-0000-0000-0000784B0000}"/>
    <cellStyle name="Note 9 2 2 2 5" xfId="21482" xr:uid="{00000000-0005-0000-0000-0000794B0000}"/>
    <cellStyle name="Note 9 2 2 3" xfId="4816" xr:uid="{00000000-0005-0000-0000-00007A4B0000}"/>
    <cellStyle name="Note 9 2 2 3 2" xfId="8855" xr:uid="{00000000-0005-0000-0000-00007B4B0000}"/>
    <cellStyle name="Note 9 2 2 3 2 2" xfId="17896" xr:uid="{00000000-0005-0000-0000-00007C4B0000}"/>
    <cellStyle name="Note 9 2 2 3 2 2 2" xfId="32728" xr:uid="{00000000-0005-0000-0000-00007D4B0000}"/>
    <cellStyle name="Note 9 2 2 3 2 3" xfId="24353" xr:uid="{00000000-0005-0000-0000-00007E4B0000}"/>
    <cellStyle name="Note 9 2 2 3 3" xfId="15140" xr:uid="{00000000-0005-0000-0000-00007F4B0000}"/>
    <cellStyle name="Note 9 2 2 3 3 2" xfId="29972" xr:uid="{00000000-0005-0000-0000-0000804B0000}"/>
    <cellStyle name="Note 9 2 2 3 4" xfId="11499" xr:uid="{00000000-0005-0000-0000-0000814B0000}"/>
    <cellStyle name="Note 9 2 2 3 4 2" xfId="26331" xr:uid="{00000000-0005-0000-0000-0000824B0000}"/>
    <cellStyle name="Note 9 2 2 3 5" xfId="21891" xr:uid="{00000000-0005-0000-0000-0000834B0000}"/>
    <cellStyle name="Note 9 2 2 4" xfId="2806" xr:uid="{00000000-0005-0000-0000-0000844B0000}"/>
    <cellStyle name="Note 9 2 2 4 2" xfId="6897" xr:uid="{00000000-0005-0000-0000-0000854B0000}"/>
    <cellStyle name="Note 9 2 2 4 2 2" xfId="16790" xr:uid="{00000000-0005-0000-0000-0000864B0000}"/>
    <cellStyle name="Note 9 2 2 4 2 2 2" xfId="31622" xr:uid="{00000000-0005-0000-0000-0000874B0000}"/>
    <cellStyle name="Note 9 2 2 4 2 3" xfId="23104" xr:uid="{00000000-0005-0000-0000-0000884B0000}"/>
    <cellStyle name="Note 9 2 2 4 3" xfId="13144" xr:uid="{00000000-0005-0000-0000-0000894B0000}"/>
    <cellStyle name="Note 9 2 2 4 3 2" xfId="27976" xr:uid="{00000000-0005-0000-0000-00008A4B0000}"/>
    <cellStyle name="Note 9 2 2 4 4" xfId="10443" xr:uid="{00000000-0005-0000-0000-00008B4B0000}"/>
    <cellStyle name="Note 9 2 2 4 4 2" xfId="25275" xr:uid="{00000000-0005-0000-0000-00008C4B0000}"/>
    <cellStyle name="Note 9 2 2 4 5" xfId="20764" xr:uid="{00000000-0005-0000-0000-00008D4B0000}"/>
    <cellStyle name="Note 9 2 2 5" xfId="5970" xr:uid="{00000000-0005-0000-0000-00008E4B0000}"/>
    <cellStyle name="Note 9 2 2 5 2" xfId="16162" xr:uid="{00000000-0005-0000-0000-00008F4B0000}"/>
    <cellStyle name="Note 9 2 2 5 2 2" xfId="30994" xr:uid="{00000000-0005-0000-0000-0000904B0000}"/>
    <cellStyle name="Note 9 2 2 5 3" xfId="22535" xr:uid="{00000000-0005-0000-0000-0000914B0000}"/>
    <cellStyle name="Note 9 2 2 6" xfId="12232" xr:uid="{00000000-0005-0000-0000-0000924B0000}"/>
    <cellStyle name="Note 9 2 2 6 2" xfId="27064" xr:uid="{00000000-0005-0000-0000-0000934B0000}"/>
    <cellStyle name="Note 9 2 2 7" xfId="9828" xr:uid="{00000000-0005-0000-0000-0000944B0000}"/>
    <cellStyle name="Note 9 2 2 7 2" xfId="24754" xr:uid="{00000000-0005-0000-0000-0000954B0000}"/>
    <cellStyle name="Note 9 2 2 8" xfId="20312" xr:uid="{00000000-0005-0000-0000-0000964B0000}"/>
    <cellStyle name="Note 9 2 3" xfId="3469" xr:uid="{00000000-0005-0000-0000-0000974B0000}"/>
    <cellStyle name="Note 9 2 3 2" xfId="7532" xr:uid="{00000000-0005-0000-0000-0000984B0000}"/>
    <cellStyle name="Note 9 2 3 2 2" xfId="17204" xr:uid="{00000000-0005-0000-0000-0000994B0000}"/>
    <cellStyle name="Note 9 2 3 2 2 2" xfId="32036" xr:uid="{00000000-0005-0000-0000-00009A4B0000}"/>
    <cellStyle name="Note 9 2 3 2 3" xfId="23499" xr:uid="{00000000-0005-0000-0000-00009B4B0000}"/>
    <cellStyle name="Note 9 2 3 3" xfId="13806" xr:uid="{00000000-0005-0000-0000-00009C4B0000}"/>
    <cellStyle name="Note 9 2 3 3 2" xfId="28638" xr:uid="{00000000-0005-0000-0000-00009D4B0000}"/>
    <cellStyle name="Note 9 2 3 4" xfId="10822" xr:uid="{00000000-0005-0000-0000-00009E4B0000}"/>
    <cellStyle name="Note 9 2 3 4 2" xfId="25654" xr:uid="{00000000-0005-0000-0000-00009F4B0000}"/>
    <cellStyle name="Note 9 2 3 5" xfId="21174" xr:uid="{00000000-0005-0000-0000-0000A04B0000}"/>
    <cellStyle name="Note 9 2 4" xfId="4396" xr:uid="{00000000-0005-0000-0000-0000A14B0000}"/>
    <cellStyle name="Note 9 2 4 2" xfId="8435" xr:uid="{00000000-0005-0000-0000-0000A24B0000}"/>
    <cellStyle name="Note 9 2 4 2 2" xfId="17656" xr:uid="{00000000-0005-0000-0000-0000A34B0000}"/>
    <cellStyle name="Note 9 2 4 2 2 2" xfId="32488" xr:uid="{00000000-0005-0000-0000-0000A44B0000}"/>
    <cellStyle name="Note 9 2 4 2 3" xfId="24093" xr:uid="{00000000-0005-0000-0000-0000A54B0000}"/>
    <cellStyle name="Note 9 2 4 3" xfId="14725" xr:uid="{00000000-0005-0000-0000-0000A64B0000}"/>
    <cellStyle name="Note 9 2 4 3 2" xfId="29557" xr:uid="{00000000-0005-0000-0000-0000A74B0000}"/>
    <cellStyle name="Note 9 2 4 4" xfId="11264" xr:uid="{00000000-0005-0000-0000-0000A84B0000}"/>
    <cellStyle name="Note 9 2 4 4 2" xfId="26096" xr:uid="{00000000-0005-0000-0000-0000A94B0000}"/>
    <cellStyle name="Note 9 2 4 5" xfId="21661" xr:uid="{00000000-0005-0000-0000-0000AA4B0000}"/>
    <cellStyle name="Note 9 2 5" xfId="2386" xr:uid="{00000000-0005-0000-0000-0000AB4B0000}"/>
    <cellStyle name="Note 9 2 5 2" xfId="6498" xr:uid="{00000000-0005-0000-0000-0000AC4B0000}"/>
    <cellStyle name="Note 9 2 5 2 2" xfId="16554" xr:uid="{00000000-0005-0000-0000-0000AD4B0000}"/>
    <cellStyle name="Note 9 2 5 2 2 2" xfId="31386" xr:uid="{00000000-0005-0000-0000-0000AE4B0000}"/>
    <cellStyle name="Note 9 2 5 2 3" xfId="22868" xr:uid="{00000000-0005-0000-0000-0000AF4B0000}"/>
    <cellStyle name="Note 9 2 5 3" xfId="12725" xr:uid="{00000000-0005-0000-0000-0000B04B0000}"/>
    <cellStyle name="Note 9 2 5 3 2" xfId="27557" xr:uid="{00000000-0005-0000-0000-0000B14B0000}"/>
    <cellStyle name="Note 9 2 5 4" xfId="10204" xr:uid="{00000000-0005-0000-0000-0000B24B0000}"/>
    <cellStyle name="Note 9 2 5 4 2" xfId="25036" xr:uid="{00000000-0005-0000-0000-0000B34B0000}"/>
    <cellStyle name="Note 9 2 5 5" xfId="20510" xr:uid="{00000000-0005-0000-0000-0000B44B0000}"/>
    <cellStyle name="Note 9 2 6" xfId="5511" xr:uid="{00000000-0005-0000-0000-0000B54B0000}"/>
    <cellStyle name="Note 9 2 6 2" xfId="15746" xr:uid="{00000000-0005-0000-0000-0000B64B0000}"/>
    <cellStyle name="Note 9 2 6 2 2" xfId="30578" xr:uid="{00000000-0005-0000-0000-0000B74B0000}"/>
    <cellStyle name="Note 9 2 6 3" xfId="22239" xr:uid="{00000000-0005-0000-0000-0000B84B0000}"/>
    <cellStyle name="Note 9 2 7" xfId="11761" xr:uid="{00000000-0005-0000-0000-0000B94B0000}"/>
    <cellStyle name="Note 9 2 7 2" xfId="26593" xr:uid="{00000000-0005-0000-0000-0000BA4B0000}"/>
    <cellStyle name="Note 9 2 8" xfId="9432" xr:uid="{00000000-0005-0000-0000-0000BB4B0000}"/>
    <cellStyle name="Note 9 2 8 2" xfId="19736" xr:uid="{00000000-0005-0000-0000-0000BC4B0000}"/>
    <cellStyle name="Note 9 3" xfId="1502" xr:uid="{00000000-0005-0000-0000-0000BD4B0000}"/>
    <cellStyle name="Note 9 3 2" xfId="1999" xr:uid="{00000000-0005-0000-0000-0000BE4B0000}"/>
    <cellStyle name="Note 9 3 2 2" xfId="4008" xr:uid="{00000000-0005-0000-0000-0000BF4B0000}"/>
    <cellStyle name="Note 9 3 2 2 2" xfId="8055" xr:uid="{00000000-0005-0000-0000-0000C04B0000}"/>
    <cellStyle name="Note 9 3 2 2 2 2" xfId="17471" xr:uid="{00000000-0005-0000-0000-0000C14B0000}"/>
    <cellStyle name="Note 9 3 2 2 2 2 2" xfId="32303" xr:uid="{00000000-0005-0000-0000-0000C24B0000}"/>
    <cellStyle name="Note 9 3 2 2 2 3" xfId="23834" xr:uid="{00000000-0005-0000-0000-0000C34B0000}"/>
    <cellStyle name="Note 9 3 2 2 3" xfId="14340" xr:uid="{00000000-0005-0000-0000-0000C44B0000}"/>
    <cellStyle name="Note 9 3 2 2 3 2" xfId="29172" xr:uid="{00000000-0005-0000-0000-0000C54B0000}"/>
    <cellStyle name="Note 9 3 2 2 4" xfId="11088" xr:uid="{00000000-0005-0000-0000-0000C64B0000}"/>
    <cellStyle name="Note 9 3 2 2 4 2" xfId="25920" xr:uid="{00000000-0005-0000-0000-0000C74B0000}"/>
    <cellStyle name="Note 9 3 2 2 5" xfId="21472" xr:uid="{00000000-0005-0000-0000-0000C84B0000}"/>
    <cellStyle name="Note 9 3 2 3" xfId="4967" xr:uid="{00000000-0005-0000-0000-0000C94B0000}"/>
    <cellStyle name="Note 9 3 2 3 2" xfId="9006" xr:uid="{00000000-0005-0000-0000-0000CA4B0000}"/>
    <cellStyle name="Note 9 3 2 3 2 2" xfId="17946" xr:uid="{00000000-0005-0000-0000-0000CB4B0000}"/>
    <cellStyle name="Note 9 3 2 3 2 2 2" xfId="32778" xr:uid="{00000000-0005-0000-0000-0000CC4B0000}"/>
    <cellStyle name="Note 9 3 2 3 2 3" xfId="24472" xr:uid="{00000000-0005-0000-0000-0000CD4B0000}"/>
    <cellStyle name="Note 9 3 2 3 3" xfId="15289" xr:uid="{00000000-0005-0000-0000-0000CE4B0000}"/>
    <cellStyle name="Note 9 3 2 3 3 2" xfId="30121" xr:uid="{00000000-0005-0000-0000-0000CF4B0000}"/>
    <cellStyle name="Note 9 3 2 3 4" xfId="11547" xr:uid="{00000000-0005-0000-0000-0000D04B0000}"/>
    <cellStyle name="Note 9 3 2 3 4 2" xfId="26379" xr:uid="{00000000-0005-0000-0000-0000D14B0000}"/>
    <cellStyle name="Note 9 3 2 3 5" xfId="21998" xr:uid="{00000000-0005-0000-0000-0000D24B0000}"/>
    <cellStyle name="Note 9 3 2 4" xfId="2957" xr:uid="{00000000-0005-0000-0000-0000D34B0000}"/>
    <cellStyle name="Note 9 3 2 4 2" xfId="7037" xr:uid="{00000000-0005-0000-0000-0000D44B0000}"/>
    <cellStyle name="Note 9 3 2 4 2 2" xfId="16838" xr:uid="{00000000-0005-0000-0000-0000D54B0000}"/>
    <cellStyle name="Note 9 3 2 4 2 2 2" xfId="31670" xr:uid="{00000000-0005-0000-0000-0000D64B0000}"/>
    <cellStyle name="Note 9 3 2 4 2 3" xfId="23211" xr:uid="{00000000-0005-0000-0000-0000D74B0000}"/>
    <cellStyle name="Note 9 3 2 4 3" xfId="13295" xr:uid="{00000000-0005-0000-0000-0000D84B0000}"/>
    <cellStyle name="Note 9 3 2 4 3 2" xfId="28127" xr:uid="{00000000-0005-0000-0000-0000D94B0000}"/>
    <cellStyle name="Note 9 3 2 4 4" xfId="10493" xr:uid="{00000000-0005-0000-0000-0000DA4B0000}"/>
    <cellStyle name="Note 9 3 2 4 4 2" xfId="25325" xr:uid="{00000000-0005-0000-0000-0000DB4B0000}"/>
    <cellStyle name="Note 9 3 2 4 5" xfId="20883" xr:uid="{00000000-0005-0000-0000-0000DC4B0000}"/>
    <cellStyle name="Note 9 3 2 5" xfId="6129" xr:uid="{00000000-0005-0000-0000-0000DD4B0000}"/>
    <cellStyle name="Note 9 3 2 5 2" xfId="16316" xr:uid="{00000000-0005-0000-0000-0000DE4B0000}"/>
    <cellStyle name="Note 9 3 2 5 2 2" xfId="31148" xr:uid="{00000000-0005-0000-0000-0000DF4B0000}"/>
    <cellStyle name="Note 9 3 2 5 3" xfId="22662" xr:uid="{00000000-0005-0000-0000-0000E04B0000}"/>
    <cellStyle name="Note 9 3 2 6" xfId="12386" xr:uid="{00000000-0005-0000-0000-0000E14B0000}"/>
    <cellStyle name="Note 9 3 2 6 2" xfId="27218" xr:uid="{00000000-0005-0000-0000-0000E24B0000}"/>
    <cellStyle name="Note 9 3 2 7" xfId="9968" xr:uid="{00000000-0005-0000-0000-0000E34B0000}"/>
    <cellStyle name="Note 9 3 2 7 2" xfId="24802" xr:uid="{00000000-0005-0000-0000-0000E44B0000}"/>
    <cellStyle name="Note 9 3 2 8" xfId="20343" xr:uid="{00000000-0005-0000-0000-0000E54B0000}"/>
    <cellStyle name="Note 9 3 3" xfId="3323" xr:uid="{00000000-0005-0000-0000-0000E64B0000}"/>
    <cellStyle name="Note 9 3 3 2" xfId="7386" xr:uid="{00000000-0005-0000-0000-0000E74B0000}"/>
    <cellStyle name="Note 9 3 3 2 2" xfId="17119" xr:uid="{00000000-0005-0000-0000-0000E84B0000}"/>
    <cellStyle name="Note 9 3 3 2 2 2" xfId="31951" xr:uid="{00000000-0005-0000-0000-0000E94B0000}"/>
    <cellStyle name="Note 9 3 3 2 3" xfId="23399" xr:uid="{00000000-0005-0000-0000-0000EA4B0000}"/>
    <cellStyle name="Note 9 3 3 3" xfId="13660" xr:uid="{00000000-0005-0000-0000-0000EB4B0000}"/>
    <cellStyle name="Note 9 3 3 3 2" xfId="28492" xr:uid="{00000000-0005-0000-0000-0000EC4B0000}"/>
    <cellStyle name="Note 9 3 3 4" xfId="10740" xr:uid="{00000000-0005-0000-0000-0000ED4B0000}"/>
    <cellStyle name="Note 9 3 3 4 2" xfId="25572" xr:uid="{00000000-0005-0000-0000-0000EE4B0000}"/>
    <cellStyle name="Note 9 3 3 5" xfId="21087" xr:uid="{00000000-0005-0000-0000-0000EF4B0000}"/>
    <cellStyle name="Note 9 3 4" xfId="4547" xr:uid="{00000000-0005-0000-0000-0000F04B0000}"/>
    <cellStyle name="Note 9 3 4 2" xfId="8586" xr:uid="{00000000-0005-0000-0000-0000F14B0000}"/>
    <cellStyle name="Note 9 3 4 2 2" xfId="17706" xr:uid="{00000000-0005-0000-0000-0000F24B0000}"/>
    <cellStyle name="Note 9 3 4 2 2 2" xfId="32538" xr:uid="{00000000-0005-0000-0000-0000F34B0000}"/>
    <cellStyle name="Note 9 3 4 2 3" xfId="24212" xr:uid="{00000000-0005-0000-0000-0000F44B0000}"/>
    <cellStyle name="Note 9 3 4 3" xfId="14874" xr:uid="{00000000-0005-0000-0000-0000F54B0000}"/>
    <cellStyle name="Note 9 3 4 3 2" xfId="29706" xr:uid="{00000000-0005-0000-0000-0000F64B0000}"/>
    <cellStyle name="Note 9 3 4 4" xfId="11312" xr:uid="{00000000-0005-0000-0000-0000F74B0000}"/>
    <cellStyle name="Note 9 3 4 4 2" xfId="26144" xr:uid="{00000000-0005-0000-0000-0000F84B0000}"/>
    <cellStyle name="Note 9 3 4 5" xfId="21768" xr:uid="{00000000-0005-0000-0000-0000F94B0000}"/>
    <cellStyle name="Note 9 3 5" xfId="2537" xr:uid="{00000000-0005-0000-0000-0000FA4B0000}"/>
    <cellStyle name="Note 9 3 5 2" xfId="6643" xr:uid="{00000000-0005-0000-0000-0000FB4B0000}"/>
    <cellStyle name="Note 9 3 5 2 2" xfId="16603" xr:uid="{00000000-0005-0000-0000-0000FC4B0000}"/>
    <cellStyle name="Note 9 3 5 2 2 2" xfId="31435" xr:uid="{00000000-0005-0000-0000-0000FD4B0000}"/>
    <cellStyle name="Note 9 3 5 2 3" xfId="22981" xr:uid="{00000000-0005-0000-0000-0000FE4B0000}"/>
    <cellStyle name="Note 9 3 5 3" xfId="12875" xr:uid="{00000000-0005-0000-0000-0000FF4B0000}"/>
    <cellStyle name="Note 9 3 5 3 2" xfId="27707" xr:uid="{00000000-0005-0000-0000-0000004C0000}"/>
    <cellStyle name="Note 9 3 5 4" xfId="10253" xr:uid="{00000000-0005-0000-0000-0000014C0000}"/>
    <cellStyle name="Note 9 3 5 4 2" xfId="25085" xr:uid="{00000000-0005-0000-0000-0000024C0000}"/>
    <cellStyle name="Note 9 3 5 5" xfId="20623" xr:uid="{00000000-0005-0000-0000-0000034C0000}"/>
    <cellStyle name="Note 9 3 6" xfId="5660" xr:uid="{00000000-0005-0000-0000-0000044C0000}"/>
    <cellStyle name="Note 9 3 6 2" xfId="15895" xr:uid="{00000000-0005-0000-0000-0000054C0000}"/>
    <cellStyle name="Note 9 3 6 2 2" xfId="30727" xr:uid="{00000000-0005-0000-0000-0000064C0000}"/>
    <cellStyle name="Note 9 3 6 3" xfId="22356" xr:uid="{00000000-0005-0000-0000-0000074C0000}"/>
    <cellStyle name="Note 9 3 7" xfId="11915" xr:uid="{00000000-0005-0000-0000-0000084C0000}"/>
    <cellStyle name="Note 9 3 7 2" xfId="26747" xr:uid="{00000000-0005-0000-0000-0000094C0000}"/>
    <cellStyle name="Note 9 3 8" xfId="9573" xr:uid="{00000000-0005-0000-0000-00000A4C0000}"/>
    <cellStyle name="Note 9 3 8 2" xfId="19875" xr:uid="{00000000-0005-0000-0000-00000B4C0000}"/>
    <cellStyle name="Note 9 4" xfId="1559" xr:uid="{00000000-0005-0000-0000-00000C4C0000}"/>
    <cellStyle name="Note 9 4 2" xfId="2056" xr:uid="{00000000-0005-0000-0000-00000D4C0000}"/>
    <cellStyle name="Note 9 4 2 2" xfId="3385" xr:uid="{00000000-0005-0000-0000-00000E4C0000}"/>
    <cellStyle name="Note 9 4 2 2 2" xfId="7448" xr:uid="{00000000-0005-0000-0000-00000F4C0000}"/>
    <cellStyle name="Note 9 4 2 2 2 2" xfId="17154" xr:uid="{00000000-0005-0000-0000-0000104C0000}"/>
    <cellStyle name="Note 9 4 2 2 2 2 2" xfId="31986" xr:uid="{00000000-0005-0000-0000-0000114C0000}"/>
    <cellStyle name="Note 9 4 2 2 2 3" xfId="23440" xr:uid="{00000000-0005-0000-0000-0000124C0000}"/>
    <cellStyle name="Note 9 4 2 2 3" xfId="13722" xr:uid="{00000000-0005-0000-0000-0000134C0000}"/>
    <cellStyle name="Note 9 4 2 2 3 2" xfId="28554" xr:uid="{00000000-0005-0000-0000-0000144C0000}"/>
    <cellStyle name="Note 9 4 2 2 4" xfId="10773" xr:uid="{00000000-0005-0000-0000-0000154C0000}"/>
    <cellStyle name="Note 9 4 2 2 4 2" xfId="25605" xr:uid="{00000000-0005-0000-0000-0000164C0000}"/>
    <cellStyle name="Note 9 4 2 2 5" xfId="21122" xr:uid="{00000000-0005-0000-0000-0000174C0000}"/>
    <cellStyle name="Note 9 4 2 3" xfId="5024" xr:uid="{00000000-0005-0000-0000-0000184C0000}"/>
    <cellStyle name="Note 9 4 2 3 2" xfId="9063" xr:uid="{00000000-0005-0000-0000-0000194C0000}"/>
    <cellStyle name="Note 9 4 2 3 2 2" xfId="17996" xr:uid="{00000000-0005-0000-0000-00001A4C0000}"/>
    <cellStyle name="Note 9 4 2 3 2 2 2" xfId="32828" xr:uid="{00000000-0005-0000-0000-00001B4C0000}"/>
    <cellStyle name="Note 9 4 2 3 2 3" xfId="24497" xr:uid="{00000000-0005-0000-0000-00001C4C0000}"/>
    <cellStyle name="Note 9 4 2 3 3" xfId="15345" xr:uid="{00000000-0005-0000-0000-00001D4C0000}"/>
    <cellStyle name="Note 9 4 2 3 3 2" xfId="30177" xr:uid="{00000000-0005-0000-0000-00001E4C0000}"/>
    <cellStyle name="Note 9 4 2 3 4" xfId="11596" xr:uid="{00000000-0005-0000-0000-00001F4C0000}"/>
    <cellStyle name="Note 9 4 2 3 4 2" xfId="26428" xr:uid="{00000000-0005-0000-0000-0000204C0000}"/>
    <cellStyle name="Note 9 4 2 3 5" xfId="22017" xr:uid="{00000000-0005-0000-0000-0000214C0000}"/>
    <cellStyle name="Note 9 4 2 4" xfId="3014" xr:uid="{00000000-0005-0000-0000-0000224C0000}"/>
    <cellStyle name="Note 9 4 2 4 2" xfId="7089" xr:uid="{00000000-0005-0000-0000-0000234C0000}"/>
    <cellStyle name="Note 9 4 2 4 2 2" xfId="16887" xr:uid="{00000000-0005-0000-0000-0000244C0000}"/>
    <cellStyle name="Note 9 4 2 4 2 2 2" xfId="31719" xr:uid="{00000000-0005-0000-0000-0000254C0000}"/>
    <cellStyle name="Note 9 4 2 4 2 3" xfId="23230" xr:uid="{00000000-0005-0000-0000-0000264C0000}"/>
    <cellStyle name="Note 9 4 2 4 3" xfId="13352" xr:uid="{00000000-0005-0000-0000-0000274C0000}"/>
    <cellStyle name="Note 9 4 2 4 3 2" xfId="28184" xr:uid="{00000000-0005-0000-0000-0000284C0000}"/>
    <cellStyle name="Note 9 4 2 4 4" xfId="10543" xr:uid="{00000000-0005-0000-0000-0000294C0000}"/>
    <cellStyle name="Note 9 4 2 4 4 2" xfId="25375" xr:uid="{00000000-0005-0000-0000-00002A4C0000}"/>
    <cellStyle name="Note 9 4 2 4 5" xfId="20908" xr:uid="{00000000-0005-0000-0000-00002B4C0000}"/>
    <cellStyle name="Note 9 4 2 5" xfId="6181" xr:uid="{00000000-0005-0000-0000-00002C4C0000}"/>
    <cellStyle name="Note 9 4 2 5 2" xfId="16367" xr:uid="{00000000-0005-0000-0000-00002D4C0000}"/>
    <cellStyle name="Note 9 4 2 5 2 2" xfId="31199" xr:uid="{00000000-0005-0000-0000-00002E4C0000}"/>
    <cellStyle name="Note 9 4 2 5 3" xfId="22681" xr:uid="{00000000-0005-0000-0000-00002F4C0000}"/>
    <cellStyle name="Note 9 4 2 6" xfId="12437" xr:uid="{00000000-0005-0000-0000-0000304C0000}"/>
    <cellStyle name="Note 9 4 2 6 2" xfId="27269" xr:uid="{00000000-0005-0000-0000-0000314C0000}"/>
    <cellStyle name="Note 9 4 2 7" xfId="10019" xr:uid="{00000000-0005-0000-0000-0000324C0000}"/>
    <cellStyle name="Note 9 4 2 7 2" xfId="24851" xr:uid="{00000000-0005-0000-0000-0000334C0000}"/>
    <cellStyle name="Note 9 4 2 8" xfId="20360" xr:uid="{00000000-0005-0000-0000-0000344C0000}"/>
    <cellStyle name="Note 9 4 3" xfId="3273" xr:uid="{00000000-0005-0000-0000-0000354C0000}"/>
    <cellStyle name="Note 9 4 3 2" xfId="7337" xr:uid="{00000000-0005-0000-0000-0000364C0000}"/>
    <cellStyle name="Note 9 4 3 2 2" xfId="17081" xr:uid="{00000000-0005-0000-0000-0000374C0000}"/>
    <cellStyle name="Note 9 4 3 2 2 2" xfId="31913" xr:uid="{00000000-0005-0000-0000-0000384C0000}"/>
    <cellStyle name="Note 9 4 3 2 3" xfId="23368" xr:uid="{00000000-0005-0000-0000-0000394C0000}"/>
    <cellStyle name="Note 9 4 3 3" xfId="13610" xr:uid="{00000000-0005-0000-0000-00003A4C0000}"/>
    <cellStyle name="Note 9 4 3 3 2" xfId="28442" xr:uid="{00000000-0005-0000-0000-00003B4C0000}"/>
    <cellStyle name="Note 9 4 3 4" xfId="10709" xr:uid="{00000000-0005-0000-0000-00003C4C0000}"/>
    <cellStyle name="Note 9 4 3 4 2" xfId="25541" xr:uid="{00000000-0005-0000-0000-00003D4C0000}"/>
    <cellStyle name="Note 9 4 3 5" xfId="21055" xr:uid="{00000000-0005-0000-0000-00003E4C0000}"/>
    <cellStyle name="Note 9 4 4" xfId="4604" xr:uid="{00000000-0005-0000-0000-00003F4C0000}"/>
    <cellStyle name="Note 9 4 4 2" xfId="8643" xr:uid="{00000000-0005-0000-0000-0000404C0000}"/>
    <cellStyle name="Note 9 4 4 2 2" xfId="17756" xr:uid="{00000000-0005-0000-0000-0000414C0000}"/>
    <cellStyle name="Note 9 4 4 2 2 2" xfId="32588" xr:uid="{00000000-0005-0000-0000-0000424C0000}"/>
    <cellStyle name="Note 9 4 4 2 3" xfId="24237" xr:uid="{00000000-0005-0000-0000-0000434C0000}"/>
    <cellStyle name="Note 9 4 4 3" xfId="14930" xr:uid="{00000000-0005-0000-0000-0000444C0000}"/>
    <cellStyle name="Note 9 4 4 3 2" xfId="29762" xr:uid="{00000000-0005-0000-0000-0000454C0000}"/>
    <cellStyle name="Note 9 4 4 4" xfId="11361" xr:uid="{00000000-0005-0000-0000-0000464C0000}"/>
    <cellStyle name="Note 9 4 4 4 2" xfId="26193" xr:uid="{00000000-0005-0000-0000-0000474C0000}"/>
    <cellStyle name="Note 9 4 4 5" xfId="21787" xr:uid="{00000000-0005-0000-0000-0000484C0000}"/>
    <cellStyle name="Note 9 4 5" xfId="2594" xr:uid="{00000000-0005-0000-0000-0000494C0000}"/>
    <cellStyle name="Note 9 4 5 2" xfId="6695" xr:uid="{00000000-0005-0000-0000-00004A4C0000}"/>
    <cellStyle name="Note 9 4 5 2 2" xfId="16652" xr:uid="{00000000-0005-0000-0000-00004B4C0000}"/>
    <cellStyle name="Note 9 4 5 2 2 2" xfId="31484" xr:uid="{00000000-0005-0000-0000-00004C4C0000}"/>
    <cellStyle name="Note 9 4 5 2 3" xfId="23000" xr:uid="{00000000-0005-0000-0000-00004D4C0000}"/>
    <cellStyle name="Note 9 4 5 3" xfId="12932" xr:uid="{00000000-0005-0000-0000-00004E4C0000}"/>
    <cellStyle name="Note 9 4 5 3 2" xfId="27764" xr:uid="{00000000-0005-0000-0000-00004F4C0000}"/>
    <cellStyle name="Note 9 4 5 4" xfId="10303" xr:uid="{00000000-0005-0000-0000-0000504C0000}"/>
    <cellStyle name="Note 9 4 5 4 2" xfId="25135" xr:uid="{00000000-0005-0000-0000-0000514C0000}"/>
    <cellStyle name="Note 9 4 5 5" xfId="20648" xr:uid="{00000000-0005-0000-0000-0000524C0000}"/>
    <cellStyle name="Note 9 4 6" xfId="5711" xr:uid="{00000000-0005-0000-0000-0000534C0000}"/>
    <cellStyle name="Note 9 4 6 2" xfId="15946" xr:uid="{00000000-0005-0000-0000-0000544C0000}"/>
    <cellStyle name="Note 9 4 6 2 2" xfId="30778" xr:uid="{00000000-0005-0000-0000-0000554C0000}"/>
    <cellStyle name="Note 9 4 6 3" xfId="22375" xr:uid="{00000000-0005-0000-0000-0000564C0000}"/>
    <cellStyle name="Note 9 4 7" xfId="11966" xr:uid="{00000000-0005-0000-0000-0000574C0000}"/>
    <cellStyle name="Note 9 4 7 2" xfId="26798" xr:uid="{00000000-0005-0000-0000-0000584C0000}"/>
    <cellStyle name="Note 9 4 8" xfId="9625" xr:uid="{00000000-0005-0000-0000-0000594C0000}"/>
    <cellStyle name="Note 9 4 8 2" xfId="19926" xr:uid="{00000000-0005-0000-0000-00005A4C0000}"/>
    <cellStyle name="Note 9 5" xfId="1536" xr:uid="{00000000-0005-0000-0000-00005B4C0000}"/>
    <cellStyle name="Note 9 5 2" xfId="2033" xr:uid="{00000000-0005-0000-0000-00005C4C0000}"/>
    <cellStyle name="Note 9 5 2 2" xfId="3449" xr:uid="{00000000-0005-0000-0000-00005D4C0000}"/>
    <cellStyle name="Note 9 5 2 2 2" xfId="7512" xr:uid="{00000000-0005-0000-0000-00005E4C0000}"/>
    <cellStyle name="Note 9 5 2 2 2 2" xfId="17196" xr:uid="{00000000-0005-0000-0000-00005F4C0000}"/>
    <cellStyle name="Note 9 5 2 2 2 2 2" xfId="32028" xr:uid="{00000000-0005-0000-0000-0000604C0000}"/>
    <cellStyle name="Note 9 5 2 2 2 3" xfId="23483" xr:uid="{00000000-0005-0000-0000-0000614C0000}"/>
    <cellStyle name="Note 9 5 2 2 3" xfId="13786" xr:uid="{00000000-0005-0000-0000-0000624C0000}"/>
    <cellStyle name="Note 9 5 2 2 3 2" xfId="28618" xr:uid="{00000000-0005-0000-0000-0000634C0000}"/>
    <cellStyle name="Note 9 5 2 2 4" xfId="10815" xr:uid="{00000000-0005-0000-0000-0000644C0000}"/>
    <cellStyle name="Note 9 5 2 2 4 2" xfId="25647" xr:uid="{00000000-0005-0000-0000-0000654C0000}"/>
    <cellStyle name="Note 9 5 2 2 5" xfId="21159" xr:uid="{00000000-0005-0000-0000-0000664C0000}"/>
    <cellStyle name="Note 9 5 2 3" xfId="5001" xr:uid="{00000000-0005-0000-0000-0000674C0000}"/>
    <cellStyle name="Note 9 5 2 3 2" xfId="9040" xr:uid="{00000000-0005-0000-0000-0000684C0000}"/>
    <cellStyle name="Note 9 5 2 3 2 2" xfId="17978" xr:uid="{00000000-0005-0000-0000-0000694C0000}"/>
    <cellStyle name="Note 9 5 2 3 2 2 2" xfId="32810" xr:uid="{00000000-0005-0000-0000-00006A4C0000}"/>
    <cellStyle name="Note 9 5 2 3 2 3" xfId="24490" xr:uid="{00000000-0005-0000-0000-00006B4C0000}"/>
    <cellStyle name="Note 9 5 2 3 3" xfId="15323" xr:uid="{00000000-0005-0000-0000-00006C4C0000}"/>
    <cellStyle name="Note 9 5 2 3 3 2" xfId="30155" xr:uid="{00000000-0005-0000-0000-00006D4C0000}"/>
    <cellStyle name="Note 9 5 2 3 4" xfId="11579" xr:uid="{00000000-0005-0000-0000-00006E4C0000}"/>
    <cellStyle name="Note 9 5 2 3 4 2" xfId="26411" xr:uid="{00000000-0005-0000-0000-00006F4C0000}"/>
    <cellStyle name="Note 9 5 2 3 5" xfId="22016" xr:uid="{00000000-0005-0000-0000-0000704C0000}"/>
    <cellStyle name="Note 9 5 2 4" xfId="2991" xr:uid="{00000000-0005-0000-0000-0000714C0000}"/>
    <cellStyle name="Note 9 5 2 4 2" xfId="7071" xr:uid="{00000000-0005-0000-0000-0000724C0000}"/>
    <cellStyle name="Note 9 5 2 4 2 2" xfId="16870" xr:uid="{00000000-0005-0000-0000-0000734C0000}"/>
    <cellStyle name="Note 9 5 2 4 2 2 2" xfId="31702" xr:uid="{00000000-0005-0000-0000-0000744C0000}"/>
    <cellStyle name="Note 9 5 2 4 2 3" xfId="23229" xr:uid="{00000000-0005-0000-0000-0000754C0000}"/>
    <cellStyle name="Note 9 5 2 4 3" xfId="13329" xr:uid="{00000000-0005-0000-0000-0000764C0000}"/>
    <cellStyle name="Note 9 5 2 4 3 2" xfId="28161" xr:uid="{00000000-0005-0000-0000-0000774C0000}"/>
    <cellStyle name="Note 9 5 2 4 4" xfId="10525" xr:uid="{00000000-0005-0000-0000-0000784C0000}"/>
    <cellStyle name="Note 9 5 2 4 4 2" xfId="25357" xr:uid="{00000000-0005-0000-0000-0000794C0000}"/>
    <cellStyle name="Note 9 5 2 4 5" xfId="20901" xr:uid="{00000000-0005-0000-0000-00007A4C0000}"/>
    <cellStyle name="Note 9 5 2 5" xfId="6163" xr:uid="{00000000-0005-0000-0000-00007B4C0000}"/>
    <cellStyle name="Note 9 5 2 5 2" xfId="16350" xr:uid="{00000000-0005-0000-0000-00007C4C0000}"/>
    <cellStyle name="Note 9 5 2 5 2 2" xfId="31182" xr:uid="{00000000-0005-0000-0000-00007D4C0000}"/>
    <cellStyle name="Note 9 5 2 5 3" xfId="22680" xr:uid="{00000000-0005-0000-0000-00007E4C0000}"/>
    <cellStyle name="Note 9 5 2 6" xfId="12420" xr:uid="{00000000-0005-0000-0000-00007F4C0000}"/>
    <cellStyle name="Note 9 5 2 6 2" xfId="27252" xr:uid="{00000000-0005-0000-0000-0000804C0000}"/>
    <cellStyle name="Note 9 5 2 7" xfId="10002" xr:uid="{00000000-0005-0000-0000-0000814C0000}"/>
    <cellStyle name="Note 9 5 2 7 2" xfId="24834" xr:uid="{00000000-0005-0000-0000-0000824C0000}"/>
    <cellStyle name="Note 9 5 2 8" xfId="20359" xr:uid="{00000000-0005-0000-0000-0000834C0000}"/>
    <cellStyle name="Note 9 5 3" xfId="3202" xr:uid="{00000000-0005-0000-0000-0000844C0000}"/>
    <cellStyle name="Note 9 5 3 2" xfId="7266" xr:uid="{00000000-0005-0000-0000-0000854C0000}"/>
    <cellStyle name="Note 9 5 3 2 2" xfId="17033" xr:uid="{00000000-0005-0000-0000-0000864C0000}"/>
    <cellStyle name="Note 9 5 3 2 2 2" xfId="31865" xr:uid="{00000000-0005-0000-0000-0000874C0000}"/>
    <cellStyle name="Note 9 5 3 2 3" xfId="23316" xr:uid="{00000000-0005-0000-0000-0000884C0000}"/>
    <cellStyle name="Note 9 5 3 3" xfId="13540" xr:uid="{00000000-0005-0000-0000-0000894C0000}"/>
    <cellStyle name="Note 9 5 3 3 2" xfId="28372" xr:uid="{00000000-0005-0000-0000-00008A4C0000}"/>
    <cellStyle name="Note 9 5 3 4" xfId="10677" xr:uid="{00000000-0005-0000-0000-00008B4C0000}"/>
    <cellStyle name="Note 9 5 3 4 2" xfId="25509" xr:uid="{00000000-0005-0000-0000-00008C4C0000}"/>
    <cellStyle name="Note 9 5 3 5" xfId="21006" xr:uid="{00000000-0005-0000-0000-00008D4C0000}"/>
    <cellStyle name="Note 9 5 4" xfId="4581" xr:uid="{00000000-0005-0000-0000-00008E4C0000}"/>
    <cellStyle name="Note 9 5 4 2" xfId="8620" xr:uid="{00000000-0005-0000-0000-00008F4C0000}"/>
    <cellStyle name="Note 9 5 4 2 2" xfId="17738" xr:uid="{00000000-0005-0000-0000-0000904C0000}"/>
    <cellStyle name="Note 9 5 4 2 2 2" xfId="32570" xr:uid="{00000000-0005-0000-0000-0000914C0000}"/>
    <cellStyle name="Note 9 5 4 2 3" xfId="24230" xr:uid="{00000000-0005-0000-0000-0000924C0000}"/>
    <cellStyle name="Note 9 5 4 3" xfId="14908" xr:uid="{00000000-0005-0000-0000-0000934C0000}"/>
    <cellStyle name="Note 9 5 4 3 2" xfId="29740" xr:uid="{00000000-0005-0000-0000-0000944C0000}"/>
    <cellStyle name="Note 9 5 4 4" xfId="11344" xr:uid="{00000000-0005-0000-0000-0000954C0000}"/>
    <cellStyle name="Note 9 5 4 4 2" xfId="26176" xr:uid="{00000000-0005-0000-0000-0000964C0000}"/>
    <cellStyle name="Note 9 5 4 5" xfId="21786" xr:uid="{00000000-0005-0000-0000-0000974C0000}"/>
    <cellStyle name="Note 9 5 5" xfId="2571" xr:uid="{00000000-0005-0000-0000-0000984C0000}"/>
    <cellStyle name="Note 9 5 5 2" xfId="6677" xr:uid="{00000000-0005-0000-0000-0000994C0000}"/>
    <cellStyle name="Note 9 5 5 2 2" xfId="16635" xr:uid="{00000000-0005-0000-0000-00009A4C0000}"/>
    <cellStyle name="Note 9 5 5 2 2 2" xfId="31467" xr:uid="{00000000-0005-0000-0000-00009B4C0000}"/>
    <cellStyle name="Note 9 5 5 2 3" xfId="22999" xr:uid="{00000000-0005-0000-0000-00009C4C0000}"/>
    <cellStyle name="Note 9 5 5 3" xfId="12909" xr:uid="{00000000-0005-0000-0000-00009D4C0000}"/>
    <cellStyle name="Note 9 5 5 3 2" xfId="27741" xr:uid="{00000000-0005-0000-0000-00009E4C0000}"/>
    <cellStyle name="Note 9 5 5 4" xfId="10285" xr:uid="{00000000-0005-0000-0000-00009F4C0000}"/>
    <cellStyle name="Note 9 5 5 4 2" xfId="25117" xr:uid="{00000000-0005-0000-0000-0000A04C0000}"/>
    <cellStyle name="Note 9 5 5 5" xfId="20641" xr:uid="{00000000-0005-0000-0000-0000A14C0000}"/>
    <cellStyle name="Note 9 5 6" xfId="5694" xr:uid="{00000000-0005-0000-0000-0000A24C0000}"/>
    <cellStyle name="Note 9 5 6 2" xfId="15929" xr:uid="{00000000-0005-0000-0000-0000A34C0000}"/>
    <cellStyle name="Note 9 5 6 2 2" xfId="30761" xr:uid="{00000000-0005-0000-0000-0000A44C0000}"/>
    <cellStyle name="Note 9 5 6 3" xfId="22374" xr:uid="{00000000-0005-0000-0000-0000A54C0000}"/>
    <cellStyle name="Note 9 5 7" xfId="11949" xr:uid="{00000000-0005-0000-0000-0000A64C0000}"/>
    <cellStyle name="Note 9 5 7 2" xfId="26781" xr:uid="{00000000-0005-0000-0000-0000A74C0000}"/>
    <cellStyle name="Note 9 5 8" xfId="9607" xr:uid="{00000000-0005-0000-0000-0000A84C0000}"/>
    <cellStyle name="Note 9 5 8 2" xfId="19909" xr:uid="{00000000-0005-0000-0000-0000A94C0000}"/>
    <cellStyle name="Note 9 6" xfId="1760" xr:uid="{00000000-0005-0000-0000-0000AA4C0000}"/>
    <cellStyle name="Note 9 6 2" xfId="3580" xr:uid="{00000000-0005-0000-0000-0000AB4C0000}"/>
    <cellStyle name="Note 9 6 2 2" xfId="7642" xr:uid="{00000000-0005-0000-0000-0000AC4C0000}"/>
    <cellStyle name="Note 9 6 2 2 2" xfId="17266" xr:uid="{00000000-0005-0000-0000-0000AD4C0000}"/>
    <cellStyle name="Note 9 6 2 2 2 2" xfId="32098" xr:uid="{00000000-0005-0000-0000-0000AE4C0000}"/>
    <cellStyle name="Note 9 6 2 2 3" xfId="23564" xr:uid="{00000000-0005-0000-0000-0000AF4C0000}"/>
    <cellStyle name="Note 9 6 2 3" xfId="13916" xr:uid="{00000000-0005-0000-0000-0000B04C0000}"/>
    <cellStyle name="Note 9 6 2 3 2" xfId="28748" xr:uid="{00000000-0005-0000-0000-0000B14C0000}"/>
    <cellStyle name="Note 9 6 2 4" xfId="10883" xr:uid="{00000000-0005-0000-0000-0000B24C0000}"/>
    <cellStyle name="Note 9 6 2 4 2" xfId="25715" xr:uid="{00000000-0005-0000-0000-0000B34C0000}"/>
    <cellStyle name="Note 9 6 2 5" xfId="21233" xr:uid="{00000000-0005-0000-0000-0000B44C0000}"/>
    <cellStyle name="Note 9 6 3" xfId="4738" xr:uid="{00000000-0005-0000-0000-0000B54C0000}"/>
    <cellStyle name="Note 9 6 3 2" xfId="8777" xr:uid="{00000000-0005-0000-0000-0000B64C0000}"/>
    <cellStyle name="Note 9 6 3 2 2" xfId="17849" xr:uid="{00000000-0005-0000-0000-0000B74C0000}"/>
    <cellStyle name="Note 9 6 3 2 2 2" xfId="32681" xr:uid="{00000000-0005-0000-0000-0000B84C0000}"/>
    <cellStyle name="Note 9 6 3 2 3" xfId="24307" xr:uid="{00000000-0005-0000-0000-0000B94C0000}"/>
    <cellStyle name="Note 9 6 3 3" xfId="15062" xr:uid="{00000000-0005-0000-0000-0000BA4C0000}"/>
    <cellStyle name="Note 9 6 3 3 2" xfId="29894" xr:uid="{00000000-0005-0000-0000-0000BB4C0000}"/>
    <cellStyle name="Note 9 6 3 4" xfId="11452" xr:uid="{00000000-0005-0000-0000-0000BC4C0000}"/>
    <cellStyle name="Note 9 6 3 4 2" xfId="26284" xr:uid="{00000000-0005-0000-0000-0000BD4C0000}"/>
    <cellStyle name="Note 9 6 3 5" xfId="21845" xr:uid="{00000000-0005-0000-0000-0000BE4C0000}"/>
    <cellStyle name="Note 9 6 4" xfId="2728" xr:uid="{00000000-0005-0000-0000-0000BF4C0000}"/>
    <cellStyle name="Note 9 6 4 2" xfId="6819" xr:uid="{00000000-0005-0000-0000-0000C04C0000}"/>
    <cellStyle name="Note 9 6 4 2 2" xfId="16743" xr:uid="{00000000-0005-0000-0000-0000C14C0000}"/>
    <cellStyle name="Note 9 6 4 2 2 2" xfId="31575" xr:uid="{00000000-0005-0000-0000-0000C24C0000}"/>
    <cellStyle name="Note 9 6 4 2 3" xfId="23058" xr:uid="{00000000-0005-0000-0000-0000C34C0000}"/>
    <cellStyle name="Note 9 6 4 3" xfId="13066" xr:uid="{00000000-0005-0000-0000-0000C44C0000}"/>
    <cellStyle name="Note 9 6 4 3 2" xfId="27898" xr:uid="{00000000-0005-0000-0000-0000C54C0000}"/>
    <cellStyle name="Note 9 6 4 4" xfId="10396" xr:uid="{00000000-0005-0000-0000-0000C64C0000}"/>
    <cellStyle name="Note 9 6 4 4 2" xfId="25228" xr:uid="{00000000-0005-0000-0000-0000C74C0000}"/>
    <cellStyle name="Note 9 6 4 5" xfId="20718" xr:uid="{00000000-0005-0000-0000-0000C84C0000}"/>
    <cellStyle name="Note 9 6 5" xfId="5892" xr:uid="{00000000-0005-0000-0000-0000C94C0000}"/>
    <cellStyle name="Note 9 6 5 2" xfId="16084" xr:uid="{00000000-0005-0000-0000-0000CA4C0000}"/>
    <cellStyle name="Note 9 6 5 2 2" xfId="30916" xr:uid="{00000000-0005-0000-0000-0000CB4C0000}"/>
    <cellStyle name="Note 9 6 5 3" xfId="22489" xr:uid="{00000000-0005-0000-0000-0000CC4C0000}"/>
    <cellStyle name="Note 9 6 6" xfId="12154" xr:uid="{00000000-0005-0000-0000-0000CD4C0000}"/>
    <cellStyle name="Note 9 6 6 2" xfId="26986" xr:uid="{00000000-0005-0000-0000-0000CE4C0000}"/>
    <cellStyle name="Note 9 6 7" xfId="9750" xr:uid="{00000000-0005-0000-0000-0000CF4C0000}"/>
    <cellStyle name="Note 9 6 7 2" xfId="24707" xr:uid="{00000000-0005-0000-0000-0000D04C0000}"/>
    <cellStyle name="Note 9 6 8" xfId="20297" xr:uid="{00000000-0005-0000-0000-0000D14C0000}"/>
    <cellStyle name="Note 9 7" xfId="2206" xr:uid="{00000000-0005-0000-0000-0000D24C0000}"/>
    <cellStyle name="Note 9 7 2" xfId="4106" xr:uid="{00000000-0005-0000-0000-0000D34C0000}"/>
    <cellStyle name="Note 9 7 2 2" xfId="8152" xr:uid="{00000000-0005-0000-0000-0000D44C0000}"/>
    <cellStyle name="Note 9 7 2 2 2" xfId="17522" xr:uid="{00000000-0005-0000-0000-0000D54C0000}"/>
    <cellStyle name="Note 9 7 2 2 2 2" xfId="32354" xr:uid="{00000000-0005-0000-0000-0000D64C0000}"/>
    <cellStyle name="Note 9 7 2 2 3" xfId="23894" xr:uid="{00000000-0005-0000-0000-0000D74C0000}"/>
    <cellStyle name="Note 9 7 2 3" xfId="14438" xr:uid="{00000000-0005-0000-0000-0000D84C0000}"/>
    <cellStyle name="Note 9 7 2 3 2" xfId="29270" xr:uid="{00000000-0005-0000-0000-0000D94C0000}"/>
    <cellStyle name="Note 9 7 2 4" xfId="11139" xr:uid="{00000000-0005-0000-0000-0000DA4C0000}"/>
    <cellStyle name="Note 9 7 2 4 2" xfId="25971" xr:uid="{00000000-0005-0000-0000-0000DB4C0000}"/>
    <cellStyle name="Note 9 7 2 5" xfId="21524" xr:uid="{00000000-0005-0000-0000-0000DC4C0000}"/>
    <cellStyle name="Note 9 7 3" xfId="5174" xr:uid="{00000000-0005-0000-0000-0000DD4C0000}"/>
    <cellStyle name="Note 9 7 3 2" xfId="9213" xr:uid="{00000000-0005-0000-0000-0000DE4C0000}"/>
    <cellStyle name="Note 9 7 3 2 2" xfId="18136" xr:uid="{00000000-0005-0000-0000-0000DF4C0000}"/>
    <cellStyle name="Note 9 7 3 2 2 2" xfId="32968" xr:uid="{00000000-0005-0000-0000-0000E04C0000}"/>
    <cellStyle name="Note 9 7 3 2 3" xfId="24551" xr:uid="{00000000-0005-0000-0000-0000E14C0000}"/>
    <cellStyle name="Note 9 7 3 3" xfId="15492" xr:uid="{00000000-0005-0000-0000-0000E24C0000}"/>
    <cellStyle name="Note 9 7 3 3 2" xfId="30324" xr:uid="{00000000-0005-0000-0000-0000E34C0000}"/>
    <cellStyle name="Note 9 7 3 4" xfId="11733" xr:uid="{00000000-0005-0000-0000-0000E44C0000}"/>
    <cellStyle name="Note 9 7 3 4 2" xfId="26565" xr:uid="{00000000-0005-0000-0000-0000E54C0000}"/>
    <cellStyle name="Note 9 7 3 5" xfId="22058" xr:uid="{00000000-0005-0000-0000-0000E64C0000}"/>
    <cellStyle name="Note 9 7 4" xfId="4204" xr:uid="{00000000-0005-0000-0000-0000E74C0000}"/>
    <cellStyle name="Note 9 7 4 2" xfId="8245" xr:uid="{00000000-0005-0000-0000-0000E84C0000}"/>
    <cellStyle name="Note 9 7 4 2 2" xfId="17592" xr:uid="{00000000-0005-0000-0000-0000E94C0000}"/>
    <cellStyle name="Note 9 7 4 2 2 2" xfId="32424" xr:uid="{00000000-0005-0000-0000-0000EA4C0000}"/>
    <cellStyle name="Note 9 7 4 2 3" xfId="23940" xr:uid="{00000000-0005-0000-0000-0000EB4C0000}"/>
    <cellStyle name="Note 9 7 4 3" xfId="14536" xr:uid="{00000000-0005-0000-0000-0000EC4C0000}"/>
    <cellStyle name="Note 9 7 4 3 2" xfId="29368" xr:uid="{00000000-0005-0000-0000-0000ED4C0000}"/>
    <cellStyle name="Note 9 7 4 4" xfId="11212" xr:uid="{00000000-0005-0000-0000-0000EE4C0000}"/>
    <cellStyle name="Note 9 7 4 4 2" xfId="26044" xr:uid="{00000000-0005-0000-0000-0000EF4C0000}"/>
    <cellStyle name="Note 9 7 4 5" xfId="21565" xr:uid="{00000000-0005-0000-0000-0000F04C0000}"/>
    <cellStyle name="Note 9 7 5" xfId="6320" xr:uid="{00000000-0005-0000-0000-0000F14C0000}"/>
    <cellStyle name="Note 9 7 5 2" xfId="16504" xr:uid="{00000000-0005-0000-0000-0000F24C0000}"/>
    <cellStyle name="Note 9 7 5 2 2" xfId="31336" xr:uid="{00000000-0005-0000-0000-0000F34C0000}"/>
    <cellStyle name="Note 9 7 5 3" xfId="22722" xr:uid="{00000000-0005-0000-0000-0000F44C0000}"/>
    <cellStyle name="Note 9 7 6" xfId="12574" xr:uid="{00000000-0005-0000-0000-0000F54C0000}"/>
    <cellStyle name="Note 9 7 6 2" xfId="27406" xr:uid="{00000000-0005-0000-0000-0000F64C0000}"/>
    <cellStyle name="Note 9 7 7" xfId="10156" xr:uid="{00000000-0005-0000-0000-0000F74C0000}"/>
    <cellStyle name="Note 9 7 7 2" xfId="24988" xr:uid="{00000000-0005-0000-0000-0000F84C0000}"/>
    <cellStyle name="Note 9 7 8" xfId="20401" xr:uid="{00000000-0005-0000-0000-0000F94C0000}"/>
    <cellStyle name="Note 9 8" xfId="3285" xr:uid="{00000000-0005-0000-0000-0000FA4C0000}"/>
    <cellStyle name="Note 9 8 2" xfId="7349" xr:uid="{00000000-0005-0000-0000-0000FB4C0000}"/>
    <cellStyle name="Note 9 8 2 2" xfId="17092" xr:uid="{00000000-0005-0000-0000-0000FC4C0000}"/>
    <cellStyle name="Note 9 8 2 2 2" xfId="31924" xr:uid="{00000000-0005-0000-0000-0000FD4C0000}"/>
    <cellStyle name="Note 9 8 2 3" xfId="23376" xr:uid="{00000000-0005-0000-0000-0000FE4C0000}"/>
    <cellStyle name="Note 9 8 3" xfId="13622" xr:uid="{00000000-0005-0000-0000-0000FF4C0000}"/>
    <cellStyle name="Note 9 8 3 2" xfId="28454" xr:uid="{00000000-0005-0000-0000-0000004D0000}"/>
    <cellStyle name="Note 9 8 4" xfId="10719" xr:uid="{00000000-0005-0000-0000-0000014D0000}"/>
    <cellStyle name="Note 9 8 4 2" xfId="25551" xr:uid="{00000000-0005-0000-0000-0000024D0000}"/>
    <cellStyle name="Note 9 8 5" xfId="21063" xr:uid="{00000000-0005-0000-0000-0000034D0000}"/>
    <cellStyle name="Note 9 9" xfId="4290" xr:uid="{00000000-0005-0000-0000-0000044D0000}"/>
    <cellStyle name="Note 9 9 2" xfId="8329" xr:uid="{00000000-0005-0000-0000-0000054D0000}"/>
    <cellStyle name="Note 9 9 2 2" xfId="17611" xr:uid="{00000000-0005-0000-0000-0000064D0000}"/>
    <cellStyle name="Note 9 9 2 2 2" xfId="32443" xr:uid="{00000000-0005-0000-0000-0000074D0000}"/>
    <cellStyle name="Note 9 9 2 3" xfId="24017" xr:uid="{00000000-0005-0000-0000-0000084D0000}"/>
    <cellStyle name="Note 9 9 3" xfId="14622" xr:uid="{00000000-0005-0000-0000-0000094D0000}"/>
    <cellStyle name="Note 9 9 3 2" xfId="29454" xr:uid="{00000000-0005-0000-0000-00000A4D0000}"/>
    <cellStyle name="Note 9 9 4" xfId="11225" xr:uid="{00000000-0005-0000-0000-00000B4D0000}"/>
    <cellStyle name="Note 9 9 4 2" xfId="26057" xr:uid="{00000000-0005-0000-0000-00000C4D0000}"/>
    <cellStyle name="Note 9 9 5" xfId="21615" xr:uid="{00000000-0005-0000-0000-00000D4D0000}"/>
    <cellStyle name="Output 10" xfId="1230" xr:uid="{00000000-0005-0000-0000-00000E4D0000}"/>
    <cellStyle name="Output 10 10" xfId="2316" xr:uid="{00000000-0005-0000-0000-00000F4D0000}"/>
    <cellStyle name="Output 10 10 2" xfId="6428" xr:uid="{00000000-0005-0000-0000-0000104D0000}"/>
    <cellStyle name="Output 10 10 2 2" xfId="16521" xr:uid="{00000000-0005-0000-0000-0000114D0000}"/>
    <cellStyle name="Output 10 10 2 2 2" xfId="31353" xr:uid="{00000000-0005-0000-0000-0000124D0000}"/>
    <cellStyle name="Output 10 10 2 3" xfId="18609" xr:uid="{00000000-0005-0000-0000-0000134D0000}"/>
    <cellStyle name="Output 10 10 3" xfId="12656" xr:uid="{00000000-0005-0000-0000-0000144D0000}"/>
    <cellStyle name="Output 10 10 3 2" xfId="27488" xr:uid="{00000000-0005-0000-0000-0000154D0000}"/>
    <cellStyle name="Output 10 10 4" xfId="10172" xr:uid="{00000000-0005-0000-0000-0000164D0000}"/>
    <cellStyle name="Output 10 10 4 2" xfId="25004" xr:uid="{00000000-0005-0000-0000-0000174D0000}"/>
    <cellStyle name="Output 10 11" xfId="5279" xr:uid="{00000000-0005-0000-0000-0000184D0000}"/>
    <cellStyle name="Output 10 11 2" xfId="9287" xr:uid="{00000000-0005-0000-0000-0000194D0000}"/>
    <cellStyle name="Output 10 11 2 2" xfId="18154" xr:uid="{00000000-0005-0000-0000-00001A4D0000}"/>
    <cellStyle name="Output 10 11 2 2 2" xfId="32986" xr:uid="{00000000-0005-0000-0000-00001B4D0000}"/>
    <cellStyle name="Output 10 11 2 3" xfId="19673" xr:uid="{00000000-0005-0000-0000-00001C4D0000}"/>
    <cellStyle name="Output 10 11 3" xfId="15595" xr:uid="{00000000-0005-0000-0000-00001D4D0000}"/>
    <cellStyle name="Output 10 11 3 2" xfId="30427" xr:uid="{00000000-0005-0000-0000-00001E4D0000}"/>
    <cellStyle name="Output 10 12" xfId="5437" xr:uid="{00000000-0005-0000-0000-00001F4D0000}"/>
    <cellStyle name="Output 10 12 2" xfId="15673" xr:uid="{00000000-0005-0000-0000-0000204D0000}"/>
    <cellStyle name="Output 10 12 2 2" xfId="30505" xr:uid="{00000000-0005-0000-0000-0000214D0000}"/>
    <cellStyle name="Output 10 12 3" xfId="18250" xr:uid="{00000000-0005-0000-0000-0000224D0000}"/>
    <cellStyle name="Output 10 13" xfId="9354" xr:uid="{00000000-0005-0000-0000-0000234D0000}"/>
    <cellStyle name="Output 10 13 2" xfId="24660" xr:uid="{00000000-0005-0000-0000-0000244D0000}"/>
    <cellStyle name="Output 10 14" xfId="5343" xr:uid="{00000000-0005-0000-0000-0000254D0000}"/>
    <cellStyle name="Output 10 14 2" xfId="18217" xr:uid="{00000000-0005-0000-0000-0000264D0000}"/>
    <cellStyle name="Output 10 2" xfId="1349" xr:uid="{00000000-0005-0000-0000-0000274D0000}"/>
    <cellStyle name="Output 10 2 2" xfId="1853" xr:uid="{00000000-0005-0000-0000-0000284D0000}"/>
    <cellStyle name="Output 10 2 2 2" xfId="4082" xr:uid="{00000000-0005-0000-0000-0000294D0000}"/>
    <cellStyle name="Output 10 2 2 2 2" xfId="8128" xr:uid="{00000000-0005-0000-0000-00002A4D0000}"/>
    <cellStyle name="Output 10 2 2 2 2 2" xfId="17509" xr:uid="{00000000-0005-0000-0000-00002B4D0000}"/>
    <cellStyle name="Output 10 2 2 2 2 2 2" xfId="32341" xr:uid="{00000000-0005-0000-0000-00002C4D0000}"/>
    <cellStyle name="Output 10 2 2 2 2 3" xfId="19260" xr:uid="{00000000-0005-0000-0000-00002D4D0000}"/>
    <cellStyle name="Output 10 2 2 2 3" xfId="14414" xr:uid="{00000000-0005-0000-0000-00002E4D0000}"/>
    <cellStyle name="Output 10 2 2 2 3 2" xfId="29246" xr:uid="{00000000-0005-0000-0000-00002F4D0000}"/>
    <cellStyle name="Output 10 2 2 2 4" xfId="11126" xr:uid="{00000000-0005-0000-0000-0000304D0000}"/>
    <cellStyle name="Output 10 2 2 2 4 2" xfId="25958" xr:uid="{00000000-0005-0000-0000-0000314D0000}"/>
    <cellStyle name="Output 10 2 2 3" xfId="4831" xr:uid="{00000000-0005-0000-0000-0000324D0000}"/>
    <cellStyle name="Output 10 2 2 3 2" xfId="8870" xr:uid="{00000000-0005-0000-0000-0000334D0000}"/>
    <cellStyle name="Output 10 2 2 3 2 2" xfId="17911" xr:uid="{00000000-0005-0000-0000-0000344D0000}"/>
    <cellStyle name="Output 10 2 2 3 2 2 2" xfId="32743" xr:uid="{00000000-0005-0000-0000-0000354D0000}"/>
    <cellStyle name="Output 10 2 2 3 2 3" xfId="19513" xr:uid="{00000000-0005-0000-0000-0000364D0000}"/>
    <cellStyle name="Output 10 2 2 3 3" xfId="15155" xr:uid="{00000000-0005-0000-0000-0000374D0000}"/>
    <cellStyle name="Output 10 2 2 3 3 2" xfId="29987" xr:uid="{00000000-0005-0000-0000-0000384D0000}"/>
    <cellStyle name="Output 10 2 2 3 4" xfId="11514" xr:uid="{00000000-0005-0000-0000-0000394D0000}"/>
    <cellStyle name="Output 10 2 2 3 4 2" xfId="26346" xr:uid="{00000000-0005-0000-0000-00003A4D0000}"/>
    <cellStyle name="Output 10 2 2 4" xfId="2821" xr:uid="{00000000-0005-0000-0000-00003B4D0000}"/>
    <cellStyle name="Output 10 2 2 4 2" xfId="6912" xr:uid="{00000000-0005-0000-0000-00003C4D0000}"/>
    <cellStyle name="Output 10 2 2 4 2 2" xfId="16805" xr:uid="{00000000-0005-0000-0000-00003D4D0000}"/>
    <cellStyle name="Output 10 2 2 4 2 2 2" xfId="31637" xr:uid="{00000000-0005-0000-0000-00003E4D0000}"/>
    <cellStyle name="Output 10 2 2 4 2 3" xfId="18804" xr:uid="{00000000-0005-0000-0000-00003F4D0000}"/>
    <cellStyle name="Output 10 2 2 4 3" xfId="13159" xr:uid="{00000000-0005-0000-0000-0000404D0000}"/>
    <cellStyle name="Output 10 2 2 4 3 2" xfId="27991" xr:uid="{00000000-0005-0000-0000-0000414D0000}"/>
    <cellStyle name="Output 10 2 2 4 4" xfId="10458" xr:uid="{00000000-0005-0000-0000-0000424D0000}"/>
    <cellStyle name="Output 10 2 2 4 4 2" xfId="25290" xr:uid="{00000000-0005-0000-0000-0000434D0000}"/>
    <cellStyle name="Output 10 2 2 5" xfId="5985" xr:uid="{00000000-0005-0000-0000-0000444D0000}"/>
    <cellStyle name="Output 10 2 2 5 2" xfId="16177" xr:uid="{00000000-0005-0000-0000-0000454D0000}"/>
    <cellStyle name="Output 10 2 2 5 2 2" xfId="31009" xr:uid="{00000000-0005-0000-0000-0000464D0000}"/>
    <cellStyle name="Output 10 2 2 5 3" xfId="18446" xr:uid="{00000000-0005-0000-0000-0000474D0000}"/>
    <cellStyle name="Output 10 2 2 6" xfId="12247" xr:uid="{00000000-0005-0000-0000-0000484D0000}"/>
    <cellStyle name="Output 10 2 2 6 2" xfId="27079" xr:uid="{00000000-0005-0000-0000-0000494D0000}"/>
    <cellStyle name="Output 10 2 2 7" xfId="9843" xr:uid="{00000000-0005-0000-0000-00004A4D0000}"/>
    <cellStyle name="Output 10 2 2 7 2" xfId="24769" xr:uid="{00000000-0005-0000-0000-00004B4D0000}"/>
    <cellStyle name="Output 10 2 3" xfId="3185" xr:uid="{00000000-0005-0000-0000-00004C4D0000}"/>
    <cellStyle name="Output 10 2 3 2" xfId="7249" xr:uid="{00000000-0005-0000-0000-00004D4D0000}"/>
    <cellStyle name="Output 10 2 3 2 2" xfId="17019" xr:uid="{00000000-0005-0000-0000-00004E4D0000}"/>
    <cellStyle name="Output 10 2 3 2 2 2" xfId="31851" xr:uid="{00000000-0005-0000-0000-00004F4D0000}"/>
    <cellStyle name="Output 10 2 3 2 3" xfId="18953" xr:uid="{00000000-0005-0000-0000-0000504D0000}"/>
    <cellStyle name="Output 10 2 3 3" xfId="13523" xr:uid="{00000000-0005-0000-0000-0000514D0000}"/>
    <cellStyle name="Output 10 2 3 3 2" xfId="28355" xr:uid="{00000000-0005-0000-0000-0000524D0000}"/>
    <cellStyle name="Output 10 2 3 4" xfId="10667" xr:uid="{00000000-0005-0000-0000-0000534D0000}"/>
    <cellStyle name="Output 10 2 3 4 2" xfId="25499" xr:uid="{00000000-0005-0000-0000-0000544D0000}"/>
    <cellStyle name="Output 10 2 4" xfId="4411" xr:uid="{00000000-0005-0000-0000-0000554D0000}"/>
    <cellStyle name="Output 10 2 4 2" xfId="8450" xr:uid="{00000000-0005-0000-0000-0000564D0000}"/>
    <cellStyle name="Output 10 2 4 2 2" xfId="17671" xr:uid="{00000000-0005-0000-0000-0000574D0000}"/>
    <cellStyle name="Output 10 2 4 2 2 2" xfId="32503" xr:uid="{00000000-0005-0000-0000-0000584D0000}"/>
    <cellStyle name="Output 10 2 4 2 3" xfId="19353" xr:uid="{00000000-0005-0000-0000-0000594D0000}"/>
    <cellStyle name="Output 10 2 4 3" xfId="14740" xr:uid="{00000000-0005-0000-0000-00005A4D0000}"/>
    <cellStyle name="Output 10 2 4 3 2" xfId="29572" xr:uid="{00000000-0005-0000-0000-00005B4D0000}"/>
    <cellStyle name="Output 10 2 4 4" xfId="11279" xr:uid="{00000000-0005-0000-0000-00005C4D0000}"/>
    <cellStyle name="Output 10 2 4 4 2" xfId="26111" xr:uid="{00000000-0005-0000-0000-00005D4D0000}"/>
    <cellStyle name="Output 10 2 5" xfId="2401" xr:uid="{00000000-0005-0000-0000-00005E4D0000}"/>
    <cellStyle name="Output 10 2 5 2" xfId="6513" xr:uid="{00000000-0005-0000-0000-00005F4D0000}"/>
    <cellStyle name="Output 10 2 5 2 2" xfId="16569" xr:uid="{00000000-0005-0000-0000-0000604D0000}"/>
    <cellStyle name="Output 10 2 5 2 2 2" xfId="31401" xr:uid="{00000000-0005-0000-0000-0000614D0000}"/>
    <cellStyle name="Output 10 2 5 2 3" xfId="18641" xr:uid="{00000000-0005-0000-0000-0000624D0000}"/>
    <cellStyle name="Output 10 2 5 3" xfId="12740" xr:uid="{00000000-0005-0000-0000-0000634D0000}"/>
    <cellStyle name="Output 10 2 5 3 2" xfId="27572" xr:uid="{00000000-0005-0000-0000-0000644D0000}"/>
    <cellStyle name="Output 10 2 5 4" xfId="10219" xr:uid="{00000000-0005-0000-0000-0000654D0000}"/>
    <cellStyle name="Output 10 2 5 4 2" xfId="25051" xr:uid="{00000000-0005-0000-0000-0000664D0000}"/>
    <cellStyle name="Output 10 2 6" xfId="5526" xr:uid="{00000000-0005-0000-0000-0000674D0000}"/>
    <cellStyle name="Output 10 2 6 2" xfId="15761" xr:uid="{00000000-0005-0000-0000-0000684D0000}"/>
    <cellStyle name="Output 10 2 6 2 2" xfId="30593" xr:uid="{00000000-0005-0000-0000-0000694D0000}"/>
    <cellStyle name="Output 10 2 6 3" xfId="18283" xr:uid="{00000000-0005-0000-0000-00006A4D0000}"/>
    <cellStyle name="Output 10 2 7" xfId="11776" xr:uid="{00000000-0005-0000-0000-00006B4D0000}"/>
    <cellStyle name="Output 10 2 7 2" xfId="26608" xr:uid="{00000000-0005-0000-0000-00006C4D0000}"/>
    <cellStyle name="Output 10 2 8" xfId="9447" xr:uid="{00000000-0005-0000-0000-00006D4D0000}"/>
    <cellStyle name="Output 10 2 8 2" xfId="19751" xr:uid="{00000000-0005-0000-0000-00006E4D0000}"/>
    <cellStyle name="Output 10 3" xfId="1519" xr:uid="{00000000-0005-0000-0000-00006F4D0000}"/>
    <cellStyle name="Output 10 3 2" xfId="2016" xr:uid="{00000000-0005-0000-0000-0000704D0000}"/>
    <cellStyle name="Output 10 3 2 2" xfId="3528" xr:uid="{00000000-0005-0000-0000-0000714D0000}"/>
    <cellStyle name="Output 10 3 2 2 2" xfId="7590" xr:uid="{00000000-0005-0000-0000-0000724D0000}"/>
    <cellStyle name="Output 10 3 2 2 2 2" xfId="17235" xr:uid="{00000000-0005-0000-0000-0000734D0000}"/>
    <cellStyle name="Output 10 3 2 2 2 2 2" xfId="32067" xr:uid="{00000000-0005-0000-0000-0000744D0000}"/>
    <cellStyle name="Output 10 3 2 2 2 3" xfId="19063" xr:uid="{00000000-0005-0000-0000-0000754D0000}"/>
    <cellStyle name="Output 10 3 2 2 3" xfId="13865" xr:uid="{00000000-0005-0000-0000-0000764D0000}"/>
    <cellStyle name="Output 10 3 2 2 3 2" xfId="28697" xr:uid="{00000000-0005-0000-0000-0000774D0000}"/>
    <cellStyle name="Output 10 3 2 2 4" xfId="10853" xr:uid="{00000000-0005-0000-0000-0000784D0000}"/>
    <cellStyle name="Output 10 3 2 2 4 2" xfId="25685" xr:uid="{00000000-0005-0000-0000-0000794D0000}"/>
    <cellStyle name="Output 10 3 2 3" xfId="4984" xr:uid="{00000000-0005-0000-0000-00007A4D0000}"/>
    <cellStyle name="Output 10 3 2 3 2" xfId="9023" xr:uid="{00000000-0005-0000-0000-00007B4D0000}"/>
    <cellStyle name="Output 10 3 2 3 2 2" xfId="17961" xr:uid="{00000000-0005-0000-0000-00007C4D0000}"/>
    <cellStyle name="Output 10 3 2 3 2 2 2" xfId="32793" xr:uid="{00000000-0005-0000-0000-00007D4D0000}"/>
    <cellStyle name="Output 10 3 2 3 2 3" xfId="19545" xr:uid="{00000000-0005-0000-0000-00007E4D0000}"/>
    <cellStyle name="Output 10 3 2 3 3" xfId="15306" xr:uid="{00000000-0005-0000-0000-00007F4D0000}"/>
    <cellStyle name="Output 10 3 2 3 3 2" xfId="30138" xr:uid="{00000000-0005-0000-0000-0000804D0000}"/>
    <cellStyle name="Output 10 3 2 3 4" xfId="11562" xr:uid="{00000000-0005-0000-0000-0000814D0000}"/>
    <cellStyle name="Output 10 3 2 3 4 2" xfId="26394" xr:uid="{00000000-0005-0000-0000-0000824D0000}"/>
    <cellStyle name="Output 10 3 2 4" xfId="2974" xr:uid="{00000000-0005-0000-0000-0000834D0000}"/>
    <cellStyle name="Output 10 3 2 4 2" xfId="7054" xr:uid="{00000000-0005-0000-0000-0000844D0000}"/>
    <cellStyle name="Output 10 3 2 4 2 2" xfId="16853" xr:uid="{00000000-0005-0000-0000-0000854D0000}"/>
    <cellStyle name="Output 10 3 2 4 2 2 2" xfId="31685" xr:uid="{00000000-0005-0000-0000-0000864D0000}"/>
    <cellStyle name="Output 10 3 2 4 2 3" xfId="18837" xr:uid="{00000000-0005-0000-0000-0000874D0000}"/>
    <cellStyle name="Output 10 3 2 4 3" xfId="13312" xr:uid="{00000000-0005-0000-0000-0000884D0000}"/>
    <cellStyle name="Output 10 3 2 4 3 2" xfId="28144" xr:uid="{00000000-0005-0000-0000-0000894D0000}"/>
    <cellStyle name="Output 10 3 2 4 4" xfId="10508" xr:uid="{00000000-0005-0000-0000-00008A4D0000}"/>
    <cellStyle name="Output 10 3 2 4 4 2" xfId="25340" xr:uid="{00000000-0005-0000-0000-00008B4D0000}"/>
    <cellStyle name="Output 10 3 2 5" xfId="6146" xr:uid="{00000000-0005-0000-0000-00008C4D0000}"/>
    <cellStyle name="Output 10 3 2 5 2" xfId="16333" xr:uid="{00000000-0005-0000-0000-00008D4D0000}"/>
    <cellStyle name="Output 10 3 2 5 2 2" xfId="31165" xr:uid="{00000000-0005-0000-0000-00008E4D0000}"/>
    <cellStyle name="Output 10 3 2 5 3" xfId="18478" xr:uid="{00000000-0005-0000-0000-00008F4D0000}"/>
    <cellStyle name="Output 10 3 2 6" xfId="12403" xr:uid="{00000000-0005-0000-0000-0000904D0000}"/>
    <cellStyle name="Output 10 3 2 6 2" xfId="27235" xr:uid="{00000000-0005-0000-0000-0000914D0000}"/>
    <cellStyle name="Output 10 3 2 7" xfId="9985" xr:uid="{00000000-0005-0000-0000-0000924D0000}"/>
    <cellStyle name="Output 10 3 2 7 2" xfId="24817" xr:uid="{00000000-0005-0000-0000-0000934D0000}"/>
    <cellStyle name="Output 10 3 3" xfId="3293" xr:uid="{00000000-0005-0000-0000-0000944D0000}"/>
    <cellStyle name="Output 10 3 3 2" xfId="7357" xr:uid="{00000000-0005-0000-0000-0000954D0000}"/>
    <cellStyle name="Output 10 3 3 2 2" xfId="17099" xr:uid="{00000000-0005-0000-0000-0000964D0000}"/>
    <cellStyle name="Output 10 3 3 2 2 2" xfId="31931" xr:uid="{00000000-0005-0000-0000-0000974D0000}"/>
    <cellStyle name="Output 10 3 3 2 3" xfId="18987" xr:uid="{00000000-0005-0000-0000-0000984D0000}"/>
    <cellStyle name="Output 10 3 3 3" xfId="13630" xr:uid="{00000000-0005-0000-0000-0000994D0000}"/>
    <cellStyle name="Output 10 3 3 3 2" xfId="28462" xr:uid="{00000000-0005-0000-0000-00009A4D0000}"/>
    <cellStyle name="Output 10 3 3 4" xfId="10725" xr:uid="{00000000-0005-0000-0000-00009B4D0000}"/>
    <cellStyle name="Output 10 3 3 4 2" xfId="25557" xr:uid="{00000000-0005-0000-0000-00009C4D0000}"/>
    <cellStyle name="Output 10 3 4" xfId="4564" xr:uid="{00000000-0005-0000-0000-00009D4D0000}"/>
    <cellStyle name="Output 10 3 4 2" xfId="8603" xr:uid="{00000000-0005-0000-0000-00009E4D0000}"/>
    <cellStyle name="Output 10 3 4 2 2" xfId="17721" xr:uid="{00000000-0005-0000-0000-00009F4D0000}"/>
    <cellStyle name="Output 10 3 4 2 2 2" xfId="32553" xr:uid="{00000000-0005-0000-0000-0000A04D0000}"/>
    <cellStyle name="Output 10 3 4 2 3" xfId="19385" xr:uid="{00000000-0005-0000-0000-0000A14D0000}"/>
    <cellStyle name="Output 10 3 4 3" xfId="14891" xr:uid="{00000000-0005-0000-0000-0000A24D0000}"/>
    <cellStyle name="Output 10 3 4 3 2" xfId="29723" xr:uid="{00000000-0005-0000-0000-0000A34D0000}"/>
    <cellStyle name="Output 10 3 4 4" xfId="11327" xr:uid="{00000000-0005-0000-0000-0000A44D0000}"/>
    <cellStyle name="Output 10 3 4 4 2" xfId="26159" xr:uid="{00000000-0005-0000-0000-0000A54D0000}"/>
    <cellStyle name="Output 10 3 5" xfId="2554" xr:uid="{00000000-0005-0000-0000-0000A64D0000}"/>
    <cellStyle name="Output 10 3 5 2" xfId="6660" xr:uid="{00000000-0005-0000-0000-0000A74D0000}"/>
    <cellStyle name="Output 10 3 5 2 2" xfId="16618" xr:uid="{00000000-0005-0000-0000-0000A84D0000}"/>
    <cellStyle name="Output 10 3 5 2 2 2" xfId="31450" xr:uid="{00000000-0005-0000-0000-0000A94D0000}"/>
    <cellStyle name="Output 10 3 5 2 3" xfId="18673" xr:uid="{00000000-0005-0000-0000-0000AA4D0000}"/>
    <cellStyle name="Output 10 3 5 3" xfId="12892" xr:uid="{00000000-0005-0000-0000-0000AB4D0000}"/>
    <cellStyle name="Output 10 3 5 3 2" xfId="27724" xr:uid="{00000000-0005-0000-0000-0000AC4D0000}"/>
    <cellStyle name="Output 10 3 5 4" xfId="10268" xr:uid="{00000000-0005-0000-0000-0000AD4D0000}"/>
    <cellStyle name="Output 10 3 5 4 2" xfId="25100" xr:uid="{00000000-0005-0000-0000-0000AE4D0000}"/>
    <cellStyle name="Output 10 3 6" xfId="5677" xr:uid="{00000000-0005-0000-0000-0000AF4D0000}"/>
    <cellStyle name="Output 10 3 6 2" xfId="15912" xr:uid="{00000000-0005-0000-0000-0000B04D0000}"/>
    <cellStyle name="Output 10 3 6 2 2" xfId="30744" xr:uid="{00000000-0005-0000-0000-0000B14D0000}"/>
    <cellStyle name="Output 10 3 6 3" xfId="18315" xr:uid="{00000000-0005-0000-0000-0000B24D0000}"/>
    <cellStyle name="Output 10 3 7" xfId="11932" xr:uid="{00000000-0005-0000-0000-0000B34D0000}"/>
    <cellStyle name="Output 10 3 7 2" xfId="26764" xr:uid="{00000000-0005-0000-0000-0000B44D0000}"/>
    <cellStyle name="Output 10 3 8" xfId="9590" xr:uid="{00000000-0005-0000-0000-0000B54D0000}"/>
    <cellStyle name="Output 10 3 8 2" xfId="19892" xr:uid="{00000000-0005-0000-0000-0000B64D0000}"/>
    <cellStyle name="Output 10 4" xfId="1574" xr:uid="{00000000-0005-0000-0000-0000B74D0000}"/>
    <cellStyle name="Output 10 4 2" xfId="2071" xr:uid="{00000000-0005-0000-0000-0000B84D0000}"/>
    <cellStyle name="Output 10 4 2 2" xfId="3712" xr:uid="{00000000-0005-0000-0000-0000B94D0000}"/>
    <cellStyle name="Output 10 4 2 2 2" xfId="7768" xr:uid="{00000000-0005-0000-0000-0000BA4D0000}"/>
    <cellStyle name="Output 10 4 2 2 2 2" xfId="17329" xr:uid="{00000000-0005-0000-0000-0000BB4D0000}"/>
    <cellStyle name="Output 10 4 2 2 2 2 2" xfId="32161" xr:uid="{00000000-0005-0000-0000-0000BC4D0000}"/>
    <cellStyle name="Output 10 4 2 2 2 3" xfId="19129" xr:uid="{00000000-0005-0000-0000-0000BD4D0000}"/>
    <cellStyle name="Output 10 4 2 2 3" xfId="14047" xr:uid="{00000000-0005-0000-0000-0000BE4D0000}"/>
    <cellStyle name="Output 10 4 2 2 3 2" xfId="28879" xr:uid="{00000000-0005-0000-0000-0000BF4D0000}"/>
    <cellStyle name="Output 10 4 2 2 4" xfId="10947" xr:uid="{00000000-0005-0000-0000-0000C04D0000}"/>
    <cellStyle name="Output 10 4 2 2 4 2" xfId="25779" xr:uid="{00000000-0005-0000-0000-0000C14D0000}"/>
    <cellStyle name="Output 10 4 2 3" xfId="5039" xr:uid="{00000000-0005-0000-0000-0000C24D0000}"/>
    <cellStyle name="Output 10 4 2 3 2" xfId="9078" xr:uid="{00000000-0005-0000-0000-0000C34D0000}"/>
    <cellStyle name="Output 10 4 2 3 2 2" xfId="18011" xr:uid="{00000000-0005-0000-0000-0000C44D0000}"/>
    <cellStyle name="Output 10 4 2 3 2 2 2" xfId="32843" xr:uid="{00000000-0005-0000-0000-0000C54D0000}"/>
    <cellStyle name="Output 10 4 2 3 2 3" xfId="19577" xr:uid="{00000000-0005-0000-0000-0000C64D0000}"/>
    <cellStyle name="Output 10 4 2 3 3" xfId="15360" xr:uid="{00000000-0005-0000-0000-0000C74D0000}"/>
    <cellStyle name="Output 10 4 2 3 3 2" xfId="30192" xr:uid="{00000000-0005-0000-0000-0000C84D0000}"/>
    <cellStyle name="Output 10 4 2 3 4" xfId="11611" xr:uid="{00000000-0005-0000-0000-0000C94D0000}"/>
    <cellStyle name="Output 10 4 2 3 4 2" xfId="26443" xr:uid="{00000000-0005-0000-0000-0000CA4D0000}"/>
    <cellStyle name="Output 10 4 2 4" xfId="3029" xr:uid="{00000000-0005-0000-0000-0000CB4D0000}"/>
    <cellStyle name="Output 10 4 2 4 2" xfId="7104" xr:uid="{00000000-0005-0000-0000-0000CC4D0000}"/>
    <cellStyle name="Output 10 4 2 4 2 2" xfId="16902" xr:uid="{00000000-0005-0000-0000-0000CD4D0000}"/>
    <cellStyle name="Output 10 4 2 4 2 2 2" xfId="31734" xr:uid="{00000000-0005-0000-0000-0000CE4D0000}"/>
    <cellStyle name="Output 10 4 2 4 2 3" xfId="18870" xr:uid="{00000000-0005-0000-0000-0000CF4D0000}"/>
    <cellStyle name="Output 10 4 2 4 3" xfId="13367" xr:uid="{00000000-0005-0000-0000-0000D04D0000}"/>
    <cellStyle name="Output 10 4 2 4 3 2" xfId="28199" xr:uid="{00000000-0005-0000-0000-0000D14D0000}"/>
    <cellStyle name="Output 10 4 2 4 4" xfId="10558" xr:uid="{00000000-0005-0000-0000-0000D24D0000}"/>
    <cellStyle name="Output 10 4 2 4 4 2" xfId="25390" xr:uid="{00000000-0005-0000-0000-0000D34D0000}"/>
    <cellStyle name="Output 10 4 2 5" xfId="6196" xr:uid="{00000000-0005-0000-0000-0000D44D0000}"/>
    <cellStyle name="Output 10 4 2 5 2" xfId="16382" xr:uid="{00000000-0005-0000-0000-0000D54D0000}"/>
    <cellStyle name="Output 10 4 2 5 2 2" xfId="31214" xr:uid="{00000000-0005-0000-0000-0000D64D0000}"/>
    <cellStyle name="Output 10 4 2 5 3" xfId="18511" xr:uid="{00000000-0005-0000-0000-0000D74D0000}"/>
    <cellStyle name="Output 10 4 2 6" xfId="12452" xr:uid="{00000000-0005-0000-0000-0000D84D0000}"/>
    <cellStyle name="Output 10 4 2 6 2" xfId="27284" xr:uid="{00000000-0005-0000-0000-0000D94D0000}"/>
    <cellStyle name="Output 10 4 2 7" xfId="10034" xr:uid="{00000000-0005-0000-0000-0000DA4D0000}"/>
    <cellStyle name="Output 10 4 2 7 2" xfId="24866" xr:uid="{00000000-0005-0000-0000-0000DB4D0000}"/>
    <cellStyle name="Output 10 4 3" xfId="3684" xr:uid="{00000000-0005-0000-0000-0000DC4D0000}"/>
    <cellStyle name="Output 10 4 3 2" xfId="7741" xr:uid="{00000000-0005-0000-0000-0000DD4D0000}"/>
    <cellStyle name="Output 10 4 3 2 2" xfId="17313" xr:uid="{00000000-0005-0000-0000-0000DE4D0000}"/>
    <cellStyle name="Output 10 4 3 2 2 2" xfId="32145" xr:uid="{00000000-0005-0000-0000-0000DF4D0000}"/>
    <cellStyle name="Output 10 4 3 2 3" xfId="19121" xr:uid="{00000000-0005-0000-0000-0000E04D0000}"/>
    <cellStyle name="Output 10 4 3 3" xfId="14019" xr:uid="{00000000-0005-0000-0000-0000E14D0000}"/>
    <cellStyle name="Output 10 4 3 3 2" xfId="28851" xr:uid="{00000000-0005-0000-0000-0000E24D0000}"/>
    <cellStyle name="Output 10 4 3 4" xfId="10930" xr:uid="{00000000-0005-0000-0000-0000E34D0000}"/>
    <cellStyle name="Output 10 4 3 4 2" xfId="25762" xr:uid="{00000000-0005-0000-0000-0000E44D0000}"/>
    <cellStyle name="Output 10 4 4" xfId="4619" xr:uid="{00000000-0005-0000-0000-0000E54D0000}"/>
    <cellStyle name="Output 10 4 4 2" xfId="8658" xr:uid="{00000000-0005-0000-0000-0000E64D0000}"/>
    <cellStyle name="Output 10 4 4 2 2" xfId="17771" xr:uid="{00000000-0005-0000-0000-0000E74D0000}"/>
    <cellStyle name="Output 10 4 4 2 2 2" xfId="32603" xr:uid="{00000000-0005-0000-0000-0000E84D0000}"/>
    <cellStyle name="Output 10 4 4 2 3" xfId="19417" xr:uid="{00000000-0005-0000-0000-0000E94D0000}"/>
    <cellStyle name="Output 10 4 4 3" xfId="14945" xr:uid="{00000000-0005-0000-0000-0000EA4D0000}"/>
    <cellStyle name="Output 10 4 4 3 2" xfId="29777" xr:uid="{00000000-0005-0000-0000-0000EB4D0000}"/>
    <cellStyle name="Output 10 4 4 4" xfId="11376" xr:uid="{00000000-0005-0000-0000-0000EC4D0000}"/>
    <cellStyle name="Output 10 4 4 4 2" xfId="26208" xr:uid="{00000000-0005-0000-0000-0000ED4D0000}"/>
    <cellStyle name="Output 10 4 5" xfId="2609" xr:uid="{00000000-0005-0000-0000-0000EE4D0000}"/>
    <cellStyle name="Output 10 4 5 2" xfId="6710" xr:uid="{00000000-0005-0000-0000-0000EF4D0000}"/>
    <cellStyle name="Output 10 4 5 2 2" xfId="16667" xr:uid="{00000000-0005-0000-0000-0000F04D0000}"/>
    <cellStyle name="Output 10 4 5 2 2 2" xfId="31499" xr:uid="{00000000-0005-0000-0000-0000F14D0000}"/>
    <cellStyle name="Output 10 4 5 2 3" xfId="18706" xr:uid="{00000000-0005-0000-0000-0000F24D0000}"/>
    <cellStyle name="Output 10 4 5 3" xfId="12947" xr:uid="{00000000-0005-0000-0000-0000F34D0000}"/>
    <cellStyle name="Output 10 4 5 3 2" xfId="27779" xr:uid="{00000000-0005-0000-0000-0000F44D0000}"/>
    <cellStyle name="Output 10 4 5 4" xfId="10318" xr:uid="{00000000-0005-0000-0000-0000F54D0000}"/>
    <cellStyle name="Output 10 4 5 4 2" xfId="25150" xr:uid="{00000000-0005-0000-0000-0000F64D0000}"/>
    <cellStyle name="Output 10 4 6" xfId="5726" xr:uid="{00000000-0005-0000-0000-0000F74D0000}"/>
    <cellStyle name="Output 10 4 6 2" xfId="15961" xr:uid="{00000000-0005-0000-0000-0000F84D0000}"/>
    <cellStyle name="Output 10 4 6 2 2" xfId="30793" xr:uid="{00000000-0005-0000-0000-0000F94D0000}"/>
    <cellStyle name="Output 10 4 6 3" xfId="18347" xr:uid="{00000000-0005-0000-0000-0000FA4D0000}"/>
    <cellStyle name="Output 10 4 7" xfId="11981" xr:uid="{00000000-0005-0000-0000-0000FB4D0000}"/>
    <cellStyle name="Output 10 4 7 2" xfId="26813" xr:uid="{00000000-0005-0000-0000-0000FC4D0000}"/>
    <cellStyle name="Output 10 4 8" xfId="9640" xr:uid="{00000000-0005-0000-0000-0000FD4D0000}"/>
    <cellStyle name="Output 10 4 8 2" xfId="19941" xr:uid="{00000000-0005-0000-0000-0000FE4D0000}"/>
    <cellStyle name="Output 10 5" xfId="1624" xr:uid="{00000000-0005-0000-0000-0000FF4D0000}"/>
    <cellStyle name="Output 10 5 2" xfId="2121" xr:uid="{00000000-0005-0000-0000-0000004E0000}"/>
    <cellStyle name="Output 10 5 2 2" xfId="4084" xr:uid="{00000000-0005-0000-0000-0000014E0000}"/>
    <cellStyle name="Output 10 5 2 2 2" xfId="8130" xr:uid="{00000000-0005-0000-0000-0000024E0000}"/>
    <cellStyle name="Output 10 5 2 2 2 2" xfId="17510" xr:uid="{00000000-0005-0000-0000-0000034E0000}"/>
    <cellStyle name="Output 10 5 2 2 2 2 2" xfId="32342" xr:uid="{00000000-0005-0000-0000-0000044E0000}"/>
    <cellStyle name="Output 10 5 2 2 2 3" xfId="19261" xr:uid="{00000000-0005-0000-0000-0000054E0000}"/>
    <cellStyle name="Output 10 5 2 2 3" xfId="14416" xr:uid="{00000000-0005-0000-0000-0000064E0000}"/>
    <cellStyle name="Output 10 5 2 2 3 2" xfId="29248" xr:uid="{00000000-0005-0000-0000-0000074E0000}"/>
    <cellStyle name="Output 10 5 2 2 4" xfId="11127" xr:uid="{00000000-0005-0000-0000-0000084E0000}"/>
    <cellStyle name="Output 10 5 2 2 4 2" xfId="25959" xr:uid="{00000000-0005-0000-0000-0000094E0000}"/>
    <cellStyle name="Output 10 5 2 3" xfId="5089" xr:uid="{00000000-0005-0000-0000-00000A4E0000}"/>
    <cellStyle name="Output 10 5 2 3 2" xfId="9128" xr:uid="{00000000-0005-0000-0000-00000B4E0000}"/>
    <cellStyle name="Output 10 5 2 3 2 2" xfId="18056" xr:uid="{00000000-0005-0000-0000-00000C4E0000}"/>
    <cellStyle name="Output 10 5 2 3 2 2 2" xfId="32888" xr:uid="{00000000-0005-0000-0000-00000D4E0000}"/>
    <cellStyle name="Output 10 5 2 3 2 3" xfId="19609" xr:uid="{00000000-0005-0000-0000-00000E4E0000}"/>
    <cellStyle name="Output 10 5 2 3 3" xfId="15409" xr:uid="{00000000-0005-0000-0000-00000F4E0000}"/>
    <cellStyle name="Output 10 5 2 3 3 2" xfId="30241" xr:uid="{00000000-0005-0000-0000-0000104E0000}"/>
    <cellStyle name="Output 10 5 2 3 4" xfId="11655" xr:uid="{00000000-0005-0000-0000-0000114E0000}"/>
    <cellStyle name="Output 10 5 2 3 4 2" xfId="26487" xr:uid="{00000000-0005-0000-0000-0000124E0000}"/>
    <cellStyle name="Output 10 5 2 4" xfId="3079" xr:uid="{00000000-0005-0000-0000-0000134E0000}"/>
    <cellStyle name="Output 10 5 2 4 2" xfId="7149" xr:uid="{00000000-0005-0000-0000-0000144E0000}"/>
    <cellStyle name="Output 10 5 2 4 2 2" xfId="16946" xr:uid="{00000000-0005-0000-0000-0000154E0000}"/>
    <cellStyle name="Output 10 5 2 4 2 2 2" xfId="31778" xr:uid="{00000000-0005-0000-0000-0000164E0000}"/>
    <cellStyle name="Output 10 5 2 4 2 3" xfId="18903" xr:uid="{00000000-0005-0000-0000-0000174E0000}"/>
    <cellStyle name="Output 10 5 2 4 3" xfId="13417" xr:uid="{00000000-0005-0000-0000-0000184E0000}"/>
    <cellStyle name="Output 10 5 2 4 3 2" xfId="28249" xr:uid="{00000000-0005-0000-0000-0000194E0000}"/>
    <cellStyle name="Output 10 5 2 4 4" xfId="10603" xr:uid="{00000000-0005-0000-0000-00001A4E0000}"/>
    <cellStyle name="Output 10 5 2 4 4 2" xfId="25435" xr:uid="{00000000-0005-0000-0000-00001B4E0000}"/>
    <cellStyle name="Output 10 5 2 5" xfId="6241" xr:uid="{00000000-0005-0000-0000-00001C4E0000}"/>
    <cellStyle name="Output 10 5 2 5 2" xfId="16426" xr:uid="{00000000-0005-0000-0000-00001D4E0000}"/>
    <cellStyle name="Output 10 5 2 5 2 2" xfId="31258" xr:uid="{00000000-0005-0000-0000-00001E4E0000}"/>
    <cellStyle name="Output 10 5 2 5 3" xfId="18544" xr:uid="{00000000-0005-0000-0000-00001F4E0000}"/>
    <cellStyle name="Output 10 5 2 6" xfId="12496" xr:uid="{00000000-0005-0000-0000-0000204E0000}"/>
    <cellStyle name="Output 10 5 2 6 2" xfId="27328" xr:uid="{00000000-0005-0000-0000-0000214E0000}"/>
    <cellStyle name="Output 10 5 2 7" xfId="10078" xr:uid="{00000000-0005-0000-0000-0000224E0000}"/>
    <cellStyle name="Output 10 5 2 7 2" xfId="24910" xr:uid="{00000000-0005-0000-0000-0000234E0000}"/>
    <cellStyle name="Output 10 5 3" xfId="4317" xr:uid="{00000000-0005-0000-0000-0000244E0000}"/>
    <cellStyle name="Output 10 5 3 2" xfId="8356" xr:uid="{00000000-0005-0000-0000-0000254E0000}"/>
    <cellStyle name="Output 10 5 3 2 2" xfId="17634" xr:uid="{00000000-0005-0000-0000-0000264E0000}"/>
    <cellStyle name="Output 10 5 3 2 2 2" xfId="32466" xr:uid="{00000000-0005-0000-0000-0000274E0000}"/>
    <cellStyle name="Output 10 5 3 2 3" xfId="19336" xr:uid="{00000000-0005-0000-0000-0000284E0000}"/>
    <cellStyle name="Output 10 5 3 3" xfId="14648" xr:uid="{00000000-0005-0000-0000-0000294E0000}"/>
    <cellStyle name="Output 10 5 3 3 2" xfId="29480" xr:uid="{00000000-0005-0000-0000-00002A4E0000}"/>
    <cellStyle name="Output 10 5 3 4" xfId="11244" xr:uid="{00000000-0005-0000-0000-00002B4E0000}"/>
    <cellStyle name="Output 10 5 3 4 2" xfId="26076" xr:uid="{00000000-0005-0000-0000-00002C4E0000}"/>
    <cellStyle name="Output 10 5 4" xfId="4669" xr:uid="{00000000-0005-0000-0000-00002D4E0000}"/>
    <cellStyle name="Output 10 5 4 2" xfId="8708" xr:uid="{00000000-0005-0000-0000-00002E4E0000}"/>
    <cellStyle name="Output 10 5 4 2 2" xfId="17816" xr:uid="{00000000-0005-0000-0000-00002F4E0000}"/>
    <cellStyle name="Output 10 5 4 2 2 2" xfId="32648" xr:uid="{00000000-0005-0000-0000-0000304E0000}"/>
    <cellStyle name="Output 10 5 4 2 3" xfId="19449" xr:uid="{00000000-0005-0000-0000-0000314E0000}"/>
    <cellStyle name="Output 10 5 4 3" xfId="14994" xr:uid="{00000000-0005-0000-0000-0000324E0000}"/>
    <cellStyle name="Output 10 5 4 3 2" xfId="29826" xr:uid="{00000000-0005-0000-0000-0000334E0000}"/>
    <cellStyle name="Output 10 5 4 4" xfId="11420" xr:uid="{00000000-0005-0000-0000-0000344E0000}"/>
    <cellStyle name="Output 10 5 4 4 2" xfId="26252" xr:uid="{00000000-0005-0000-0000-0000354E0000}"/>
    <cellStyle name="Output 10 5 5" xfId="2659" xr:uid="{00000000-0005-0000-0000-0000364E0000}"/>
    <cellStyle name="Output 10 5 5 2" xfId="6755" xr:uid="{00000000-0005-0000-0000-0000374E0000}"/>
    <cellStyle name="Output 10 5 5 2 2" xfId="16711" xr:uid="{00000000-0005-0000-0000-0000384E0000}"/>
    <cellStyle name="Output 10 5 5 2 2 2" xfId="31543" xr:uid="{00000000-0005-0000-0000-0000394E0000}"/>
    <cellStyle name="Output 10 5 5 2 3" xfId="18739" xr:uid="{00000000-0005-0000-0000-00003A4E0000}"/>
    <cellStyle name="Output 10 5 5 3" xfId="12997" xr:uid="{00000000-0005-0000-0000-00003B4E0000}"/>
    <cellStyle name="Output 10 5 5 3 2" xfId="27829" xr:uid="{00000000-0005-0000-0000-00003C4E0000}"/>
    <cellStyle name="Output 10 5 5 4" xfId="10363" xr:uid="{00000000-0005-0000-0000-00003D4E0000}"/>
    <cellStyle name="Output 10 5 5 4 2" xfId="25195" xr:uid="{00000000-0005-0000-0000-00003E4E0000}"/>
    <cellStyle name="Output 10 5 6" xfId="5771" xr:uid="{00000000-0005-0000-0000-00003F4E0000}"/>
    <cellStyle name="Output 10 5 6 2" xfId="16005" xr:uid="{00000000-0005-0000-0000-0000404E0000}"/>
    <cellStyle name="Output 10 5 6 2 2" xfId="30837" xr:uid="{00000000-0005-0000-0000-0000414E0000}"/>
    <cellStyle name="Output 10 5 6 3" xfId="18380" xr:uid="{00000000-0005-0000-0000-0000424E0000}"/>
    <cellStyle name="Output 10 5 7" xfId="12025" xr:uid="{00000000-0005-0000-0000-0000434E0000}"/>
    <cellStyle name="Output 10 5 7 2" xfId="26857" xr:uid="{00000000-0005-0000-0000-0000444E0000}"/>
    <cellStyle name="Output 10 5 8" xfId="9685" xr:uid="{00000000-0005-0000-0000-0000454E0000}"/>
    <cellStyle name="Output 10 5 8 2" xfId="19985" xr:uid="{00000000-0005-0000-0000-0000464E0000}"/>
    <cellStyle name="Output 10 6" xfId="1775" xr:uid="{00000000-0005-0000-0000-0000474E0000}"/>
    <cellStyle name="Output 10 6 2" xfId="3956" xr:uid="{00000000-0005-0000-0000-0000484E0000}"/>
    <cellStyle name="Output 10 6 2 2" xfId="8006" xr:uid="{00000000-0005-0000-0000-0000494E0000}"/>
    <cellStyle name="Output 10 6 2 2 2" xfId="17448" xr:uid="{00000000-0005-0000-0000-00004A4E0000}"/>
    <cellStyle name="Output 10 6 2 2 2 2" xfId="32280" xr:uid="{00000000-0005-0000-0000-00004B4E0000}"/>
    <cellStyle name="Output 10 6 2 2 3" xfId="19214" xr:uid="{00000000-0005-0000-0000-00004C4E0000}"/>
    <cellStyle name="Output 10 6 2 3" xfId="14289" xr:uid="{00000000-0005-0000-0000-00004D4E0000}"/>
    <cellStyle name="Output 10 6 2 3 2" xfId="29121" xr:uid="{00000000-0005-0000-0000-00004E4E0000}"/>
    <cellStyle name="Output 10 6 2 4" xfId="11063" xr:uid="{00000000-0005-0000-0000-00004F4E0000}"/>
    <cellStyle name="Output 10 6 2 4 2" xfId="25895" xr:uid="{00000000-0005-0000-0000-0000504E0000}"/>
    <cellStyle name="Output 10 6 3" xfId="4753" xr:uid="{00000000-0005-0000-0000-0000514E0000}"/>
    <cellStyle name="Output 10 6 3 2" xfId="8792" xr:uid="{00000000-0005-0000-0000-0000524E0000}"/>
    <cellStyle name="Output 10 6 3 2 2" xfId="17864" xr:uid="{00000000-0005-0000-0000-0000534E0000}"/>
    <cellStyle name="Output 10 6 3 2 2 2" xfId="32696" xr:uid="{00000000-0005-0000-0000-0000544E0000}"/>
    <cellStyle name="Output 10 6 3 2 3" xfId="19481" xr:uid="{00000000-0005-0000-0000-0000554E0000}"/>
    <cellStyle name="Output 10 6 3 3" xfId="15077" xr:uid="{00000000-0005-0000-0000-0000564E0000}"/>
    <cellStyle name="Output 10 6 3 3 2" xfId="29909" xr:uid="{00000000-0005-0000-0000-0000574E0000}"/>
    <cellStyle name="Output 10 6 3 4" xfId="11467" xr:uid="{00000000-0005-0000-0000-0000584E0000}"/>
    <cellStyle name="Output 10 6 3 4 2" xfId="26299" xr:uid="{00000000-0005-0000-0000-0000594E0000}"/>
    <cellStyle name="Output 10 6 4" xfId="2743" xr:uid="{00000000-0005-0000-0000-00005A4E0000}"/>
    <cellStyle name="Output 10 6 4 2" xfId="6834" xr:uid="{00000000-0005-0000-0000-00005B4E0000}"/>
    <cellStyle name="Output 10 6 4 2 2" xfId="16758" xr:uid="{00000000-0005-0000-0000-00005C4E0000}"/>
    <cellStyle name="Output 10 6 4 2 2 2" xfId="31590" xr:uid="{00000000-0005-0000-0000-00005D4E0000}"/>
    <cellStyle name="Output 10 6 4 2 3" xfId="18772" xr:uid="{00000000-0005-0000-0000-00005E4E0000}"/>
    <cellStyle name="Output 10 6 4 3" xfId="13081" xr:uid="{00000000-0005-0000-0000-00005F4E0000}"/>
    <cellStyle name="Output 10 6 4 3 2" xfId="27913" xr:uid="{00000000-0005-0000-0000-0000604E0000}"/>
    <cellStyle name="Output 10 6 4 4" xfId="10411" xr:uid="{00000000-0005-0000-0000-0000614E0000}"/>
    <cellStyle name="Output 10 6 4 4 2" xfId="25243" xr:uid="{00000000-0005-0000-0000-0000624E0000}"/>
    <cellStyle name="Output 10 6 5" xfId="5907" xr:uid="{00000000-0005-0000-0000-0000634E0000}"/>
    <cellStyle name="Output 10 6 5 2" xfId="16099" xr:uid="{00000000-0005-0000-0000-0000644E0000}"/>
    <cellStyle name="Output 10 6 5 2 2" xfId="30931" xr:uid="{00000000-0005-0000-0000-0000654E0000}"/>
    <cellStyle name="Output 10 6 5 3" xfId="18414" xr:uid="{00000000-0005-0000-0000-0000664E0000}"/>
    <cellStyle name="Output 10 6 6" xfId="12169" xr:uid="{00000000-0005-0000-0000-0000674E0000}"/>
    <cellStyle name="Output 10 6 6 2" xfId="27001" xr:uid="{00000000-0005-0000-0000-0000684E0000}"/>
    <cellStyle name="Output 10 6 7" xfId="9765" xr:uid="{00000000-0005-0000-0000-0000694E0000}"/>
    <cellStyle name="Output 10 6 7 2" xfId="24722" xr:uid="{00000000-0005-0000-0000-00006A4E0000}"/>
    <cellStyle name="Output 10 7" xfId="2191" xr:uid="{00000000-0005-0000-0000-00006B4E0000}"/>
    <cellStyle name="Output 10 7 2" xfId="3671" xr:uid="{00000000-0005-0000-0000-00006C4E0000}"/>
    <cellStyle name="Output 10 7 2 2" xfId="7729" xr:uid="{00000000-0005-0000-0000-00006D4E0000}"/>
    <cellStyle name="Output 10 7 2 2 2" xfId="17307" xr:uid="{00000000-0005-0000-0000-00006E4E0000}"/>
    <cellStyle name="Output 10 7 2 2 2 2" xfId="32139" xr:uid="{00000000-0005-0000-0000-00006F4E0000}"/>
    <cellStyle name="Output 10 7 2 2 3" xfId="19115" xr:uid="{00000000-0005-0000-0000-0000704E0000}"/>
    <cellStyle name="Output 10 7 2 3" xfId="14006" xr:uid="{00000000-0005-0000-0000-0000714E0000}"/>
    <cellStyle name="Output 10 7 2 3 2" xfId="28838" xr:uid="{00000000-0005-0000-0000-0000724E0000}"/>
    <cellStyle name="Output 10 7 2 4" xfId="10924" xr:uid="{00000000-0005-0000-0000-0000734E0000}"/>
    <cellStyle name="Output 10 7 2 4 2" xfId="25756" xr:uid="{00000000-0005-0000-0000-0000744E0000}"/>
    <cellStyle name="Output 10 7 3" xfId="5159" xr:uid="{00000000-0005-0000-0000-0000754E0000}"/>
    <cellStyle name="Output 10 7 3 2" xfId="9198" xr:uid="{00000000-0005-0000-0000-0000764E0000}"/>
    <cellStyle name="Output 10 7 3 2 2" xfId="18121" xr:uid="{00000000-0005-0000-0000-0000774E0000}"/>
    <cellStyle name="Output 10 7 3 2 2 2" xfId="32953" xr:uid="{00000000-0005-0000-0000-0000784E0000}"/>
    <cellStyle name="Output 10 7 3 2 3" xfId="19672" xr:uid="{00000000-0005-0000-0000-0000794E0000}"/>
    <cellStyle name="Output 10 7 3 3" xfId="15477" xr:uid="{00000000-0005-0000-0000-00007A4E0000}"/>
    <cellStyle name="Output 10 7 3 3 2" xfId="30309" xr:uid="{00000000-0005-0000-0000-00007B4E0000}"/>
    <cellStyle name="Output 10 7 3 4" xfId="11718" xr:uid="{00000000-0005-0000-0000-00007C4E0000}"/>
    <cellStyle name="Output 10 7 3 4 2" xfId="26550" xr:uid="{00000000-0005-0000-0000-00007D4E0000}"/>
    <cellStyle name="Output 10 7 4" xfId="4189" xr:uid="{00000000-0005-0000-0000-00007E4E0000}"/>
    <cellStyle name="Output 10 7 4 2" xfId="8230" xr:uid="{00000000-0005-0000-0000-00007F4E0000}"/>
    <cellStyle name="Output 10 7 4 2 2" xfId="17577" xr:uid="{00000000-0005-0000-0000-0000804E0000}"/>
    <cellStyle name="Output 10 7 4 2 2 2" xfId="32409" xr:uid="{00000000-0005-0000-0000-0000814E0000}"/>
    <cellStyle name="Output 10 7 4 2 3" xfId="19315" xr:uid="{00000000-0005-0000-0000-0000824E0000}"/>
    <cellStyle name="Output 10 7 4 3" xfId="14521" xr:uid="{00000000-0005-0000-0000-0000834E0000}"/>
    <cellStyle name="Output 10 7 4 3 2" xfId="29353" xr:uid="{00000000-0005-0000-0000-0000844E0000}"/>
    <cellStyle name="Output 10 7 4 4" xfId="11197" xr:uid="{00000000-0005-0000-0000-0000854E0000}"/>
    <cellStyle name="Output 10 7 4 4 2" xfId="26029" xr:uid="{00000000-0005-0000-0000-0000864E0000}"/>
    <cellStyle name="Output 10 7 5" xfId="6305" xr:uid="{00000000-0005-0000-0000-0000874E0000}"/>
    <cellStyle name="Output 10 7 5 2" xfId="16489" xr:uid="{00000000-0005-0000-0000-0000884E0000}"/>
    <cellStyle name="Output 10 7 5 2 2" xfId="31321" xr:uid="{00000000-0005-0000-0000-0000894E0000}"/>
    <cellStyle name="Output 10 7 5 3" xfId="18608" xr:uid="{00000000-0005-0000-0000-00008A4E0000}"/>
    <cellStyle name="Output 10 7 6" xfId="12559" xr:uid="{00000000-0005-0000-0000-00008B4E0000}"/>
    <cellStyle name="Output 10 7 6 2" xfId="27391" xr:uid="{00000000-0005-0000-0000-00008C4E0000}"/>
    <cellStyle name="Output 10 7 7" xfId="10141" xr:uid="{00000000-0005-0000-0000-00008D4E0000}"/>
    <cellStyle name="Output 10 7 7 2" xfId="24973" xr:uid="{00000000-0005-0000-0000-00008E4E0000}"/>
    <cellStyle name="Output 10 8" xfId="3264" xr:uid="{00000000-0005-0000-0000-00008F4E0000}"/>
    <cellStyle name="Output 10 8 2" xfId="7328" xr:uid="{00000000-0005-0000-0000-0000904E0000}"/>
    <cellStyle name="Output 10 8 2 2" xfId="17073" xr:uid="{00000000-0005-0000-0000-0000914E0000}"/>
    <cellStyle name="Output 10 8 2 2 2" xfId="31905" xr:uid="{00000000-0005-0000-0000-0000924E0000}"/>
    <cellStyle name="Output 10 8 2 3" xfId="18976" xr:uid="{00000000-0005-0000-0000-0000934E0000}"/>
    <cellStyle name="Output 10 8 3" xfId="13601" xr:uid="{00000000-0005-0000-0000-0000944E0000}"/>
    <cellStyle name="Output 10 8 3 2" xfId="28433" xr:uid="{00000000-0005-0000-0000-0000954E0000}"/>
    <cellStyle name="Output 10 8 4" xfId="10703" xr:uid="{00000000-0005-0000-0000-0000964E0000}"/>
    <cellStyle name="Output 10 8 4 2" xfId="25535" xr:uid="{00000000-0005-0000-0000-0000974E0000}"/>
    <cellStyle name="Output 10 9" xfId="3212" xr:uid="{00000000-0005-0000-0000-0000984E0000}"/>
    <cellStyle name="Output 10 9 2" xfId="7276" xr:uid="{00000000-0005-0000-0000-0000994E0000}"/>
    <cellStyle name="Output 10 9 2 2" xfId="17042" xr:uid="{00000000-0005-0000-0000-00009A4E0000}"/>
    <cellStyle name="Output 10 9 2 2 2" xfId="31874" xr:uid="{00000000-0005-0000-0000-00009B4E0000}"/>
    <cellStyle name="Output 10 9 2 3" xfId="18965" xr:uid="{00000000-0005-0000-0000-00009C4E0000}"/>
    <cellStyle name="Output 10 9 3" xfId="13550" xr:uid="{00000000-0005-0000-0000-00009D4E0000}"/>
    <cellStyle name="Output 10 9 3 2" xfId="28382" xr:uid="{00000000-0005-0000-0000-00009E4E0000}"/>
    <cellStyle name="Output 10 9 4" xfId="10685" xr:uid="{00000000-0005-0000-0000-00009F4E0000}"/>
    <cellStyle name="Output 10 9 4 2" xfId="25517" xr:uid="{00000000-0005-0000-0000-0000A04E0000}"/>
    <cellStyle name="Output 2" xfId="1231" xr:uid="{00000000-0005-0000-0000-0000A14E0000}"/>
    <cellStyle name="Output 2 10" xfId="1520" xr:uid="{00000000-0005-0000-0000-0000A24E0000}"/>
    <cellStyle name="Output 2 10 2" xfId="2017" xr:uid="{00000000-0005-0000-0000-0000A34E0000}"/>
    <cellStyle name="Output 2 10 2 2" xfId="3958" xr:uid="{00000000-0005-0000-0000-0000A44E0000}"/>
    <cellStyle name="Output 2 10 2 2 2" xfId="8008" xr:uid="{00000000-0005-0000-0000-0000A54E0000}"/>
    <cellStyle name="Output 2 10 2 2 2 2" xfId="17449" xr:uid="{00000000-0005-0000-0000-0000A64E0000}"/>
    <cellStyle name="Output 2 10 2 2 2 2 2" xfId="32281" xr:uid="{00000000-0005-0000-0000-0000A74E0000}"/>
    <cellStyle name="Output 2 10 2 2 2 3" xfId="19215" xr:uid="{00000000-0005-0000-0000-0000A84E0000}"/>
    <cellStyle name="Output 2 10 2 2 3" xfId="14291" xr:uid="{00000000-0005-0000-0000-0000A94E0000}"/>
    <cellStyle name="Output 2 10 2 2 3 2" xfId="29123" xr:uid="{00000000-0005-0000-0000-0000AA4E0000}"/>
    <cellStyle name="Output 2 10 2 2 4" xfId="11064" xr:uid="{00000000-0005-0000-0000-0000AB4E0000}"/>
    <cellStyle name="Output 2 10 2 2 4 2" xfId="25896" xr:uid="{00000000-0005-0000-0000-0000AC4E0000}"/>
    <cellStyle name="Output 2 10 2 3" xfId="4985" xr:uid="{00000000-0005-0000-0000-0000AD4E0000}"/>
    <cellStyle name="Output 2 10 2 3 2" xfId="9024" xr:uid="{00000000-0005-0000-0000-0000AE4E0000}"/>
    <cellStyle name="Output 2 10 2 3 2 2" xfId="17962" xr:uid="{00000000-0005-0000-0000-0000AF4E0000}"/>
    <cellStyle name="Output 2 10 2 3 2 2 2" xfId="32794" xr:uid="{00000000-0005-0000-0000-0000B04E0000}"/>
    <cellStyle name="Output 2 10 2 3 2 3" xfId="19546" xr:uid="{00000000-0005-0000-0000-0000B14E0000}"/>
    <cellStyle name="Output 2 10 2 3 3" xfId="15307" xr:uid="{00000000-0005-0000-0000-0000B24E0000}"/>
    <cellStyle name="Output 2 10 2 3 3 2" xfId="30139" xr:uid="{00000000-0005-0000-0000-0000B34E0000}"/>
    <cellStyle name="Output 2 10 2 3 4" xfId="11563" xr:uid="{00000000-0005-0000-0000-0000B44E0000}"/>
    <cellStyle name="Output 2 10 2 3 4 2" xfId="26395" xr:uid="{00000000-0005-0000-0000-0000B54E0000}"/>
    <cellStyle name="Output 2 10 2 4" xfId="2975" xr:uid="{00000000-0005-0000-0000-0000B64E0000}"/>
    <cellStyle name="Output 2 10 2 4 2" xfId="7055" xr:uid="{00000000-0005-0000-0000-0000B74E0000}"/>
    <cellStyle name="Output 2 10 2 4 2 2" xfId="16854" xr:uid="{00000000-0005-0000-0000-0000B84E0000}"/>
    <cellStyle name="Output 2 10 2 4 2 2 2" xfId="31686" xr:uid="{00000000-0005-0000-0000-0000B94E0000}"/>
    <cellStyle name="Output 2 10 2 4 2 3" xfId="18838" xr:uid="{00000000-0005-0000-0000-0000BA4E0000}"/>
    <cellStyle name="Output 2 10 2 4 3" xfId="13313" xr:uid="{00000000-0005-0000-0000-0000BB4E0000}"/>
    <cellStyle name="Output 2 10 2 4 3 2" xfId="28145" xr:uid="{00000000-0005-0000-0000-0000BC4E0000}"/>
    <cellStyle name="Output 2 10 2 4 4" xfId="10509" xr:uid="{00000000-0005-0000-0000-0000BD4E0000}"/>
    <cellStyle name="Output 2 10 2 4 4 2" xfId="25341" xr:uid="{00000000-0005-0000-0000-0000BE4E0000}"/>
    <cellStyle name="Output 2 10 2 5" xfId="6147" xr:uid="{00000000-0005-0000-0000-0000BF4E0000}"/>
    <cellStyle name="Output 2 10 2 5 2" xfId="16334" xr:uid="{00000000-0005-0000-0000-0000C04E0000}"/>
    <cellStyle name="Output 2 10 2 5 2 2" xfId="31166" xr:uid="{00000000-0005-0000-0000-0000C14E0000}"/>
    <cellStyle name="Output 2 10 2 5 3" xfId="18479" xr:uid="{00000000-0005-0000-0000-0000C24E0000}"/>
    <cellStyle name="Output 2 10 2 6" xfId="12404" xr:uid="{00000000-0005-0000-0000-0000C34E0000}"/>
    <cellStyle name="Output 2 10 2 6 2" xfId="27236" xr:uid="{00000000-0005-0000-0000-0000C44E0000}"/>
    <cellStyle name="Output 2 10 2 7" xfId="9986" xr:uid="{00000000-0005-0000-0000-0000C54E0000}"/>
    <cellStyle name="Output 2 10 2 7 2" xfId="24818" xr:uid="{00000000-0005-0000-0000-0000C64E0000}"/>
    <cellStyle name="Output 2 10 3" xfId="3169" xr:uid="{00000000-0005-0000-0000-0000C74E0000}"/>
    <cellStyle name="Output 2 10 3 2" xfId="7233" xr:uid="{00000000-0005-0000-0000-0000C84E0000}"/>
    <cellStyle name="Output 2 10 3 2 2" xfId="17009" xr:uid="{00000000-0005-0000-0000-0000C94E0000}"/>
    <cellStyle name="Output 2 10 3 2 2 2" xfId="31841" xr:uid="{00000000-0005-0000-0000-0000CA4E0000}"/>
    <cellStyle name="Output 2 10 3 2 3" xfId="18950" xr:uid="{00000000-0005-0000-0000-0000CB4E0000}"/>
    <cellStyle name="Output 2 10 3 3" xfId="13507" xr:uid="{00000000-0005-0000-0000-0000CC4E0000}"/>
    <cellStyle name="Output 2 10 3 3 2" xfId="28339" xr:uid="{00000000-0005-0000-0000-0000CD4E0000}"/>
    <cellStyle name="Output 2 10 3 4" xfId="10660" xr:uid="{00000000-0005-0000-0000-0000CE4E0000}"/>
    <cellStyle name="Output 2 10 3 4 2" xfId="25492" xr:uid="{00000000-0005-0000-0000-0000CF4E0000}"/>
    <cellStyle name="Output 2 10 4" xfId="4565" xr:uid="{00000000-0005-0000-0000-0000D04E0000}"/>
    <cellStyle name="Output 2 10 4 2" xfId="8604" xr:uid="{00000000-0005-0000-0000-0000D14E0000}"/>
    <cellStyle name="Output 2 10 4 2 2" xfId="17722" xr:uid="{00000000-0005-0000-0000-0000D24E0000}"/>
    <cellStyle name="Output 2 10 4 2 2 2" xfId="32554" xr:uid="{00000000-0005-0000-0000-0000D34E0000}"/>
    <cellStyle name="Output 2 10 4 2 3" xfId="19386" xr:uid="{00000000-0005-0000-0000-0000D44E0000}"/>
    <cellStyle name="Output 2 10 4 3" xfId="14892" xr:uid="{00000000-0005-0000-0000-0000D54E0000}"/>
    <cellStyle name="Output 2 10 4 3 2" xfId="29724" xr:uid="{00000000-0005-0000-0000-0000D64E0000}"/>
    <cellStyle name="Output 2 10 4 4" xfId="11328" xr:uid="{00000000-0005-0000-0000-0000D74E0000}"/>
    <cellStyle name="Output 2 10 4 4 2" xfId="26160" xr:uid="{00000000-0005-0000-0000-0000D84E0000}"/>
    <cellStyle name="Output 2 10 5" xfId="2555" xr:uid="{00000000-0005-0000-0000-0000D94E0000}"/>
    <cellStyle name="Output 2 10 5 2" xfId="6661" xr:uid="{00000000-0005-0000-0000-0000DA4E0000}"/>
    <cellStyle name="Output 2 10 5 2 2" xfId="16619" xr:uid="{00000000-0005-0000-0000-0000DB4E0000}"/>
    <cellStyle name="Output 2 10 5 2 2 2" xfId="31451" xr:uid="{00000000-0005-0000-0000-0000DC4E0000}"/>
    <cellStyle name="Output 2 10 5 2 3" xfId="18674" xr:uid="{00000000-0005-0000-0000-0000DD4E0000}"/>
    <cellStyle name="Output 2 10 5 3" xfId="12893" xr:uid="{00000000-0005-0000-0000-0000DE4E0000}"/>
    <cellStyle name="Output 2 10 5 3 2" xfId="27725" xr:uid="{00000000-0005-0000-0000-0000DF4E0000}"/>
    <cellStyle name="Output 2 10 5 4" xfId="10269" xr:uid="{00000000-0005-0000-0000-0000E04E0000}"/>
    <cellStyle name="Output 2 10 5 4 2" xfId="25101" xr:uid="{00000000-0005-0000-0000-0000E14E0000}"/>
    <cellStyle name="Output 2 10 6" xfId="5678" xr:uid="{00000000-0005-0000-0000-0000E24E0000}"/>
    <cellStyle name="Output 2 10 6 2" xfId="15913" xr:uid="{00000000-0005-0000-0000-0000E34E0000}"/>
    <cellStyle name="Output 2 10 6 2 2" xfId="30745" xr:uid="{00000000-0005-0000-0000-0000E44E0000}"/>
    <cellStyle name="Output 2 10 6 3" xfId="18316" xr:uid="{00000000-0005-0000-0000-0000E54E0000}"/>
    <cellStyle name="Output 2 10 7" xfId="11933" xr:uid="{00000000-0005-0000-0000-0000E64E0000}"/>
    <cellStyle name="Output 2 10 7 2" xfId="26765" xr:uid="{00000000-0005-0000-0000-0000E74E0000}"/>
    <cellStyle name="Output 2 10 8" xfId="9591" xr:uid="{00000000-0005-0000-0000-0000E84E0000}"/>
    <cellStyle name="Output 2 10 8 2" xfId="19893" xr:uid="{00000000-0005-0000-0000-0000E94E0000}"/>
    <cellStyle name="Output 2 11" xfId="1575" xr:uid="{00000000-0005-0000-0000-0000EA4E0000}"/>
    <cellStyle name="Output 2 11 2" xfId="2072" xr:uid="{00000000-0005-0000-0000-0000EB4E0000}"/>
    <cellStyle name="Output 2 11 2 2" xfId="4058" xr:uid="{00000000-0005-0000-0000-0000EC4E0000}"/>
    <cellStyle name="Output 2 11 2 2 2" xfId="8105" xr:uid="{00000000-0005-0000-0000-0000ED4E0000}"/>
    <cellStyle name="Output 2 11 2 2 2 2" xfId="17497" xr:uid="{00000000-0005-0000-0000-0000EE4E0000}"/>
    <cellStyle name="Output 2 11 2 2 2 2 2" xfId="32329" xr:uid="{00000000-0005-0000-0000-0000EF4E0000}"/>
    <cellStyle name="Output 2 11 2 2 2 3" xfId="19250" xr:uid="{00000000-0005-0000-0000-0000F04E0000}"/>
    <cellStyle name="Output 2 11 2 2 3" xfId="14390" xr:uid="{00000000-0005-0000-0000-0000F14E0000}"/>
    <cellStyle name="Output 2 11 2 2 3 2" xfId="29222" xr:uid="{00000000-0005-0000-0000-0000F24E0000}"/>
    <cellStyle name="Output 2 11 2 2 4" xfId="11113" xr:uid="{00000000-0005-0000-0000-0000F34E0000}"/>
    <cellStyle name="Output 2 11 2 2 4 2" xfId="25945" xr:uid="{00000000-0005-0000-0000-0000F44E0000}"/>
    <cellStyle name="Output 2 11 2 3" xfId="5040" xr:uid="{00000000-0005-0000-0000-0000F54E0000}"/>
    <cellStyle name="Output 2 11 2 3 2" xfId="9079" xr:uid="{00000000-0005-0000-0000-0000F64E0000}"/>
    <cellStyle name="Output 2 11 2 3 2 2" xfId="18012" xr:uid="{00000000-0005-0000-0000-0000F74E0000}"/>
    <cellStyle name="Output 2 11 2 3 2 2 2" xfId="32844" xr:uid="{00000000-0005-0000-0000-0000F84E0000}"/>
    <cellStyle name="Output 2 11 2 3 2 3" xfId="19578" xr:uid="{00000000-0005-0000-0000-0000F94E0000}"/>
    <cellStyle name="Output 2 11 2 3 3" xfId="15361" xr:uid="{00000000-0005-0000-0000-0000FA4E0000}"/>
    <cellStyle name="Output 2 11 2 3 3 2" xfId="30193" xr:uid="{00000000-0005-0000-0000-0000FB4E0000}"/>
    <cellStyle name="Output 2 11 2 3 4" xfId="11612" xr:uid="{00000000-0005-0000-0000-0000FC4E0000}"/>
    <cellStyle name="Output 2 11 2 3 4 2" xfId="26444" xr:uid="{00000000-0005-0000-0000-0000FD4E0000}"/>
    <cellStyle name="Output 2 11 2 4" xfId="3030" xr:uid="{00000000-0005-0000-0000-0000FE4E0000}"/>
    <cellStyle name="Output 2 11 2 4 2" xfId="7105" xr:uid="{00000000-0005-0000-0000-0000FF4E0000}"/>
    <cellStyle name="Output 2 11 2 4 2 2" xfId="16903" xr:uid="{00000000-0005-0000-0000-0000004F0000}"/>
    <cellStyle name="Output 2 11 2 4 2 2 2" xfId="31735" xr:uid="{00000000-0005-0000-0000-0000014F0000}"/>
    <cellStyle name="Output 2 11 2 4 2 3" xfId="18871" xr:uid="{00000000-0005-0000-0000-0000024F0000}"/>
    <cellStyle name="Output 2 11 2 4 3" xfId="13368" xr:uid="{00000000-0005-0000-0000-0000034F0000}"/>
    <cellStyle name="Output 2 11 2 4 3 2" xfId="28200" xr:uid="{00000000-0005-0000-0000-0000044F0000}"/>
    <cellStyle name="Output 2 11 2 4 4" xfId="10559" xr:uid="{00000000-0005-0000-0000-0000054F0000}"/>
    <cellStyle name="Output 2 11 2 4 4 2" xfId="25391" xr:uid="{00000000-0005-0000-0000-0000064F0000}"/>
    <cellStyle name="Output 2 11 2 5" xfId="6197" xr:uid="{00000000-0005-0000-0000-0000074F0000}"/>
    <cellStyle name="Output 2 11 2 5 2" xfId="16383" xr:uid="{00000000-0005-0000-0000-0000084F0000}"/>
    <cellStyle name="Output 2 11 2 5 2 2" xfId="31215" xr:uid="{00000000-0005-0000-0000-0000094F0000}"/>
    <cellStyle name="Output 2 11 2 5 3" xfId="18512" xr:uid="{00000000-0005-0000-0000-00000A4F0000}"/>
    <cellStyle name="Output 2 11 2 6" xfId="12453" xr:uid="{00000000-0005-0000-0000-00000B4F0000}"/>
    <cellStyle name="Output 2 11 2 6 2" xfId="27285" xr:uid="{00000000-0005-0000-0000-00000C4F0000}"/>
    <cellStyle name="Output 2 11 2 7" xfId="10035" xr:uid="{00000000-0005-0000-0000-00000D4F0000}"/>
    <cellStyle name="Output 2 11 2 7 2" xfId="24867" xr:uid="{00000000-0005-0000-0000-00000E4F0000}"/>
    <cellStyle name="Output 2 11 3" xfId="3984" xr:uid="{00000000-0005-0000-0000-00000F4F0000}"/>
    <cellStyle name="Output 2 11 3 2" xfId="8032" xr:uid="{00000000-0005-0000-0000-0000104F0000}"/>
    <cellStyle name="Output 2 11 3 2 2" xfId="17457" xr:uid="{00000000-0005-0000-0000-0000114F0000}"/>
    <cellStyle name="Output 2 11 3 2 2 2" xfId="32289" xr:uid="{00000000-0005-0000-0000-0000124F0000}"/>
    <cellStyle name="Output 2 11 3 2 3" xfId="19221" xr:uid="{00000000-0005-0000-0000-0000134F0000}"/>
    <cellStyle name="Output 2 11 3 3" xfId="14317" xr:uid="{00000000-0005-0000-0000-0000144F0000}"/>
    <cellStyle name="Output 2 11 3 3 2" xfId="29149" xr:uid="{00000000-0005-0000-0000-0000154F0000}"/>
    <cellStyle name="Output 2 11 3 4" xfId="11074" xr:uid="{00000000-0005-0000-0000-0000164F0000}"/>
    <cellStyle name="Output 2 11 3 4 2" xfId="25906" xr:uid="{00000000-0005-0000-0000-0000174F0000}"/>
    <cellStyle name="Output 2 11 4" xfId="4620" xr:uid="{00000000-0005-0000-0000-0000184F0000}"/>
    <cellStyle name="Output 2 11 4 2" xfId="8659" xr:uid="{00000000-0005-0000-0000-0000194F0000}"/>
    <cellStyle name="Output 2 11 4 2 2" xfId="17772" xr:uid="{00000000-0005-0000-0000-00001A4F0000}"/>
    <cellStyle name="Output 2 11 4 2 2 2" xfId="32604" xr:uid="{00000000-0005-0000-0000-00001B4F0000}"/>
    <cellStyle name="Output 2 11 4 2 3" xfId="19418" xr:uid="{00000000-0005-0000-0000-00001C4F0000}"/>
    <cellStyle name="Output 2 11 4 3" xfId="14946" xr:uid="{00000000-0005-0000-0000-00001D4F0000}"/>
    <cellStyle name="Output 2 11 4 3 2" xfId="29778" xr:uid="{00000000-0005-0000-0000-00001E4F0000}"/>
    <cellStyle name="Output 2 11 4 4" xfId="11377" xr:uid="{00000000-0005-0000-0000-00001F4F0000}"/>
    <cellStyle name="Output 2 11 4 4 2" xfId="26209" xr:uid="{00000000-0005-0000-0000-0000204F0000}"/>
    <cellStyle name="Output 2 11 5" xfId="2610" xr:uid="{00000000-0005-0000-0000-0000214F0000}"/>
    <cellStyle name="Output 2 11 5 2" xfId="6711" xr:uid="{00000000-0005-0000-0000-0000224F0000}"/>
    <cellStyle name="Output 2 11 5 2 2" xfId="16668" xr:uid="{00000000-0005-0000-0000-0000234F0000}"/>
    <cellStyle name="Output 2 11 5 2 2 2" xfId="31500" xr:uid="{00000000-0005-0000-0000-0000244F0000}"/>
    <cellStyle name="Output 2 11 5 2 3" xfId="18707" xr:uid="{00000000-0005-0000-0000-0000254F0000}"/>
    <cellStyle name="Output 2 11 5 3" xfId="12948" xr:uid="{00000000-0005-0000-0000-0000264F0000}"/>
    <cellStyle name="Output 2 11 5 3 2" xfId="27780" xr:uid="{00000000-0005-0000-0000-0000274F0000}"/>
    <cellStyle name="Output 2 11 5 4" xfId="10319" xr:uid="{00000000-0005-0000-0000-0000284F0000}"/>
    <cellStyle name="Output 2 11 5 4 2" xfId="25151" xr:uid="{00000000-0005-0000-0000-0000294F0000}"/>
    <cellStyle name="Output 2 11 6" xfId="5727" xr:uid="{00000000-0005-0000-0000-00002A4F0000}"/>
    <cellStyle name="Output 2 11 6 2" xfId="15962" xr:uid="{00000000-0005-0000-0000-00002B4F0000}"/>
    <cellStyle name="Output 2 11 6 2 2" xfId="30794" xr:uid="{00000000-0005-0000-0000-00002C4F0000}"/>
    <cellStyle name="Output 2 11 6 3" xfId="18348" xr:uid="{00000000-0005-0000-0000-00002D4F0000}"/>
    <cellStyle name="Output 2 11 7" xfId="11982" xr:uid="{00000000-0005-0000-0000-00002E4F0000}"/>
    <cellStyle name="Output 2 11 7 2" xfId="26814" xr:uid="{00000000-0005-0000-0000-00002F4F0000}"/>
    <cellStyle name="Output 2 11 8" xfId="9641" xr:uid="{00000000-0005-0000-0000-0000304F0000}"/>
    <cellStyle name="Output 2 11 8 2" xfId="19942" xr:uid="{00000000-0005-0000-0000-0000314F0000}"/>
    <cellStyle name="Output 2 12" xfId="1625" xr:uid="{00000000-0005-0000-0000-0000324F0000}"/>
    <cellStyle name="Output 2 12 2" xfId="2122" xr:uid="{00000000-0005-0000-0000-0000334F0000}"/>
    <cellStyle name="Output 2 12 2 2" xfId="3603" xr:uid="{00000000-0005-0000-0000-0000344F0000}"/>
    <cellStyle name="Output 2 12 2 2 2" xfId="7664" xr:uid="{00000000-0005-0000-0000-0000354F0000}"/>
    <cellStyle name="Output 2 12 2 2 2 2" xfId="17280" xr:uid="{00000000-0005-0000-0000-0000364F0000}"/>
    <cellStyle name="Output 2 12 2 2 2 2 2" xfId="32112" xr:uid="{00000000-0005-0000-0000-0000374F0000}"/>
    <cellStyle name="Output 2 12 2 2 2 3" xfId="19099" xr:uid="{00000000-0005-0000-0000-0000384F0000}"/>
    <cellStyle name="Output 2 12 2 2 3" xfId="13939" xr:uid="{00000000-0005-0000-0000-0000394F0000}"/>
    <cellStyle name="Output 2 12 2 2 3 2" xfId="28771" xr:uid="{00000000-0005-0000-0000-00003A4F0000}"/>
    <cellStyle name="Output 2 12 2 2 4" xfId="10897" xr:uid="{00000000-0005-0000-0000-00003B4F0000}"/>
    <cellStyle name="Output 2 12 2 2 4 2" xfId="25729" xr:uid="{00000000-0005-0000-0000-00003C4F0000}"/>
    <cellStyle name="Output 2 12 2 3" xfId="5090" xr:uid="{00000000-0005-0000-0000-00003D4F0000}"/>
    <cellStyle name="Output 2 12 2 3 2" xfId="9129" xr:uid="{00000000-0005-0000-0000-00003E4F0000}"/>
    <cellStyle name="Output 2 12 2 3 2 2" xfId="18057" xr:uid="{00000000-0005-0000-0000-00003F4F0000}"/>
    <cellStyle name="Output 2 12 2 3 2 2 2" xfId="32889" xr:uid="{00000000-0005-0000-0000-0000404F0000}"/>
    <cellStyle name="Output 2 12 2 3 2 3" xfId="19610" xr:uid="{00000000-0005-0000-0000-0000414F0000}"/>
    <cellStyle name="Output 2 12 2 3 3" xfId="15410" xr:uid="{00000000-0005-0000-0000-0000424F0000}"/>
    <cellStyle name="Output 2 12 2 3 3 2" xfId="30242" xr:uid="{00000000-0005-0000-0000-0000434F0000}"/>
    <cellStyle name="Output 2 12 2 3 4" xfId="11656" xr:uid="{00000000-0005-0000-0000-0000444F0000}"/>
    <cellStyle name="Output 2 12 2 3 4 2" xfId="26488" xr:uid="{00000000-0005-0000-0000-0000454F0000}"/>
    <cellStyle name="Output 2 12 2 4" xfId="3080" xr:uid="{00000000-0005-0000-0000-0000464F0000}"/>
    <cellStyle name="Output 2 12 2 4 2" xfId="7150" xr:uid="{00000000-0005-0000-0000-0000474F0000}"/>
    <cellStyle name="Output 2 12 2 4 2 2" xfId="16947" xr:uid="{00000000-0005-0000-0000-0000484F0000}"/>
    <cellStyle name="Output 2 12 2 4 2 2 2" xfId="31779" xr:uid="{00000000-0005-0000-0000-0000494F0000}"/>
    <cellStyle name="Output 2 12 2 4 2 3" xfId="18904" xr:uid="{00000000-0005-0000-0000-00004A4F0000}"/>
    <cellStyle name="Output 2 12 2 4 3" xfId="13418" xr:uid="{00000000-0005-0000-0000-00004B4F0000}"/>
    <cellStyle name="Output 2 12 2 4 3 2" xfId="28250" xr:uid="{00000000-0005-0000-0000-00004C4F0000}"/>
    <cellStyle name="Output 2 12 2 4 4" xfId="10604" xr:uid="{00000000-0005-0000-0000-00004D4F0000}"/>
    <cellStyle name="Output 2 12 2 4 4 2" xfId="25436" xr:uid="{00000000-0005-0000-0000-00004E4F0000}"/>
    <cellStyle name="Output 2 12 2 5" xfId="6242" xr:uid="{00000000-0005-0000-0000-00004F4F0000}"/>
    <cellStyle name="Output 2 12 2 5 2" xfId="16427" xr:uid="{00000000-0005-0000-0000-0000504F0000}"/>
    <cellStyle name="Output 2 12 2 5 2 2" xfId="31259" xr:uid="{00000000-0005-0000-0000-0000514F0000}"/>
    <cellStyle name="Output 2 12 2 5 3" xfId="18545" xr:uid="{00000000-0005-0000-0000-0000524F0000}"/>
    <cellStyle name="Output 2 12 2 6" xfId="12497" xr:uid="{00000000-0005-0000-0000-0000534F0000}"/>
    <cellStyle name="Output 2 12 2 6 2" xfId="27329" xr:uid="{00000000-0005-0000-0000-0000544F0000}"/>
    <cellStyle name="Output 2 12 2 7" xfId="10079" xr:uid="{00000000-0005-0000-0000-0000554F0000}"/>
    <cellStyle name="Output 2 12 2 7 2" xfId="24911" xr:uid="{00000000-0005-0000-0000-0000564F0000}"/>
    <cellStyle name="Output 2 12 3" xfId="4320" xr:uid="{00000000-0005-0000-0000-0000574F0000}"/>
    <cellStyle name="Output 2 12 3 2" xfId="8359" xr:uid="{00000000-0005-0000-0000-0000584F0000}"/>
    <cellStyle name="Output 2 12 3 2 2" xfId="17637" xr:uid="{00000000-0005-0000-0000-0000594F0000}"/>
    <cellStyle name="Output 2 12 3 2 2 2" xfId="32469" xr:uid="{00000000-0005-0000-0000-00005A4F0000}"/>
    <cellStyle name="Output 2 12 3 2 3" xfId="19339" xr:uid="{00000000-0005-0000-0000-00005B4F0000}"/>
    <cellStyle name="Output 2 12 3 3" xfId="14651" xr:uid="{00000000-0005-0000-0000-00005C4F0000}"/>
    <cellStyle name="Output 2 12 3 3 2" xfId="29483" xr:uid="{00000000-0005-0000-0000-00005D4F0000}"/>
    <cellStyle name="Output 2 12 3 4" xfId="11247" xr:uid="{00000000-0005-0000-0000-00005E4F0000}"/>
    <cellStyle name="Output 2 12 3 4 2" xfId="26079" xr:uid="{00000000-0005-0000-0000-00005F4F0000}"/>
    <cellStyle name="Output 2 12 4" xfId="4670" xr:uid="{00000000-0005-0000-0000-0000604F0000}"/>
    <cellStyle name="Output 2 12 4 2" xfId="8709" xr:uid="{00000000-0005-0000-0000-0000614F0000}"/>
    <cellStyle name="Output 2 12 4 2 2" xfId="17817" xr:uid="{00000000-0005-0000-0000-0000624F0000}"/>
    <cellStyle name="Output 2 12 4 2 2 2" xfId="32649" xr:uid="{00000000-0005-0000-0000-0000634F0000}"/>
    <cellStyle name="Output 2 12 4 2 3" xfId="19450" xr:uid="{00000000-0005-0000-0000-0000644F0000}"/>
    <cellStyle name="Output 2 12 4 3" xfId="14995" xr:uid="{00000000-0005-0000-0000-0000654F0000}"/>
    <cellStyle name="Output 2 12 4 3 2" xfId="29827" xr:uid="{00000000-0005-0000-0000-0000664F0000}"/>
    <cellStyle name="Output 2 12 4 4" xfId="11421" xr:uid="{00000000-0005-0000-0000-0000674F0000}"/>
    <cellStyle name="Output 2 12 4 4 2" xfId="26253" xr:uid="{00000000-0005-0000-0000-0000684F0000}"/>
    <cellStyle name="Output 2 12 5" xfId="2660" xr:uid="{00000000-0005-0000-0000-0000694F0000}"/>
    <cellStyle name="Output 2 12 5 2" xfId="6756" xr:uid="{00000000-0005-0000-0000-00006A4F0000}"/>
    <cellStyle name="Output 2 12 5 2 2" xfId="16712" xr:uid="{00000000-0005-0000-0000-00006B4F0000}"/>
    <cellStyle name="Output 2 12 5 2 2 2" xfId="31544" xr:uid="{00000000-0005-0000-0000-00006C4F0000}"/>
    <cellStyle name="Output 2 12 5 2 3" xfId="18740" xr:uid="{00000000-0005-0000-0000-00006D4F0000}"/>
    <cellStyle name="Output 2 12 5 3" xfId="12998" xr:uid="{00000000-0005-0000-0000-00006E4F0000}"/>
    <cellStyle name="Output 2 12 5 3 2" xfId="27830" xr:uid="{00000000-0005-0000-0000-00006F4F0000}"/>
    <cellStyle name="Output 2 12 5 4" xfId="10364" xr:uid="{00000000-0005-0000-0000-0000704F0000}"/>
    <cellStyle name="Output 2 12 5 4 2" xfId="25196" xr:uid="{00000000-0005-0000-0000-0000714F0000}"/>
    <cellStyle name="Output 2 12 6" xfId="5772" xr:uid="{00000000-0005-0000-0000-0000724F0000}"/>
    <cellStyle name="Output 2 12 6 2" xfId="16006" xr:uid="{00000000-0005-0000-0000-0000734F0000}"/>
    <cellStyle name="Output 2 12 6 2 2" xfId="30838" xr:uid="{00000000-0005-0000-0000-0000744F0000}"/>
    <cellStyle name="Output 2 12 6 3" xfId="18381" xr:uid="{00000000-0005-0000-0000-0000754F0000}"/>
    <cellStyle name="Output 2 12 7" xfId="12026" xr:uid="{00000000-0005-0000-0000-0000764F0000}"/>
    <cellStyle name="Output 2 12 7 2" xfId="26858" xr:uid="{00000000-0005-0000-0000-0000774F0000}"/>
    <cellStyle name="Output 2 12 8" xfId="9686" xr:uid="{00000000-0005-0000-0000-0000784F0000}"/>
    <cellStyle name="Output 2 12 8 2" xfId="19986" xr:uid="{00000000-0005-0000-0000-0000794F0000}"/>
    <cellStyle name="Output 2 13" xfId="1776" xr:uid="{00000000-0005-0000-0000-00007A4F0000}"/>
    <cellStyle name="Output 2 13 2" xfId="3556" xr:uid="{00000000-0005-0000-0000-00007B4F0000}"/>
    <cellStyle name="Output 2 13 2 2" xfId="7618" xr:uid="{00000000-0005-0000-0000-00007C4F0000}"/>
    <cellStyle name="Output 2 13 2 2 2" xfId="17255" xr:uid="{00000000-0005-0000-0000-00007D4F0000}"/>
    <cellStyle name="Output 2 13 2 2 2 2" xfId="32087" xr:uid="{00000000-0005-0000-0000-00007E4F0000}"/>
    <cellStyle name="Output 2 13 2 2 3" xfId="19078" xr:uid="{00000000-0005-0000-0000-00007F4F0000}"/>
    <cellStyle name="Output 2 13 2 3" xfId="13892" xr:uid="{00000000-0005-0000-0000-0000804F0000}"/>
    <cellStyle name="Output 2 13 2 3 2" xfId="28724" xr:uid="{00000000-0005-0000-0000-0000814F0000}"/>
    <cellStyle name="Output 2 13 2 4" xfId="10872" xr:uid="{00000000-0005-0000-0000-0000824F0000}"/>
    <cellStyle name="Output 2 13 2 4 2" xfId="25704" xr:uid="{00000000-0005-0000-0000-0000834F0000}"/>
    <cellStyle name="Output 2 13 3" xfId="4754" xr:uid="{00000000-0005-0000-0000-0000844F0000}"/>
    <cellStyle name="Output 2 13 3 2" xfId="8793" xr:uid="{00000000-0005-0000-0000-0000854F0000}"/>
    <cellStyle name="Output 2 13 3 2 2" xfId="17865" xr:uid="{00000000-0005-0000-0000-0000864F0000}"/>
    <cellStyle name="Output 2 13 3 2 2 2" xfId="32697" xr:uid="{00000000-0005-0000-0000-0000874F0000}"/>
    <cellStyle name="Output 2 13 3 2 3" xfId="19482" xr:uid="{00000000-0005-0000-0000-0000884F0000}"/>
    <cellStyle name="Output 2 13 3 3" xfId="15078" xr:uid="{00000000-0005-0000-0000-0000894F0000}"/>
    <cellStyle name="Output 2 13 3 3 2" xfId="29910" xr:uid="{00000000-0005-0000-0000-00008A4F0000}"/>
    <cellStyle name="Output 2 13 3 4" xfId="11468" xr:uid="{00000000-0005-0000-0000-00008B4F0000}"/>
    <cellStyle name="Output 2 13 3 4 2" xfId="26300" xr:uid="{00000000-0005-0000-0000-00008C4F0000}"/>
    <cellStyle name="Output 2 13 4" xfId="2744" xr:uid="{00000000-0005-0000-0000-00008D4F0000}"/>
    <cellStyle name="Output 2 13 4 2" xfId="6835" xr:uid="{00000000-0005-0000-0000-00008E4F0000}"/>
    <cellStyle name="Output 2 13 4 2 2" xfId="16759" xr:uid="{00000000-0005-0000-0000-00008F4F0000}"/>
    <cellStyle name="Output 2 13 4 2 2 2" xfId="31591" xr:uid="{00000000-0005-0000-0000-0000904F0000}"/>
    <cellStyle name="Output 2 13 4 2 3" xfId="18773" xr:uid="{00000000-0005-0000-0000-0000914F0000}"/>
    <cellStyle name="Output 2 13 4 3" xfId="13082" xr:uid="{00000000-0005-0000-0000-0000924F0000}"/>
    <cellStyle name="Output 2 13 4 3 2" xfId="27914" xr:uid="{00000000-0005-0000-0000-0000934F0000}"/>
    <cellStyle name="Output 2 13 4 4" xfId="10412" xr:uid="{00000000-0005-0000-0000-0000944F0000}"/>
    <cellStyle name="Output 2 13 4 4 2" xfId="25244" xr:uid="{00000000-0005-0000-0000-0000954F0000}"/>
    <cellStyle name="Output 2 13 5" xfId="5908" xr:uid="{00000000-0005-0000-0000-0000964F0000}"/>
    <cellStyle name="Output 2 13 5 2" xfId="16100" xr:uid="{00000000-0005-0000-0000-0000974F0000}"/>
    <cellStyle name="Output 2 13 5 2 2" xfId="30932" xr:uid="{00000000-0005-0000-0000-0000984F0000}"/>
    <cellStyle name="Output 2 13 5 3" xfId="18415" xr:uid="{00000000-0005-0000-0000-0000994F0000}"/>
    <cellStyle name="Output 2 13 6" xfId="12170" xr:uid="{00000000-0005-0000-0000-00009A4F0000}"/>
    <cellStyle name="Output 2 13 6 2" xfId="27002" xr:uid="{00000000-0005-0000-0000-00009B4F0000}"/>
    <cellStyle name="Output 2 13 7" xfId="9766" xr:uid="{00000000-0005-0000-0000-00009C4F0000}"/>
    <cellStyle name="Output 2 13 7 2" xfId="24723" xr:uid="{00000000-0005-0000-0000-00009D4F0000}"/>
    <cellStyle name="Output 2 14" xfId="2190" xr:uid="{00000000-0005-0000-0000-00009E4F0000}"/>
    <cellStyle name="Output 2 14 2" xfId="3730" xr:uid="{00000000-0005-0000-0000-00009F4F0000}"/>
    <cellStyle name="Output 2 14 2 2" xfId="7786" xr:uid="{00000000-0005-0000-0000-0000A04F0000}"/>
    <cellStyle name="Output 2 14 2 2 2" xfId="17339" xr:uid="{00000000-0005-0000-0000-0000A14F0000}"/>
    <cellStyle name="Output 2 14 2 2 2 2" xfId="32171" xr:uid="{00000000-0005-0000-0000-0000A24F0000}"/>
    <cellStyle name="Output 2 14 2 2 3" xfId="19135" xr:uid="{00000000-0005-0000-0000-0000A34F0000}"/>
    <cellStyle name="Output 2 14 2 3" xfId="14065" xr:uid="{00000000-0005-0000-0000-0000A44F0000}"/>
    <cellStyle name="Output 2 14 2 3 2" xfId="28897" xr:uid="{00000000-0005-0000-0000-0000A54F0000}"/>
    <cellStyle name="Output 2 14 2 4" xfId="10955" xr:uid="{00000000-0005-0000-0000-0000A64F0000}"/>
    <cellStyle name="Output 2 14 2 4 2" xfId="25787" xr:uid="{00000000-0005-0000-0000-0000A74F0000}"/>
    <cellStyle name="Output 2 14 3" xfId="5158" xr:uid="{00000000-0005-0000-0000-0000A84F0000}"/>
    <cellStyle name="Output 2 14 3 2" xfId="9197" xr:uid="{00000000-0005-0000-0000-0000A94F0000}"/>
    <cellStyle name="Output 2 14 3 2 2" xfId="18120" xr:uid="{00000000-0005-0000-0000-0000AA4F0000}"/>
    <cellStyle name="Output 2 14 3 2 2 2" xfId="32952" xr:uid="{00000000-0005-0000-0000-0000AB4F0000}"/>
    <cellStyle name="Output 2 14 3 2 3" xfId="19671" xr:uid="{00000000-0005-0000-0000-0000AC4F0000}"/>
    <cellStyle name="Output 2 14 3 3" xfId="15476" xr:uid="{00000000-0005-0000-0000-0000AD4F0000}"/>
    <cellStyle name="Output 2 14 3 3 2" xfId="30308" xr:uid="{00000000-0005-0000-0000-0000AE4F0000}"/>
    <cellStyle name="Output 2 14 3 4" xfId="11717" xr:uid="{00000000-0005-0000-0000-0000AF4F0000}"/>
    <cellStyle name="Output 2 14 3 4 2" xfId="26549" xr:uid="{00000000-0005-0000-0000-0000B04F0000}"/>
    <cellStyle name="Output 2 14 4" xfId="4188" xr:uid="{00000000-0005-0000-0000-0000B14F0000}"/>
    <cellStyle name="Output 2 14 4 2" xfId="8229" xr:uid="{00000000-0005-0000-0000-0000B24F0000}"/>
    <cellStyle name="Output 2 14 4 2 2" xfId="17576" xr:uid="{00000000-0005-0000-0000-0000B34F0000}"/>
    <cellStyle name="Output 2 14 4 2 2 2" xfId="32408" xr:uid="{00000000-0005-0000-0000-0000B44F0000}"/>
    <cellStyle name="Output 2 14 4 2 3" xfId="19314" xr:uid="{00000000-0005-0000-0000-0000B54F0000}"/>
    <cellStyle name="Output 2 14 4 3" xfId="14520" xr:uid="{00000000-0005-0000-0000-0000B64F0000}"/>
    <cellStyle name="Output 2 14 4 3 2" xfId="29352" xr:uid="{00000000-0005-0000-0000-0000B74F0000}"/>
    <cellStyle name="Output 2 14 4 4" xfId="11196" xr:uid="{00000000-0005-0000-0000-0000B84F0000}"/>
    <cellStyle name="Output 2 14 4 4 2" xfId="26028" xr:uid="{00000000-0005-0000-0000-0000B94F0000}"/>
    <cellStyle name="Output 2 14 5" xfId="6304" xr:uid="{00000000-0005-0000-0000-0000BA4F0000}"/>
    <cellStyle name="Output 2 14 5 2" xfId="16488" xr:uid="{00000000-0005-0000-0000-0000BB4F0000}"/>
    <cellStyle name="Output 2 14 5 2 2" xfId="31320" xr:uid="{00000000-0005-0000-0000-0000BC4F0000}"/>
    <cellStyle name="Output 2 14 5 3" xfId="18607" xr:uid="{00000000-0005-0000-0000-0000BD4F0000}"/>
    <cellStyle name="Output 2 14 6" xfId="12558" xr:uid="{00000000-0005-0000-0000-0000BE4F0000}"/>
    <cellStyle name="Output 2 14 6 2" xfId="27390" xr:uid="{00000000-0005-0000-0000-0000BF4F0000}"/>
    <cellStyle name="Output 2 14 7" xfId="10140" xr:uid="{00000000-0005-0000-0000-0000C04F0000}"/>
    <cellStyle name="Output 2 14 7 2" xfId="24972" xr:uid="{00000000-0005-0000-0000-0000C14F0000}"/>
    <cellStyle name="Output 2 15" xfId="3195" xr:uid="{00000000-0005-0000-0000-0000C24F0000}"/>
    <cellStyle name="Output 2 15 2" xfId="7259" xr:uid="{00000000-0005-0000-0000-0000C34F0000}"/>
    <cellStyle name="Output 2 15 2 2" xfId="17028" xr:uid="{00000000-0005-0000-0000-0000C44F0000}"/>
    <cellStyle name="Output 2 15 2 2 2" xfId="31860" xr:uid="{00000000-0005-0000-0000-0000C54F0000}"/>
    <cellStyle name="Output 2 15 2 3" xfId="18958" xr:uid="{00000000-0005-0000-0000-0000C64F0000}"/>
    <cellStyle name="Output 2 15 3" xfId="13533" xr:uid="{00000000-0005-0000-0000-0000C74F0000}"/>
    <cellStyle name="Output 2 15 3 2" xfId="28365" xr:uid="{00000000-0005-0000-0000-0000C84F0000}"/>
    <cellStyle name="Output 2 15 4" xfId="10673" xr:uid="{00000000-0005-0000-0000-0000C94F0000}"/>
    <cellStyle name="Output 2 15 4 2" xfId="25505" xr:uid="{00000000-0005-0000-0000-0000CA4F0000}"/>
    <cellStyle name="Output 2 16" xfId="3187" xr:uid="{00000000-0005-0000-0000-0000CB4F0000}"/>
    <cellStyle name="Output 2 16 2" xfId="7251" xr:uid="{00000000-0005-0000-0000-0000CC4F0000}"/>
    <cellStyle name="Output 2 16 2 2" xfId="17021" xr:uid="{00000000-0005-0000-0000-0000CD4F0000}"/>
    <cellStyle name="Output 2 16 2 2 2" xfId="31853" xr:uid="{00000000-0005-0000-0000-0000CE4F0000}"/>
    <cellStyle name="Output 2 16 2 3" xfId="18955" xr:uid="{00000000-0005-0000-0000-0000CF4F0000}"/>
    <cellStyle name="Output 2 16 3" xfId="13525" xr:uid="{00000000-0005-0000-0000-0000D04F0000}"/>
    <cellStyle name="Output 2 16 3 2" xfId="28357" xr:uid="{00000000-0005-0000-0000-0000D14F0000}"/>
    <cellStyle name="Output 2 16 4" xfId="10669" xr:uid="{00000000-0005-0000-0000-0000D24F0000}"/>
    <cellStyle name="Output 2 16 4 2" xfId="25501" xr:uid="{00000000-0005-0000-0000-0000D34F0000}"/>
    <cellStyle name="Output 2 17" xfId="2317" xr:uid="{00000000-0005-0000-0000-0000D44F0000}"/>
    <cellStyle name="Output 2 17 2" xfId="6429" xr:uid="{00000000-0005-0000-0000-0000D54F0000}"/>
    <cellStyle name="Output 2 17 2 2" xfId="16522" xr:uid="{00000000-0005-0000-0000-0000D64F0000}"/>
    <cellStyle name="Output 2 17 2 2 2" xfId="31354" xr:uid="{00000000-0005-0000-0000-0000D74F0000}"/>
    <cellStyle name="Output 2 17 2 3" xfId="18610" xr:uid="{00000000-0005-0000-0000-0000D84F0000}"/>
    <cellStyle name="Output 2 17 3" xfId="12657" xr:uid="{00000000-0005-0000-0000-0000D94F0000}"/>
    <cellStyle name="Output 2 17 3 2" xfId="27489" xr:uid="{00000000-0005-0000-0000-0000DA4F0000}"/>
    <cellStyle name="Output 2 17 4" xfId="10173" xr:uid="{00000000-0005-0000-0000-0000DB4F0000}"/>
    <cellStyle name="Output 2 17 4 2" xfId="25005" xr:uid="{00000000-0005-0000-0000-0000DC4F0000}"/>
    <cellStyle name="Output 2 18" xfId="5280" xr:uid="{00000000-0005-0000-0000-0000DD4F0000}"/>
    <cellStyle name="Output 2 18 2" xfId="9288" xr:uid="{00000000-0005-0000-0000-0000DE4F0000}"/>
    <cellStyle name="Output 2 18 2 2" xfId="18155" xr:uid="{00000000-0005-0000-0000-0000DF4F0000}"/>
    <cellStyle name="Output 2 18 2 2 2" xfId="32987" xr:uid="{00000000-0005-0000-0000-0000E04F0000}"/>
    <cellStyle name="Output 2 18 2 3" xfId="19674" xr:uid="{00000000-0005-0000-0000-0000E14F0000}"/>
    <cellStyle name="Output 2 18 3" xfId="15596" xr:uid="{00000000-0005-0000-0000-0000E24F0000}"/>
    <cellStyle name="Output 2 18 3 2" xfId="30428" xr:uid="{00000000-0005-0000-0000-0000E34F0000}"/>
    <cellStyle name="Output 2 19" xfId="5438" xr:uid="{00000000-0005-0000-0000-0000E44F0000}"/>
    <cellStyle name="Output 2 19 2" xfId="15674" xr:uid="{00000000-0005-0000-0000-0000E54F0000}"/>
    <cellStyle name="Output 2 19 2 2" xfId="30506" xr:uid="{00000000-0005-0000-0000-0000E64F0000}"/>
    <cellStyle name="Output 2 19 3" xfId="18251" xr:uid="{00000000-0005-0000-0000-0000E74F0000}"/>
    <cellStyle name="Output 2 2" xfId="1232" xr:uid="{00000000-0005-0000-0000-0000E84F0000}"/>
    <cellStyle name="Output 2 2 10" xfId="2318" xr:uid="{00000000-0005-0000-0000-0000E94F0000}"/>
    <cellStyle name="Output 2 2 10 2" xfId="6430" xr:uid="{00000000-0005-0000-0000-0000EA4F0000}"/>
    <cellStyle name="Output 2 2 10 2 2" xfId="16523" xr:uid="{00000000-0005-0000-0000-0000EB4F0000}"/>
    <cellStyle name="Output 2 2 10 2 2 2" xfId="31355" xr:uid="{00000000-0005-0000-0000-0000EC4F0000}"/>
    <cellStyle name="Output 2 2 10 2 3" xfId="18611" xr:uid="{00000000-0005-0000-0000-0000ED4F0000}"/>
    <cellStyle name="Output 2 2 10 3" xfId="12658" xr:uid="{00000000-0005-0000-0000-0000EE4F0000}"/>
    <cellStyle name="Output 2 2 10 3 2" xfId="27490" xr:uid="{00000000-0005-0000-0000-0000EF4F0000}"/>
    <cellStyle name="Output 2 2 10 4" xfId="10174" xr:uid="{00000000-0005-0000-0000-0000F04F0000}"/>
    <cellStyle name="Output 2 2 10 4 2" xfId="25006" xr:uid="{00000000-0005-0000-0000-0000F14F0000}"/>
    <cellStyle name="Output 2 2 11" xfId="5281" xr:uid="{00000000-0005-0000-0000-0000F24F0000}"/>
    <cellStyle name="Output 2 2 11 2" xfId="9289" xr:uid="{00000000-0005-0000-0000-0000F34F0000}"/>
    <cellStyle name="Output 2 2 11 2 2" xfId="18156" xr:uid="{00000000-0005-0000-0000-0000F44F0000}"/>
    <cellStyle name="Output 2 2 11 2 2 2" xfId="32988" xr:uid="{00000000-0005-0000-0000-0000F54F0000}"/>
    <cellStyle name="Output 2 2 11 2 3" xfId="19675" xr:uid="{00000000-0005-0000-0000-0000F64F0000}"/>
    <cellStyle name="Output 2 2 11 3" xfId="15597" xr:uid="{00000000-0005-0000-0000-0000F74F0000}"/>
    <cellStyle name="Output 2 2 11 3 2" xfId="30429" xr:uid="{00000000-0005-0000-0000-0000F84F0000}"/>
    <cellStyle name="Output 2 2 12" xfId="5439" xr:uid="{00000000-0005-0000-0000-0000F94F0000}"/>
    <cellStyle name="Output 2 2 12 2" xfId="15675" xr:uid="{00000000-0005-0000-0000-0000FA4F0000}"/>
    <cellStyle name="Output 2 2 12 2 2" xfId="30507" xr:uid="{00000000-0005-0000-0000-0000FB4F0000}"/>
    <cellStyle name="Output 2 2 12 3" xfId="18252" xr:uid="{00000000-0005-0000-0000-0000FC4F0000}"/>
    <cellStyle name="Output 2 2 13" xfId="9352" xr:uid="{00000000-0005-0000-0000-0000FD4F0000}"/>
    <cellStyle name="Output 2 2 13 2" xfId="24658" xr:uid="{00000000-0005-0000-0000-0000FE4F0000}"/>
    <cellStyle name="Output 2 2 14" xfId="5341" xr:uid="{00000000-0005-0000-0000-0000FF4F0000}"/>
    <cellStyle name="Output 2 2 14 2" xfId="18215" xr:uid="{00000000-0005-0000-0000-000000500000}"/>
    <cellStyle name="Output 2 2 2" xfId="1351" xr:uid="{00000000-0005-0000-0000-000001500000}"/>
    <cellStyle name="Output 2 2 2 2" xfId="1855" xr:uid="{00000000-0005-0000-0000-000002500000}"/>
    <cellStyle name="Output 2 2 2 2 2" xfId="3380" xr:uid="{00000000-0005-0000-0000-000003500000}"/>
    <cellStyle name="Output 2 2 2 2 2 2" xfId="7443" xr:uid="{00000000-0005-0000-0000-000004500000}"/>
    <cellStyle name="Output 2 2 2 2 2 2 2" xfId="17150" xr:uid="{00000000-0005-0000-0000-000005500000}"/>
    <cellStyle name="Output 2 2 2 2 2 2 2 2" xfId="31982" xr:uid="{00000000-0005-0000-0000-000006500000}"/>
    <cellStyle name="Output 2 2 2 2 2 2 3" xfId="19016" xr:uid="{00000000-0005-0000-0000-000007500000}"/>
    <cellStyle name="Output 2 2 2 2 2 3" xfId="13717" xr:uid="{00000000-0005-0000-0000-000008500000}"/>
    <cellStyle name="Output 2 2 2 2 2 3 2" xfId="28549" xr:uid="{00000000-0005-0000-0000-000009500000}"/>
    <cellStyle name="Output 2 2 2 2 2 4" xfId="10769" xr:uid="{00000000-0005-0000-0000-00000A500000}"/>
    <cellStyle name="Output 2 2 2 2 2 4 2" xfId="25601" xr:uid="{00000000-0005-0000-0000-00000B500000}"/>
    <cellStyle name="Output 2 2 2 2 3" xfId="4833" xr:uid="{00000000-0005-0000-0000-00000C500000}"/>
    <cellStyle name="Output 2 2 2 2 3 2" xfId="8872" xr:uid="{00000000-0005-0000-0000-00000D500000}"/>
    <cellStyle name="Output 2 2 2 2 3 2 2" xfId="17913" xr:uid="{00000000-0005-0000-0000-00000E500000}"/>
    <cellStyle name="Output 2 2 2 2 3 2 2 2" xfId="32745" xr:uid="{00000000-0005-0000-0000-00000F500000}"/>
    <cellStyle name="Output 2 2 2 2 3 2 3" xfId="19515" xr:uid="{00000000-0005-0000-0000-000010500000}"/>
    <cellStyle name="Output 2 2 2 2 3 3" xfId="15157" xr:uid="{00000000-0005-0000-0000-000011500000}"/>
    <cellStyle name="Output 2 2 2 2 3 3 2" xfId="29989" xr:uid="{00000000-0005-0000-0000-000012500000}"/>
    <cellStyle name="Output 2 2 2 2 3 4" xfId="11516" xr:uid="{00000000-0005-0000-0000-000013500000}"/>
    <cellStyle name="Output 2 2 2 2 3 4 2" xfId="26348" xr:uid="{00000000-0005-0000-0000-000014500000}"/>
    <cellStyle name="Output 2 2 2 2 4" xfId="2823" xr:uid="{00000000-0005-0000-0000-000015500000}"/>
    <cellStyle name="Output 2 2 2 2 4 2" xfId="6914" xr:uid="{00000000-0005-0000-0000-000016500000}"/>
    <cellStyle name="Output 2 2 2 2 4 2 2" xfId="16807" xr:uid="{00000000-0005-0000-0000-000017500000}"/>
    <cellStyle name="Output 2 2 2 2 4 2 2 2" xfId="31639" xr:uid="{00000000-0005-0000-0000-000018500000}"/>
    <cellStyle name="Output 2 2 2 2 4 2 3" xfId="18806" xr:uid="{00000000-0005-0000-0000-000019500000}"/>
    <cellStyle name="Output 2 2 2 2 4 3" xfId="13161" xr:uid="{00000000-0005-0000-0000-00001A500000}"/>
    <cellStyle name="Output 2 2 2 2 4 3 2" xfId="27993" xr:uid="{00000000-0005-0000-0000-00001B500000}"/>
    <cellStyle name="Output 2 2 2 2 4 4" xfId="10460" xr:uid="{00000000-0005-0000-0000-00001C500000}"/>
    <cellStyle name="Output 2 2 2 2 4 4 2" xfId="25292" xr:uid="{00000000-0005-0000-0000-00001D500000}"/>
    <cellStyle name="Output 2 2 2 2 5" xfId="5987" xr:uid="{00000000-0005-0000-0000-00001E500000}"/>
    <cellStyle name="Output 2 2 2 2 5 2" xfId="16179" xr:uid="{00000000-0005-0000-0000-00001F500000}"/>
    <cellStyle name="Output 2 2 2 2 5 2 2" xfId="31011" xr:uid="{00000000-0005-0000-0000-000020500000}"/>
    <cellStyle name="Output 2 2 2 2 5 3" xfId="18448" xr:uid="{00000000-0005-0000-0000-000021500000}"/>
    <cellStyle name="Output 2 2 2 2 6" xfId="12249" xr:uid="{00000000-0005-0000-0000-000022500000}"/>
    <cellStyle name="Output 2 2 2 2 6 2" xfId="27081" xr:uid="{00000000-0005-0000-0000-000023500000}"/>
    <cellStyle name="Output 2 2 2 2 7" xfId="9845" xr:uid="{00000000-0005-0000-0000-000024500000}"/>
    <cellStyle name="Output 2 2 2 2 7 2" xfId="24771" xr:uid="{00000000-0005-0000-0000-000025500000}"/>
    <cellStyle name="Output 2 2 2 3" xfId="3887" xr:uid="{00000000-0005-0000-0000-000026500000}"/>
    <cellStyle name="Output 2 2 2 3 2" xfId="7938" xr:uid="{00000000-0005-0000-0000-000027500000}"/>
    <cellStyle name="Output 2 2 2 3 2 2" xfId="17412" xr:uid="{00000000-0005-0000-0000-000028500000}"/>
    <cellStyle name="Output 2 2 2 3 2 2 2" xfId="32244" xr:uid="{00000000-0005-0000-0000-000029500000}"/>
    <cellStyle name="Output 2 2 2 3 2 3" xfId="19188" xr:uid="{00000000-0005-0000-0000-00002A500000}"/>
    <cellStyle name="Output 2 2 2 3 3" xfId="14221" xr:uid="{00000000-0005-0000-0000-00002B500000}"/>
    <cellStyle name="Output 2 2 2 3 3 2" xfId="29053" xr:uid="{00000000-0005-0000-0000-00002C500000}"/>
    <cellStyle name="Output 2 2 2 3 4" xfId="11029" xr:uid="{00000000-0005-0000-0000-00002D500000}"/>
    <cellStyle name="Output 2 2 2 3 4 2" xfId="25861" xr:uid="{00000000-0005-0000-0000-00002E500000}"/>
    <cellStyle name="Output 2 2 2 4" xfId="4413" xr:uid="{00000000-0005-0000-0000-00002F500000}"/>
    <cellStyle name="Output 2 2 2 4 2" xfId="8452" xr:uid="{00000000-0005-0000-0000-000030500000}"/>
    <cellStyle name="Output 2 2 2 4 2 2" xfId="17673" xr:uid="{00000000-0005-0000-0000-000031500000}"/>
    <cellStyle name="Output 2 2 2 4 2 2 2" xfId="32505" xr:uid="{00000000-0005-0000-0000-000032500000}"/>
    <cellStyle name="Output 2 2 2 4 2 3" xfId="19355" xr:uid="{00000000-0005-0000-0000-000033500000}"/>
    <cellStyle name="Output 2 2 2 4 3" xfId="14742" xr:uid="{00000000-0005-0000-0000-000034500000}"/>
    <cellStyle name="Output 2 2 2 4 3 2" xfId="29574" xr:uid="{00000000-0005-0000-0000-000035500000}"/>
    <cellStyle name="Output 2 2 2 4 4" xfId="11281" xr:uid="{00000000-0005-0000-0000-000036500000}"/>
    <cellStyle name="Output 2 2 2 4 4 2" xfId="26113" xr:uid="{00000000-0005-0000-0000-000037500000}"/>
    <cellStyle name="Output 2 2 2 5" xfId="2403" xr:uid="{00000000-0005-0000-0000-000038500000}"/>
    <cellStyle name="Output 2 2 2 5 2" xfId="6515" xr:uid="{00000000-0005-0000-0000-000039500000}"/>
    <cellStyle name="Output 2 2 2 5 2 2" xfId="16571" xr:uid="{00000000-0005-0000-0000-00003A500000}"/>
    <cellStyle name="Output 2 2 2 5 2 2 2" xfId="31403" xr:uid="{00000000-0005-0000-0000-00003B500000}"/>
    <cellStyle name="Output 2 2 2 5 2 3" xfId="18643" xr:uid="{00000000-0005-0000-0000-00003C500000}"/>
    <cellStyle name="Output 2 2 2 5 3" xfId="12742" xr:uid="{00000000-0005-0000-0000-00003D500000}"/>
    <cellStyle name="Output 2 2 2 5 3 2" xfId="27574" xr:uid="{00000000-0005-0000-0000-00003E500000}"/>
    <cellStyle name="Output 2 2 2 5 4" xfId="10221" xr:uid="{00000000-0005-0000-0000-00003F500000}"/>
    <cellStyle name="Output 2 2 2 5 4 2" xfId="25053" xr:uid="{00000000-0005-0000-0000-000040500000}"/>
    <cellStyle name="Output 2 2 2 6" xfId="5528" xr:uid="{00000000-0005-0000-0000-000041500000}"/>
    <cellStyle name="Output 2 2 2 6 2" xfId="15763" xr:uid="{00000000-0005-0000-0000-000042500000}"/>
    <cellStyle name="Output 2 2 2 6 2 2" xfId="30595" xr:uid="{00000000-0005-0000-0000-000043500000}"/>
    <cellStyle name="Output 2 2 2 6 3" xfId="18285" xr:uid="{00000000-0005-0000-0000-000044500000}"/>
    <cellStyle name="Output 2 2 2 7" xfId="11778" xr:uid="{00000000-0005-0000-0000-000045500000}"/>
    <cellStyle name="Output 2 2 2 7 2" xfId="26610" xr:uid="{00000000-0005-0000-0000-000046500000}"/>
    <cellStyle name="Output 2 2 2 8" xfId="9449" xr:uid="{00000000-0005-0000-0000-000047500000}"/>
    <cellStyle name="Output 2 2 2 8 2" xfId="19753" xr:uid="{00000000-0005-0000-0000-000048500000}"/>
    <cellStyle name="Output 2 2 3" xfId="1521" xr:uid="{00000000-0005-0000-0000-000049500000}"/>
    <cellStyle name="Output 2 2 3 2" xfId="2018" xr:uid="{00000000-0005-0000-0000-00004A500000}"/>
    <cellStyle name="Output 2 2 3 2 2" xfId="3558" xr:uid="{00000000-0005-0000-0000-00004B500000}"/>
    <cellStyle name="Output 2 2 3 2 2 2" xfId="7620" xr:uid="{00000000-0005-0000-0000-00004C500000}"/>
    <cellStyle name="Output 2 2 3 2 2 2 2" xfId="17256" xr:uid="{00000000-0005-0000-0000-00004D500000}"/>
    <cellStyle name="Output 2 2 3 2 2 2 2 2" xfId="32088" xr:uid="{00000000-0005-0000-0000-00004E500000}"/>
    <cellStyle name="Output 2 2 3 2 2 2 3" xfId="19079" xr:uid="{00000000-0005-0000-0000-00004F500000}"/>
    <cellStyle name="Output 2 2 3 2 2 3" xfId="13894" xr:uid="{00000000-0005-0000-0000-000050500000}"/>
    <cellStyle name="Output 2 2 3 2 2 3 2" xfId="28726" xr:uid="{00000000-0005-0000-0000-000051500000}"/>
    <cellStyle name="Output 2 2 3 2 2 4" xfId="10873" xr:uid="{00000000-0005-0000-0000-000052500000}"/>
    <cellStyle name="Output 2 2 3 2 2 4 2" xfId="25705" xr:uid="{00000000-0005-0000-0000-000053500000}"/>
    <cellStyle name="Output 2 2 3 2 3" xfId="4986" xr:uid="{00000000-0005-0000-0000-000054500000}"/>
    <cellStyle name="Output 2 2 3 2 3 2" xfId="9025" xr:uid="{00000000-0005-0000-0000-000055500000}"/>
    <cellStyle name="Output 2 2 3 2 3 2 2" xfId="17963" xr:uid="{00000000-0005-0000-0000-000056500000}"/>
    <cellStyle name="Output 2 2 3 2 3 2 2 2" xfId="32795" xr:uid="{00000000-0005-0000-0000-000057500000}"/>
    <cellStyle name="Output 2 2 3 2 3 2 3" xfId="19547" xr:uid="{00000000-0005-0000-0000-000058500000}"/>
    <cellStyle name="Output 2 2 3 2 3 3" xfId="15308" xr:uid="{00000000-0005-0000-0000-000059500000}"/>
    <cellStyle name="Output 2 2 3 2 3 3 2" xfId="30140" xr:uid="{00000000-0005-0000-0000-00005A500000}"/>
    <cellStyle name="Output 2 2 3 2 3 4" xfId="11564" xr:uid="{00000000-0005-0000-0000-00005B500000}"/>
    <cellStyle name="Output 2 2 3 2 3 4 2" xfId="26396" xr:uid="{00000000-0005-0000-0000-00005C500000}"/>
    <cellStyle name="Output 2 2 3 2 4" xfId="2976" xr:uid="{00000000-0005-0000-0000-00005D500000}"/>
    <cellStyle name="Output 2 2 3 2 4 2" xfId="7056" xr:uid="{00000000-0005-0000-0000-00005E500000}"/>
    <cellStyle name="Output 2 2 3 2 4 2 2" xfId="16855" xr:uid="{00000000-0005-0000-0000-00005F500000}"/>
    <cellStyle name="Output 2 2 3 2 4 2 2 2" xfId="31687" xr:uid="{00000000-0005-0000-0000-000060500000}"/>
    <cellStyle name="Output 2 2 3 2 4 2 3" xfId="18839" xr:uid="{00000000-0005-0000-0000-000061500000}"/>
    <cellStyle name="Output 2 2 3 2 4 3" xfId="13314" xr:uid="{00000000-0005-0000-0000-000062500000}"/>
    <cellStyle name="Output 2 2 3 2 4 3 2" xfId="28146" xr:uid="{00000000-0005-0000-0000-000063500000}"/>
    <cellStyle name="Output 2 2 3 2 4 4" xfId="10510" xr:uid="{00000000-0005-0000-0000-000064500000}"/>
    <cellStyle name="Output 2 2 3 2 4 4 2" xfId="25342" xr:uid="{00000000-0005-0000-0000-000065500000}"/>
    <cellStyle name="Output 2 2 3 2 5" xfId="6148" xr:uid="{00000000-0005-0000-0000-000066500000}"/>
    <cellStyle name="Output 2 2 3 2 5 2" xfId="16335" xr:uid="{00000000-0005-0000-0000-000067500000}"/>
    <cellStyle name="Output 2 2 3 2 5 2 2" xfId="31167" xr:uid="{00000000-0005-0000-0000-000068500000}"/>
    <cellStyle name="Output 2 2 3 2 5 3" xfId="18480" xr:uid="{00000000-0005-0000-0000-000069500000}"/>
    <cellStyle name="Output 2 2 3 2 6" xfId="12405" xr:uid="{00000000-0005-0000-0000-00006A500000}"/>
    <cellStyle name="Output 2 2 3 2 6 2" xfId="27237" xr:uid="{00000000-0005-0000-0000-00006B500000}"/>
    <cellStyle name="Output 2 2 3 2 7" xfId="9987" xr:uid="{00000000-0005-0000-0000-00006C500000}"/>
    <cellStyle name="Output 2 2 3 2 7 2" xfId="24819" xr:uid="{00000000-0005-0000-0000-00006D500000}"/>
    <cellStyle name="Output 2 2 3 3" xfId="3333" xr:uid="{00000000-0005-0000-0000-00006E500000}"/>
    <cellStyle name="Output 2 2 3 3 2" xfId="7396" xr:uid="{00000000-0005-0000-0000-00006F500000}"/>
    <cellStyle name="Output 2 2 3 3 2 2" xfId="17129" xr:uid="{00000000-0005-0000-0000-000070500000}"/>
    <cellStyle name="Output 2 2 3 3 2 2 2" xfId="31961" xr:uid="{00000000-0005-0000-0000-000071500000}"/>
    <cellStyle name="Output 2 2 3 3 2 3" xfId="19003" xr:uid="{00000000-0005-0000-0000-000072500000}"/>
    <cellStyle name="Output 2 2 3 3 3" xfId="13670" xr:uid="{00000000-0005-0000-0000-000073500000}"/>
    <cellStyle name="Output 2 2 3 3 3 2" xfId="28502" xr:uid="{00000000-0005-0000-0000-000074500000}"/>
    <cellStyle name="Output 2 2 3 3 4" xfId="10750" xr:uid="{00000000-0005-0000-0000-000075500000}"/>
    <cellStyle name="Output 2 2 3 3 4 2" xfId="25582" xr:uid="{00000000-0005-0000-0000-000076500000}"/>
    <cellStyle name="Output 2 2 3 4" xfId="4566" xr:uid="{00000000-0005-0000-0000-000077500000}"/>
    <cellStyle name="Output 2 2 3 4 2" xfId="8605" xr:uid="{00000000-0005-0000-0000-000078500000}"/>
    <cellStyle name="Output 2 2 3 4 2 2" xfId="17723" xr:uid="{00000000-0005-0000-0000-000079500000}"/>
    <cellStyle name="Output 2 2 3 4 2 2 2" xfId="32555" xr:uid="{00000000-0005-0000-0000-00007A500000}"/>
    <cellStyle name="Output 2 2 3 4 2 3" xfId="19387" xr:uid="{00000000-0005-0000-0000-00007B500000}"/>
    <cellStyle name="Output 2 2 3 4 3" xfId="14893" xr:uid="{00000000-0005-0000-0000-00007C500000}"/>
    <cellStyle name="Output 2 2 3 4 3 2" xfId="29725" xr:uid="{00000000-0005-0000-0000-00007D500000}"/>
    <cellStyle name="Output 2 2 3 4 4" xfId="11329" xr:uid="{00000000-0005-0000-0000-00007E500000}"/>
    <cellStyle name="Output 2 2 3 4 4 2" xfId="26161" xr:uid="{00000000-0005-0000-0000-00007F500000}"/>
    <cellStyle name="Output 2 2 3 5" xfId="2556" xr:uid="{00000000-0005-0000-0000-000080500000}"/>
    <cellStyle name="Output 2 2 3 5 2" xfId="6662" xr:uid="{00000000-0005-0000-0000-000081500000}"/>
    <cellStyle name="Output 2 2 3 5 2 2" xfId="16620" xr:uid="{00000000-0005-0000-0000-000082500000}"/>
    <cellStyle name="Output 2 2 3 5 2 2 2" xfId="31452" xr:uid="{00000000-0005-0000-0000-000083500000}"/>
    <cellStyle name="Output 2 2 3 5 2 3" xfId="18675" xr:uid="{00000000-0005-0000-0000-000084500000}"/>
    <cellStyle name="Output 2 2 3 5 3" xfId="12894" xr:uid="{00000000-0005-0000-0000-000085500000}"/>
    <cellStyle name="Output 2 2 3 5 3 2" xfId="27726" xr:uid="{00000000-0005-0000-0000-000086500000}"/>
    <cellStyle name="Output 2 2 3 5 4" xfId="10270" xr:uid="{00000000-0005-0000-0000-000087500000}"/>
    <cellStyle name="Output 2 2 3 5 4 2" xfId="25102" xr:uid="{00000000-0005-0000-0000-000088500000}"/>
    <cellStyle name="Output 2 2 3 6" xfId="5679" xr:uid="{00000000-0005-0000-0000-000089500000}"/>
    <cellStyle name="Output 2 2 3 6 2" xfId="15914" xr:uid="{00000000-0005-0000-0000-00008A500000}"/>
    <cellStyle name="Output 2 2 3 6 2 2" xfId="30746" xr:uid="{00000000-0005-0000-0000-00008B500000}"/>
    <cellStyle name="Output 2 2 3 6 3" xfId="18317" xr:uid="{00000000-0005-0000-0000-00008C500000}"/>
    <cellStyle name="Output 2 2 3 7" xfId="11934" xr:uid="{00000000-0005-0000-0000-00008D500000}"/>
    <cellStyle name="Output 2 2 3 7 2" xfId="26766" xr:uid="{00000000-0005-0000-0000-00008E500000}"/>
    <cellStyle name="Output 2 2 3 8" xfId="9592" xr:uid="{00000000-0005-0000-0000-00008F500000}"/>
    <cellStyle name="Output 2 2 3 8 2" xfId="19894" xr:uid="{00000000-0005-0000-0000-000090500000}"/>
    <cellStyle name="Output 2 2 4" xfId="1576" xr:uid="{00000000-0005-0000-0000-000091500000}"/>
    <cellStyle name="Output 2 2 4 2" xfId="2073" xr:uid="{00000000-0005-0000-0000-000092500000}"/>
    <cellStyle name="Output 2 2 4 2 2" xfId="4037" xr:uid="{00000000-0005-0000-0000-000093500000}"/>
    <cellStyle name="Output 2 2 4 2 2 2" xfId="8084" xr:uid="{00000000-0005-0000-0000-000094500000}"/>
    <cellStyle name="Output 2 2 4 2 2 2 2" xfId="17488" xr:uid="{00000000-0005-0000-0000-000095500000}"/>
    <cellStyle name="Output 2 2 4 2 2 2 2 2" xfId="32320" xr:uid="{00000000-0005-0000-0000-000096500000}"/>
    <cellStyle name="Output 2 2 4 2 2 2 3" xfId="19244" xr:uid="{00000000-0005-0000-0000-000097500000}"/>
    <cellStyle name="Output 2 2 4 2 2 3" xfId="14369" xr:uid="{00000000-0005-0000-0000-000098500000}"/>
    <cellStyle name="Output 2 2 4 2 2 3 2" xfId="29201" xr:uid="{00000000-0005-0000-0000-000099500000}"/>
    <cellStyle name="Output 2 2 4 2 2 4" xfId="11104" xr:uid="{00000000-0005-0000-0000-00009A500000}"/>
    <cellStyle name="Output 2 2 4 2 2 4 2" xfId="25936" xr:uid="{00000000-0005-0000-0000-00009B500000}"/>
    <cellStyle name="Output 2 2 4 2 3" xfId="5041" xr:uid="{00000000-0005-0000-0000-00009C500000}"/>
    <cellStyle name="Output 2 2 4 2 3 2" xfId="9080" xr:uid="{00000000-0005-0000-0000-00009D500000}"/>
    <cellStyle name="Output 2 2 4 2 3 2 2" xfId="18013" xr:uid="{00000000-0005-0000-0000-00009E500000}"/>
    <cellStyle name="Output 2 2 4 2 3 2 2 2" xfId="32845" xr:uid="{00000000-0005-0000-0000-00009F500000}"/>
    <cellStyle name="Output 2 2 4 2 3 2 3" xfId="19579" xr:uid="{00000000-0005-0000-0000-0000A0500000}"/>
    <cellStyle name="Output 2 2 4 2 3 3" xfId="15362" xr:uid="{00000000-0005-0000-0000-0000A1500000}"/>
    <cellStyle name="Output 2 2 4 2 3 3 2" xfId="30194" xr:uid="{00000000-0005-0000-0000-0000A2500000}"/>
    <cellStyle name="Output 2 2 4 2 3 4" xfId="11613" xr:uid="{00000000-0005-0000-0000-0000A3500000}"/>
    <cellStyle name="Output 2 2 4 2 3 4 2" xfId="26445" xr:uid="{00000000-0005-0000-0000-0000A4500000}"/>
    <cellStyle name="Output 2 2 4 2 4" xfId="3031" xr:uid="{00000000-0005-0000-0000-0000A5500000}"/>
    <cellStyle name="Output 2 2 4 2 4 2" xfId="7106" xr:uid="{00000000-0005-0000-0000-0000A6500000}"/>
    <cellStyle name="Output 2 2 4 2 4 2 2" xfId="16904" xr:uid="{00000000-0005-0000-0000-0000A7500000}"/>
    <cellStyle name="Output 2 2 4 2 4 2 2 2" xfId="31736" xr:uid="{00000000-0005-0000-0000-0000A8500000}"/>
    <cellStyle name="Output 2 2 4 2 4 2 3" xfId="18872" xr:uid="{00000000-0005-0000-0000-0000A9500000}"/>
    <cellStyle name="Output 2 2 4 2 4 3" xfId="13369" xr:uid="{00000000-0005-0000-0000-0000AA500000}"/>
    <cellStyle name="Output 2 2 4 2 4 3 2" xfId="28201" xr:uid="{00000000-0005-0000-0000-0000AB500000}"/>
    <cellStyle name="Output 2 2 4 2 4 4" xfId="10560" xr:uid="{00000000-0005-0000-0000-0000AC500000}"/>
    <cellStyle name="Output 2 2 4 2 4 4 2" xfId="25392" xr:uid="{00000000-0005-0000-0000-0000AD500000}"/>
    <cellStyle name="Output 2 2 4 2 5" xfId="6198" xr:uid="{00000000-0005-0000-0000-0000AE500000}"/>
    <cellStyle name="Output 2 2 4 2 5 2" xfId="16384" xr:uid="{00000000-0005-0000-0000-0000AF500000}"/>
    <cellStyle name="Output 2 2 4 2 5 2 2" xfId="31216" xr:uid="{00000000-0005-0000-0000-0000B0500000}"/>
    <cellStyle name="Output 2 2 4 2 5 3" xfId="18513" xr:uid="{00000000-0005-0000-0000-0000B1500000}"/>
    <cellStyle name="Output 2 2 4 2 6" xfId="12454" xr:uid="{00000000-0005-0000-0000-0000B2500000}"/>
    <cellStyle name="Output 2 2 4 2 6 2" xfId="27286" xr:uid="{00000000-0005-0000-0000-0000B3500000}"/>
    <cellStyle name="Output 2 2 4 2 7" xfId="10036" xr:uid="{00000000-0005-0000-0000-0000B4500000}"/>
    <cellStyle name="Output 2 2 4 2 7 2" xfId="24868" xr:uid="{00000000-0005-0000-0000-0000B5500000}"/>
    <cellStyle name="Output 2 2 4 3" xfId="3694" xr:uid="{00000000-0005-0000-0000-0000B6500000}"/>
    <cellStyle name="Output 2 2 4 3 2" xfId="7750" xr:uid="{00000000-0005-0000-0000-0000B7500000}"/>
    <cellStyle name="Output 2 2 4 3 2 2" xfId="17319" xr:uid="{00000000-0005-0000-0000-0000B8500000}"/>
    <cellStyle name="Output 2 2 4 3 2 2 2" xfId="32151" xr:uid="{00000000-0005-0000-0000-0000B9500000}"/>
    <cellStyle name="Output 2 2 4 3 2 3" xfId="19125" xr:uid="{00000000-0005-0000-0000-0000BA500000}"/>
    <cellStyle name="Output 2 2 4 3 3" xfId="14029" xr:uid="{00000000-0005-0000-0000-0000BB500000}"/>
    <cellStyle name="Output 2 2 4 3 3 2" xfId="28861" xr:uid="{00000000-0005-0000-0000-0000BC500000}"/>
    <cellStyle name="Output 2 2 4 3 4" xfId="10937" xr:uid="{00000000-0005-0000-0000-0000BD500000}"/>
    <cellStyle name="Output 2 2 4 3 4 2" xfId="25769" xr:uid="{00000000-0005-0000-0000-0000BE500000}"/>
    <cellStyle name="Output 2 2 4 4" xfId="4621" xr:uid="{00000000-0005-0000-0000-0000BF500000}"/>
    <cellStyle name="Output 2 2 4 4 2" xfId="8660" xr:uid="{00000000-0005-0000-0000-0000C0500000}"/>
    <cellStyle name="Output 2 2 4 4 2 2" xfId="17773" xr:uid="{00000000-0005-0000-0000-0000C1500000}"/>
    <cellStyle name="Output 2 2 4 4 2 2 2" xfId="32605" xr:uid="{00000000-0005-0000-0000-0000C2500000}"/>
    <cellStyle name="Output 2 2 4 4 2 3" xfId="19419" xr:uid="{00000000-0005-0000-0000-0000C3500000}"/>
    <cellStyle name="Output 2 2 4 4 3" xfId="14947" xr:uid="{00000000-0005-0000-0000-0000C4500000}"/>
    <cellStyle name="Output 2 2 4 4 3 2" xfId="29779" xr:uid="{00000000-0005-0000-0000-0000C5500000}"/>
    <cellStyle name="Output 2 2 4 4 4" xfId="11378" xr:uid="{00000000-0005-0000-0000-0000C6500000}"/>
    <cellStyle name="Output 2 2 4 4 4 2" xfId="26210" xr:uid="{00000000-0005-0000-0000-0000C7500000}"/>
    <cellStyle name="Output 2 2 4 5" xfId="2611" xr:uid="{00000000-0005-0000-0000-0000C8500000}"/>
    <cellStyle name="Output 2 2 4 5 2" xfId="6712" xr:uid="{00000000-0005-0000-0000-0000C9500000}"/>
    <cellStyle name="Output 2 2 4 5 2 2" xfId="16669" xr:uid="{00000000-0005-0000-0000-0000CA500000}"/>
    <cellStyle name="Output 2 2 4 5 2 2 2" xfId="31501" xr:uid="{00000000-0005-0000-0000-0000CB500000}"/>
    <cellStyle name="Output 2 2 4 5 2 3" xfId="18708" xr:uid="{00000000-0005-0000-0000-0000CC500000}"/>
    <cellStyle name="Output 2 2 4 5 3" xfId="12949" xr:uid="{00000000-0005-0000-0000-0000CD500000}"/>
    <cellStyle name="Output 2 2 4 5 3 2" xfId="27781" xr:uid="{00000000-0005-0000-0000-0000CE500000}"/>
    <cellStyle name="Output 2 2 4 5 4" xfId="10320" xr:uid="{00000000-0005-0000-0000-0000CF500000}"/>
    <cellStyle name="Output 2 2 4 5 4 2" xfId="25152" xr:uid="{00000000-0005-0000-0000-0000D0500000}"/>
    <cellStyle name="Output 2 2 4 6" xfId="5728" xr:uid="{00000000-0005-0000-0000-0000D1500000}"/>
    <cellStyle name="Output 2 2 4 6 2" xfId="15963" xr:uid="{00000000-0005-0000-0000-0000D2500000}"/>
    <cellStyle name="Output 2 2 4 6 2 2" xfId="30795" xr:uid="{00000000-0005-0000-0000-0000D3500000}"/>
    <cellStyle name="Output 2 2 4 6 3" xfId="18349" xr:uid="{00000000-0005-0000-0000-0000D4500000}"/>
    <cellStyle name="Output 2 2 4 7" xfId="11983" xr:uid="{00000000-0005-0000-0000-0000D5500000}"/>
    <cellStyle name="Output 2 2 4 7 2" xfId="26815" xr:uid="{00000000-0005-0000-0000-0000D6500000}"/>
    <cellStyle name="Output 2 2 4 8" xfId="9642" xr:uid="{00000000-0005-0000-0000-0000D7500000}"/>
    <cellStyle name="Output 2 2 4 8 2" xfId="19943" xr:uid="{00000000-0005-0000-0000-0000D8500000}"/>
    <cellStyle name="Output 2 2 5" xfId="1626" xr:uid="{00000000-0005-0000-0000-0000D9500000}"/>
    <cellStyle name="Output 2 2 5 2" xfId="2123" xr:uid="{00000000-0005-0000-0000-0000DA500000}"/>
    <cellStyle name="Output 2 2 5 2 2" xfId="3414" xr:uid="{00000000-0005-0000-0000-0000DB500000}"/>
    <cellStyle name="Output 2 2 5 2 2 2" xfId="7477" xr:uid="{00000000-0005-0000-0000-0000DC500000}"/>
    <cellStyle name="Output 2 2 5 2 2 2 2" xfId="17176" xr:uid="{00000000-0005-0000-0000-0000DD500000}"/>
    <cellStyle name="Output 2 2 5 2 2 2 2 2" xfId="32008" xr:uid="{00000000-0005-0000-0000-0000DE500000}"/>
    <cellStyle name="Output 2 2 5 2 2 2 3" xfId="19025" xr:uid="{00000000-0005-0000-0000-0000DF500000}"/>
    <cellStyle name="Output 2 2 5 2 2 3" xfId="13751" xr:uid="{00000000-0005-0000-0000-0000E0500000}"/>
    <cellStyle name="Output 2 2 5 2 2 3 2" xfId="28583" xr:uid="{00000000-0005-0000-0000-0000E1500000}"/>
    <cellStyle name="Output 2 2 5 2 2 4" xfId="10795" xr:uid="{00000000-0005-0000-0000-0000E2500000}"/>
    <cellStyle name="Output 2 2 5 2 2 4 2" xfId="25627" xr:uid="{00000000-0005-0000-0000-0000E3500000}"/>
    <cellStyle name="Output 2 2 5 2 3" xfId="5091" xr:uid="{00000000-0005-0000-0000-0000E4500000}"/>
    <cellStyle name="Output 2 2 5 2 3 2" xfId="9130" xr:uid="{00000000-0005-0000-0000-0000E5500000}"/>
    <cellStyle name="Output 2 2 5 2 3 2 2" xfId="18058" xr:uid="{00000000-0005-0000-0000-0000E6500000}"/>
    <cellStyle name="Output 2 2 5 2 3 2 2 2" xfId="32890" xr:uid="{00000000-0005-0000-0000-0000E7500000}"/>
    <cellStyle name="Output 2 2 5 2 3 2 3" xfId="19611" xr:uid="{00000000-0005-0000-0000-0000E8500000}"/>
    <cellStyle name="Output 2 2 5 2 3 3" xfId="15411" xr:uid="{00000000-0005-0000-0000-0000E9500000}"/>
    <cellStyle name="Output 2 2 5 2 3 3 2" xfId="30243" xr:uid="{00000000-0005-0000-0000-0000EA500000}"/>
    <cellStyle name="Output 2 2 5 2 3 4" xfId="11657" xr:uid="{00000000-0005-0000-0000-0000EB500000}"/>
    <cellStyle name="Output 2 2 5 2 3 4 2" xfId="26489" xr:uid="{00000000-0005-0000-0000-0000EC500000}"/>
    <cellStyle name="Output 2 2 5 2 4" xfId="3081" xr:uid="{00000000-0005-0000-0000-0000ED500000}"/>
    <cellStyle name="Output 2 2 5 2 4 2" xfId="7151" xr:uid="{00000000-0005-0000-0000-0000EE500000}"/>
    <cellStyle name="Output 2 2 5 2 4 2 2" xfId="16948" xr:uid="{00000000-0005-0000-0000-0000EF500000}"/>
    <cellStyle name="Output 2 2 5 2 4 2 2 2" xfId="31780" xr:uid="{00000000-0005-0000-0000-0000F0500000}"/>
    <cellStyle name="Output 2 2 5 2 4 2 3" xfId="18905" xr:uid="{00000000-0005-0000-0000-0000F1500000}"/>
    <cellStyle name="Output 2 2 5 2 4 3" xfId="13419" xr:uid="{00000000-0005-0000-0000-0000F2500000}"/>
    <cellStyle name="Output 2 2 5 2 4 3 2" xfId="28251" xr:uid="{00000000-0005-0000-0000-0000F3500000}"/>
    <cellStyle name="Output 2 2 5 2 4 4" xfId="10605" xr:uid="{00000000-0005-0000-0000-0000F4500000}"/>
    <cellStyle name="Output 2 2 5 2 4 4 2" xfId="25437" xr:uid="{00000000-0005-0000-0000-0000F5500000}"/>
    <cellStyle name="Output 2 2 5 2 5" xfId="6243" xr:uid="{00000000-0005-0000-0000-0000F6500000}"/>
    <cellStyle name="Output 2 2 5 2 5 2" xfId="16428" xr:uid="{00000000-0005-0000-0000-0000F7500000}"/>
    <cellStyle name="Output 2 2 5 2 5 2 2" xfId="31260" xr:uid="{00000000-0005-0000-0000-0000F8500000}"/>
    <cellStyle name="Output 2 2 5 2 5 3" xfId="18546" xr:uid="{00000000-0005-0000-0000-0000F9500000}"/>
    <cellStyle name="Output 2 2 5 2 6" xfId="12498" xr:uid="{00000000-0005-0000-0000-0000FA500000}"/>
    <cellStyle name="Output 2 2 5 2 6 2" xfId="27330" xr:uid="{00000000-0005-0000-0000-0000FB500000}"/>
    <cellStyle name="Output 2 2 5 2 7" xfId="10080" xr:uid="{00000000-0005-0000-0000-0000FC500000}"/>
    <cellStyle name="Output 2 2 5 2 7 2" xfId="24912" xr:uid="{00000000-0005-0000-0000-0000FD500000}"/>
    <cellStyle name="Output 2 2 5 3" xfId="3917" xr:uid="{00000000-0005-0000-0000-0000FE500000}"/>
    <cellStyle name="Output 2 2 5 3 2" xfId="7968" xr:uid="{00000000-0005-0000-0000-0000FF500000}"/>
    <cellStyle name="Output 2 2 5 3 2 2" xfId="17429" xr:uid="{00000000-0005-0000-0000-000000510000}"/>
    <cellStyle name="Output 2 2 5 3 2 2 2" xfId="32261" xr:uid="{00000000-0005-0000-0000-000001510000}"/>
    <cellStyle name="Output 2 2 5 3 2 3" xfId="19202" xr:uid="{00000000-0005-0000-0000-000002510000}"/>
    <cellStyle name="Output 2 2 5 3 3" xfId="14250" xr:uid="{00000000-0005-0000-0000-000003510000}"/>
    <cellStyle name="Output 2 2 5 3 3 2" xfId="29082" xr:uid="{00000000-0005-0000-0000-000004510000}"/>
    <cellStyle name="Output 2 2 5 3 4" xfId="11045" xr:uid="{00000000-0005-0000-0000-000005510000}"/>
    <cellStyle name="Output 2 2 5 3 4 2" xfId="25877" xr:uid="{00000000-0005-0000-0000-000006510000}"/>
    <cellStyle name="Output 2 2 5 4" xfId="4671" xr:uid="{00000000-0005-0000-0000-000007510000}"/>
    <cellStyle name="Output 2 2 5 4 2" xfId="8710" xr:uid="{00000000-0005-0000-0000-000008510000}"/>
    <cellStyle name="Output 2 2 5 4 2 2" xfId="17818" xr:uid="{00000000-0005-0000-0000-000009510000}"/>
    <cellStyle name="Output 2 2 5 4 2 2 2" xfId="32650" xr:uid="{00000000-0005-0000-0000-00000A510000}"/>
    <cellStyle name="Output 2 2 5 4 2 3" xfId="19451" xr:uid="{00000000-0005-0000-0000-00000B510000}"/>
    <cellStyle name="Output 2 2 5 4 3" xfId="14996" xr:uid="{00000000-0005-0000-0000-00000C510000}"/>
    <cellStyle name="Output 2 2 5 4 3 2" xfId="29828" xr:uid="{00000000-0005-0000-0000-00000D510000}"/>
    <cellStyle name="Output 2 2 5 4 4" xfId="11422" xr:uid="{00000000-0005-0000-0000-00000E510000}"/>
    <cellStyle name="Output 2 2 5 4 4 2" xfId="26254" xr:uid="{00000000-0005-0000-0000-00000F510000}"/>
    <cellStyle name="Output 2 2 5 5" xfId="2661" xr:uid="{00000000-0005-0000-0000-000010510000}"/>
    <cellStyle name="Output 2 2 5 5 2" xfId="6757" xr:uid="{00000000-0005-0000-0000-000011510000}"/>
    <cellStyle name="Output 2 2 5 5 2 2" xfId="16713" xr:uid="{00000000-0005-0000-0000-000012510000}"/>
    <cellStyle name="Output 2 2 5 5 2 2 2" xfId="31545" xr:uid="{00000000-0005-0000-0000-000013510000}"/>
    <cellStyle name="Output 2 2 5 5 2 3" xfId="18741" xr:uid="{00000000-0005-0000-0000-000014510000}"/>
    <cellStyle name="Output 2 2 5 5 3" xfId="12999" xr:uid="{00000000-0005-0000-0000-000015510000}"/>
    <cellStyle name="Output 2 2 5 5 3 2" xfId="27831" xr:uid="{00000000-0005-0000-0000-000016510000}"/>
    <cellStyle name="Output 2 2 5 5 4" xfId="10365" xr:uid="{00000000-0005-0000-0000-000017510000}"/>
    <cellStyle name="Output 2 2 5 5 4 2" xfId="25197" xr:uid="{00000000-0005-0000-0000-000018510000}"/>
    <cellStyle name="Output 2 2 5 6" xfId="5773" xr:uid="{00000000-0005-0000-0000-000019510000}"/>
    <cellStyle name="Output 2 2 5 6 2" xfId="16007" xr:uid="{00000000-0005-0000-0000-00001A510000}"/>
    <cellStyle name="Output 2 2 5 6 2 2" xfId="30839" xr:uid="{00000000-0005-0000-0000-00001B510000}"/>
    <cellStyle name="Output 2 2 5 6 3" xfId="18382" xr:uid="{00000000-0005-0000-0000-00001C510000}"/>
    <cellStyle name="Output 2 2 5 7" xfId="12027" xr:uid="{00000000-0005-0000-0000-00001D510000}"/>
    <cellStyle name="Output 2 2 5 7 2" xfId="26859" xr:uid="{00000000-0005-0000-0000-00001E510000}"/>
    <cellStyle name="Output 2 2 5 8" xfId="9687" xr:uid="{00000000-0005-0000-0000-00001F510000}"/>
    <cellStyle name="Output 2 2 5 8 2" xfId="19987" xr:uid="{00000000-0005-0000-0000-000020510000}"/>
    <cellStyle name="Output 2 2 6" xfId="1777" xr:uid="{00000000-0005-0000-0000-000021510000}"/>
    <cellStyle name="Output 2 2 6 2" xfId="4110" xr:uid="{00000000-0005-0000-0000-000022510000}"/>
    <cellStyle name="Output 2 2 6 2 2" xfId="8156" xr:uid="{00000000-0005-0000-0000-000023510000}"/>
    <cellStyle name="Output 2 2 6 2 2 2" xfId="17525" xr:uid="{00000000-0005-0000-0000-000024510000}"/>
    <cellStyle name="Output 2 2 6 2 2 2 2" xfId="32357" xr:uid="{00000000-0005-0000-0000-000025510000}"/>
    <cellStyle name="Output 2 2 6 2 2 3" xfId="19271" xr:uid="{00000000-0005-0000-0000-000026510000}"/>
    <cellStyle name="Output 2 2 6 2 3" xfId="14442" xr:uid="{00000000-0005-0000-0000-000027510000}"/>
    <cellStyle name="Output 2 2 6 2 3 2" xfId="29274" xr:uid="{00000000-0005-0000-0000-000028510000}"/>
    <cellStyle name="Output 2 2 6 2 4" xfId="11142" xr:uid="{00000000-0005-0000-0000-000029510000}"/>
    <cellStyle name="Output 2 2 6 2 4 2" xfId="25974" xr:uid="{00000000-0005-0000-0000-00002A510000}"/>
    <cellStyle name="Output 2 2 6 3" xfId="4755" xr:uid="{00000000-0005-0000-0000-00002B510000}"/>
    <cellStyle name="Output 2 2 6 3 2" xfId="8794" xr:uid="{00000000-0005-0000-0000-00002C510000}"/>
    <cellStyle name="Output 2 2 6 3 2 2" xfId="17866" xr:uid="{00000000-0005-0000-0000-00002D510000}"/>
    <cellStyle name="Output 2 2 6 3 2 2 2" xfId="32698" xr:uid="{00000000-0005-0000-0000-00002E510000}"/>
    <cellStyle name="Output 2 2 6 3 2 3" xfId="19483" xr:uid="{00000000-0005-0000-0000-00002F510000}"/>
    <cellStyle name="Output 2 2 6 3 3" xfId="15079" xr:uid="{00000000-0005-0000-0000-000030510000}"/>
    <cellStyle name="Output 2 2 6 3 3 2" xfId="29911" xr:uid="{00000000-0005-0000-0000-000031510000}"/>
    <cellStyle name="Output 2 2 6 3 4" xfId="11469" xr:uid="{00000000-0005-0000-0000-000032510000}"/>
    <cellStyle name="Output 2 2 6 3 4 2" xfId="26301" xr:uid="{00000000-0005-0000-0000-000033510000}"/>
    <cellStyle name="Output 2 2 6 4" xfId="2745" xr:uid="{00000000-0005-0000-0000-000034510000}"/>
    <cellStyle name="Output 2 2 6 4 2" xfId="6836" xr:uid="{00000000-0005-0000-0000-000035510000}"/>
    <cellStyle name="Output 2 2 6 4 2 2" xfId="16760" xr:uid="{00000000-0005-0000-0000-000036510000}"/>
    <cellStyle name="Output 2 2 6 4 2 2 2" xfId="31592" xr:uid="{00000000-0005-0000-0000-000037510000}"/>
    <cellStyle name="Output 2 2 6 4 2 3" xfId="18774" xr:uid="{00000000-0005-0000-0000-000038510000}"/>
    <cellStyle name="Output 2 2 6 4 3" xfId="13083" xr:uid="{00000000-0005-0000-0000-000039510000}"/>
    <cellStyle name="Output 2 2 6 4 3 2" xfId="27915" xr:uid="{00000000-0005-0000-0000-00003A510000}"/>
    <cellStyle name="Output 2 2 6 4 4" xfId="10413" xr:uid="{00000000-0005-0000-0000-00003B510000}"/>
    <cellStyle name="Output 2 2 6 4 4 2" xfId="25245" xr:uid="{00000000-0005-0000-0000-00003C510000}"/>
    <cellStyle name="Output 2 2 6 5" xfId="5909" xr:uid="{00000000-0005-0000-0000-00003D510000}"/>
    <cellStyle name="Output 2 2 6 5 2" xfId="16101" xr:uid="{00000000-0005-0000-0000-00003E510000}"/>
    <cellStyle name="Output 2 2 6 5 2 2" xfId="30933" xr:uid="{00000000-0005-0000-0000-00003F510000}"/>
    <cellStyle name="Output 2 2 6 5 3" xfId="18416" xr:uid="{00000000-0005-0000-0000-000040510000}"/>
    <cellStyle name="Output 2 2 6 6" xfId="12171" xr:uid="{00000000-0005-0000-0000-000041510000}"/>
    <cellStyle name="Output 2 2 6 6 2" xfId="27003" xr:uid="{00000000-0005-0000-0000-000042510000}"/>
    <cellStyle name="Output 2 2 6 7" xfId="9767" xr:uid="{00000000-0005-0000-0000-000043510000}"/>
    <cellStyle name="Output 2 2 6 7 2" xfId="24724" xr:uid="{00000000-0005-0000-0000-000044510000}"/>
    <cellStyle name="Output 2 2 7" xfId="2189" xr:uid="{00000000-0005-0000-0000-000045510000}"/>
    <cellStyle name="Output 2 2 7 2" xfId="4280" xr:uid="{00000000-0005-0000-0000-000046510000}"/>
    <cellStyle name="Output 2 2 7 2 2" xfId="8319" xr:uid="{00000000-0005-0000-0000-000047510000}"/>
    <cellStyle name="Output 2 2 7 2 2 2" xfId="17602" xr:uid="{00000000-0005-0000-0000-000048510000}"/>
    <cellStyle name="Output 2 2 7 2 2 2 2" xfId="32434" xr:uid="{00000000-0005-0000-0000-000049510000}"/>
    <cellStyle name="Output 2 2 7 2 2 3" xfId="19319" xr:uid="{00000000-0005-0000-0000-00004A510000}"/>
    <cellStyle name="Output 2 2 7 2 3" xfId="14612" xr:uid="{00000000-0005-0000-0000-00004B510000}"/>
    <cellStyle name="Output 2 2 7 2 3 2" xfId="29444" xr:uid="{00000000-0005-0000-0000-00004C510000}"/>
    <cellStyle name="Output 2 2 7 2 4" xfId="11220" xr:uid="{00000000-0005-0000-0000-00004D510000}"/>
    <cellStyle name="Output 2 2 7 2 4 2" xfId="26052" xr:uid="{00000000-0005-0000-0000-00004E510000}"/>
    <cellStyle name="Output 2 2 7 3" xfId="5157" xr:uid="{00000000-0005-0000-0000-00004F510000}"/>
    <cellStyle name="Output 2 2 7 3 2" xfId="9196" xr:uid="{00000000-0005-0000-0000-000050510000}"/>
    <cellStyle name="Output 2 2 7 3 2 2" xfId="18119" xr:uid="{00000000-0005-0000-0000-000051510000}"/>
    <cellStyle name="Output 2 2 7 3 2 2 2" xfId="32951" xr:uid="{00000000-0005-0000-0000-000052510000}"/>
    <cellStyle name="Output 2 2 7 3 2 3" xfId="19670" xr:uid="{00000000-0005-0000-0000-000053510000}"/>
    <cellStyle name="Output 2 2 7 3 3" xfId="15475" xr:uid="{00000000-0005-0000-0000-000054510000}"/>
    <cellStyle name="Output 2 2 7 3 3 2" xfId="30307" xr:uid="{00000000-0005-0000-0000-000055510000}"/>
    <cellStyle name="Output 2 2 7 3 4" xfId="11716" xr:uid="{00000000-0005-0000-0000-000056510000}"/>
    <cellStyle name="Output 2 2 7 3 4 2" xfId="26548" xr:uid="{00000000-0005-0000-0000-000057510000}"/>
    <cellStyle name="Output 2 2 7 4" xfId="4187" xr:uid="{00000000-0005-0000-0000-000058510000}"/>
    <cellStyle name="Output 2 2 7 4 2" xfId="8228" xr:uid="{00000000-0005-0000-0000-000059510000}"/>
    <cellStyle name="Output 2 2 7 4 2 2" xfId="17575" xr:uid="{00000000-0005-0000-0000-00005A510000}"/>
    <cellStyle name="Output 2 2 7 4 2 2 2" xfId="32407" xr:uid="{00000000-0005-0000-0000-00005B510000}"/>
    <cellStyle name="Output 2 2 7 4 2 3" xfId="19313" xr:uid="{00000000-0005-0000-0000-00005C510000}"/>
    <cellStyle name="Output 2 2 7 4 3" xfId="14519" xr:uid="{00000000-0005-0000-0000-00005D510000}"/>
    <cellStyle name="Output 2 2 7 4 3 2" xfId="29351" xr:uid="{00000000-0005-0000-0000-00005E510000}"/>
    <cellStyle name="Output 2 2 7 4 4" xfId="11195" xr:uid="{00000000-0005-0000-0000-00005F510000}"/>
    <cellStyle name="Output 2 2 7 4 4 2" xfId="26027" xr:uid="{00000000-0005-0000-0000-000060510000}"/>
    <cellStyle name="Output 2 2 7 5" xfId="6303" xr:uid="{00000000-0005-0000-0000-000061510000}"/>
    <cellStyle name="Output 2 2 7 5 2" xfId="16487" xr:uid="{00000000-0005-0000-0000-000062510000}"/>
    <cellStyle name="Output 2 2 7 5 2 2" xfId="31319" xr:uid="{00000000-0005-0000-0000-000063510000}"/>
    <cellStyle name="Output 2 2 7 5 3" xfId="18606" xr:uid="{00000000-0005-0000-0000-000064510000}"/>
    <cellStyle name="Output 2 2 7 6" xfId="12557" xr:uid="{00000000-0005-0000-0000-000065510000}"/>
    <cellStyle name="Output 2 2 7 6 2" xfId="27389" xr:uid="{00000000-0005-0000-0000-000066510000}"/>
    <cellStyle name="Output 2 2 7 7" xfId="10139" xr:uid="{00000000-0005-0000-0000-000067510000}"/>
    <cellStyle name="Output 2 2 7 7 2" xfId="24971" xr:uid="{00000000-0005-0000-0000-000068510000}"/>
    <cellStyle name="Output 2 2 8" xfId="3317" xr:uid="{00000000-0005-0000-0000-000069510000}"/>
    <cellStyle name="Output 2 2 8 2" xfId="7380" xr:uid="{00000000-0005-0000-0000-00006A510000}"/>
    <cellStyle name="Output 2 2 8 2 2" xfId="17114" xr:uid="{00000000-0005-0000-0000-00006B510000}"/>
    <cellStyle name="Output 2 2 8 2 2 2" xfId="31946" xr:uid="{00000000-0005-0000-0000-00006C510000}"/>
    <cellStyle name="Output 2 2 8 2 3" xfId="18995" xr:uid="{00000000-0005-0000-0000-00006D510000}"/>
    <cellStyle name="Output 2 2 8 3" xfId="13654" xr:uid="{00000000-0005-0000-0000-00006E510000}"/>
    <cellStyle name="Output 2 2 8 3 2" xfId="28486" xr:uid="{00000000-0005-0000-0000-00006F510000}"/>
    <cellStyle name="Output 2 2 8 4" xfId="10736" xr:uid="{00000000-0005-0000-0000-000070510000}"/>
    <cellStyle name="Output 2 2 8 4 2" xfId="25568" xr:uid="{00000000-0005-0000-0000-000071510000}"/>
    <cellStyle name="Output 2 2 9" xfId="3987" xr:uid="{00000000-0005-0000-0000-000072510000}"/>
    <cellStyle name="Output 2 2 9 2" xfId="8035" xr:uid="{00000000-0005-0000-0000-000073510000}"/>
    <cellStyle name="Output 2 2 9 2 2" xfId="17459" xr:uid="{00000000-0005-0000-0000-000074510000}"/>
    <cellStyle name="Output 2 2 9 2 2 2" xfId="32291" xr:uid="{00000000-0005-0000-0000-000075510000}"/>
    <cellStyle name="Output 2 2 9 2 3" xfId="19222" xr:uid="{00000000-0005-0000-0000-000076510000}"/>
    <cellStyle name="Output 2 2 9 3" xfId="14320" xr:uid="{00000000-0005-0000-0000-000077510000}"/>
    <cellStyle name="Output 2 2 9 3 2" xfId="29152" xr:uid="{00000000-0005-0000-0000-000078510000}"/>
    <cellStyle name="Output 2 2 9 4" xfId="11076" xr:uid="{00000000-0005-0000-0000-000079510000}"/>
    <cellStyle name="Output 2 2 9 4 2" xfId="25908" xr:uid="{00000000-0005-0000-0000-00007A510000}"/>
    <cellStyle name="Output 2 20" xfId="9353" xr:uid="{00000000-0005-0000-0000-00007B510000}"/>
    <cellStyle name="Output 2 20 2" xfId="24659" xr:uid="{00000000-0005-0000-0000-00007C510000}"/>
    <cellStyle name="Output 2 21" xfId="5342" xr:uid="{00000000-0005-0000-0000-00007D510000}"/>
    <cellStyle name="Output 2 21 2" xfId="18216" xr:uid="{00000000-0005-0000-0000-00007E510000}"/>
    <cellStyle name="Output 2 3" xfId="1233" xr:uid="{00000000-0005-0000-0000-00007F510000}"/>
    <cellStyle name="Output 2 3 10" xfId="2319" xr:uid="{00000000-0005-0000-0000-000080510000}"/>
    <cellStyle name="Output 2 3 10 2" xfId="6431" xr:uid="{00000000-0005-0000-0000-000081510000}"/>
    <cellStyle name="Output 2 3 10 2 2" xfId="16524" xr:uid="{00000000-0005-0000-0000-000082510000}"/>
    <cellStyle name="Output 2 3 10 2 2 2" xfId="31356" xr:uid="{00000000-0005-0000-0000-000083510000}"/>
    <cellStyle name="Output 2 3 10 2 3" xfId="18612" xr:uid="{00000000-0005-0000-0000-000084510000}"/>
    <cellStyle name="Output 2 3 10 3" xfId="12659" xr:uid="{00000000-0005-0000-0000-000085510000}"/>
    <cellStyle name="Output 2 3 10 3 2" xfId="27491" xr:uid="{00000000-0005-0000-0000-000086510000}"/>
    <cellStyle name="Output 2 3 10 4" xfId="10175" xr:uid="{00000000-0005-0000-0000-000087510000}"/>
    <cellStyle name="Output 2 3 10 4 2" xfId="25007" xr:uid="{00000000-0005-0000-0000-000088510000}"/>
    <cellStyle name="Output 2 3 11" xfId="5282" xr:uid="{00000000-0005-0000-0000-000089510000}"/>
    <cellStyle name="Output 2 3 11 2" xfId="9290" xr:uid="{00000000-0005-0000-0000-00008A510000}"/>
    <cellStyle name="Output 2 3 11 2 2" xfId="18157" xr:uid="{00000000-0005-0000-0000-00008B510000}"/>
    <cellStyle name="Output 2 3 11 2 2 2" xfId="32989" xr:uid="{00000000-0005-0000-0000-00008C510000}"/>
    <cellStyle name="Output 2 3 11 2 3" xfId="19676" xr:uid="{00000000-0005-0000-0000-00008D510000}"/>
    <cellStyle name="Output 2 3 11 3" xfId="15598" xr:uid="{00000000-0005-0000-0000-00008E510000}"/>
    <cellStyle name="Output 2 3 11 3 2" xfId="30430" xr:uid="{00000000-0005-0000-0000-00008F510000}"/>
    <cellStyle name="Output 2 3 12" xfId="5440" xr:uid="{00000000-0005-0000-0000-000090510000}"/>
    <cellStyle name="Output 2 3 12 2" xfId="15676" xr:uid="{00000000-0005-0000-0000-000091510000}"/>
    <cellStyle name="Output 2 3 12 2 2" xfId="30508" xr:uid="{00000000-0005-0000-0000-000092510000}"/>
    <cellStyle name="Output 2 3 12 3" xfId="18253" xr:uid="{00000000-0005-0000-0000-000093510000}"/>
    <cellStyle name="Output 2 3 13" xfId="9351" xr:uid="{00000000-0005-0000-0000-000094510000}"/>
    <cellStyle name="Output 2 3 13 2" xfId="24657" xr:uid="{00000000-0005-0000-0000-000095510000}"/>
    <cellStyle name="Output 2 3 14" xfId="5340" xr:uid="{00000000-0005-0000-0000-000096510000}"/>
    <cellStyle name="Output 2 3 14 2" xfId="18214" xr:uid="{00000000-0005-0000-0000-000097510000}"/>
    <cellStyle name="Output 2 3 2" xfId="1352" xr:uid="{00000000-0005-0000-0000-000098510000}"/>
    <cellStyle name="Output 2 3 2 2" xfId="1856" xr:uid="{00000000-0005-0000-0000-000099510000}"/>
    <cellStyle name="Output 2 3 2 2 2" xfId="3879" xr:uid="{00000000-0005-0000-0000-00009A510000}"/>
    <cellStyle name="Output 2 3 2 2 2 2" xfId="7930" xr:uid="{00000000-0005-0000-0000-00009B510000}"/>
    <cellStyle name="Output 2 3 2 2 2 2 2" xfId="17407" xr:uid="{00000000-0005-0000-0000-00009C510000}"/>
    <cellStyle name="Output 2 3 2 2 2 2 2 2" xfId="32239" xr:uid="{00000000-0005-0000-0000-00009D510000}"/>
    <cellStyle name="Output 2 3 2 2 2 2 3" xfId="19184" xr:uid="{00000000-0005-0000-0000-00009E510000}"/>
    <cellStyle name="Output 2 3 2 2 2 3" xfId="14214" xr:uid="{00000000-0005-0000-0000-00009F510000}"/>
    <cellStyle name="Output 2 3 2 2 2 3 2" xfId="29046" xr:uid="{00000000-0005-0000-0000-0000A0510000}"/>
    <cellStyle name="Output 2 3 2 2 2 4" xfId="11025" xr:uid="{00000000-0005-0000-0000-0000A1510000}"/>
    <cellStyle name="Output 2 3 2 2 2 4 2" xfId="25857" xr:uid="{00000000-0005-0000-0000-0000A2510000}"/>
    <cellStyle name="Output 2 3 2 2 3" xfId="4834" xr:uid="{00000000-0005-0000-0000-0000A3510000}"/>
    <cellStyle name="Output 2 3 2 2 3 2" xfId="8873" xr:uid="{00000000-0005-0000-0000-0000A4510000}"/>
    <cellStyle name="Output 2 3 2 2 3 2 2" xfId="17914" xr:uid="{00000000-0005-0000-0000-0000A5510000}"/>
    <cellStyle name="Output 2 3 2 2 3 2 2 2" xfId="32746" xr:uid="{00000000-0005-0000-0000-0000A6510000}"/>
    <cellStyle name="Output 2 3 2 2 3 2 3" xfId="19516" xr:uid="{00000000-0005-0000-0000-0000A7510000}"/>
    <cellStyle name="Output 2 3 2 2 3 3" xfId="15158" xr:uid="{00000000-0005-0000-0000-0000A8510000}"/>
    <cellStyle name="Output 2 3 2 2 3 3 2" xfId="29990" xr:uid="{00000000-0005-0000-0000-0000A9510000}"/>
    <cellStyle name="Output 2 3 2 2 3 4" xfId="11517" xr:uid="{00000000-0005-0000-0000-0000AA510000}"/>
    <cellStyle name="Output 2 3 2 2 3 4 2" xfId="26349" xr:uid="{00000000-0005-0000-0000-0000AB510000}"/>
    <cellStyle name="Output 2 3 2 2 4" xfId="2824" xr:uid="{00000000-0005-0000-0000-0000AC510000}"/>
    <cellStyle name="Output 2 3 2 2 4 2" xfId="6915" xr:uid="{00000000-0005-0000-0000-0000AD510000}"/>
    <cellStyle name="Output 2 3 2 2 4 2 2" xfId="16808" xr:uid="{00000000-0005-0000-0000-0000AE510000}"/>
    <cellStyle name="Output 2 3 2 2 4 2 2 2" xfId="31640" xr:uid="{00000000-0005-0000-0000-0000AF510000}"/>
    <cellStyle name="Output 2 3 2 2 4 2 3" xfId="18807" xr:uid="{00000000-0005-0000-0000-0000B0510000}"/>
    <cellStyle name="Output 2 3 2 2 4 3" xfId="13162" xr:uid="{00000000-0005-0000-0000-0000B1510000}"/>
    <cellStyle name="Output 2 3 2 2 4 3 2" xfId="27994" xr:uid="{00000000-0005-0000-0000-0000B2510000}"/>
    <cellStyle name="Output 2 3 2 2 4 4" xfId="10461" xr:uid="{00000000-0005-0000-0000-0000B3510000}"/>
    <cellStyle name="Output 2 3 2 2 4 4 2" xfId="25293" xr:uid="{00000000-0005-0000-0000-0000B4510000}"/>
    <cellStyle name="Output 2 3 2 2 5" xfId="5988" xr:uid="{00000000-0005-0000-0000-0000B5510000}"/>
    <cellStyle name="Output 2 3 2 2 5 2" xfId="16180" xr:uid="{00000000-0005-0000-0000-0000B6510000}"/>
    <cellStyle name="Output 2 3 2 2 5 2 2" xfId="31012" xr:uid="{00000000-0005-0000-0000-0000B7510000}"/>
    <cellStyle name="Output 2 3 2 2 5 3" xfId="18449" xr:uid="{00000000-0005-0000-0000-0000B8510000}"/>
    <cellStyle name="Output 2 3 2 2 6" xfId="12250" xr:uid="{00000000-0005-0000-0000-0000B9510000}"/>
    <cellStyle name="Output 2 3 2 2 6 2" xfId="27082" xr:uid="{00000000-0005-0000-0000-0000BA510000}"/>
    <cellStyle name="Output 2 3 2 2 7" xfId="9846" xr:uid="{00000000-0005-0000-0000-0000BB510000}"/>
    <cellStyle name="Output 2 3 2 2 7 2" xfId="24772" xr:uid="{00000000-0005-0000-0000-0000BC510000}"/>
    <cellStyle name="Output 2 3 2 3" xfId="3850" xr:uid="{00000000-0005-0000-0000-0000BD510000}"/>
    <cellStyle name="Output 2 3 2 3 2" xfId="7903" xr:uid="{00000000-0005-0000-0000-0000BE510000}"/>
    <cellStyle name="Output 2 3 2 3 2 2" xfId="17394" xr:uid="{00000000-0005-0000-0000-0000BF510000}"/>
    <cellStyle name="Output 2 3 2 3 2 2 2" xfId="32226" xr:uid="{00000000-0005-0000-0000-0000C0510000}"/>
    <cellStyle name="Output 2 3 2 3 2 3" xfId="19174" xr:uid="{00000000-0005-0000-0000-0000C1510000}"/>
    <cellStyle name="Output 2 3 2 3 3" xfId="14185" xr:uid="{00000000-0005-0000-0000-0000C2510000}"/>
    <cellStyle name="Output 2 3 2 3 3 2" xfId="29017" xr:uid="{00000000-0005-0000-0000-0000C3510000}"/>
    <cellStyle name="Output 2 3 2 3 4" xfId="11013" xr:uid="{00000000-0005-0000-0000-0000C4510000}"/>
    <cellStyle name="Output 2 3 2 3 4 2" xfId="25845" xr:uid="{00000000-0005-0000-0000-0000C5510000}"/>
    <cellStyle name="Output 2 3 2 4" xfId="4414" xr:uid="{00000000-0005-0000-0000-0000C6510000}"/>
    <cellStyle name="Output 2 3 2 4 2" xfId="8453" xr:uid="{00000000-0005-0000-0000-0000C7510000}"/>
    <cellStyle name="Output 2 3 2 4 2 2" xfId="17674" xr:uid="{00000000-0005-0000-0000-0000C8510000}"/>
    <cellStyle name="Output 2 3 2 4 2 2 2" xfId="32506" xr:uid="{00000000-0005-0000-0000-0000C9510000}"/>
    <cellStyle name="Output 2 3 2 4 2 3" xfId="19356" xr:uid="{00000000-0005-0000-0000-0000CA510000}"/>
    <cellStyle name="Output 2 3 2 4 3" xfId="14743" xr:uid="{00000000-0005-0000-0000-0000CB510000}"/>
    <cellStyle name="Output 2 3 2 4 3 2" xfId="29575" xr:uid="{00000000-0005-0000-0000-0000CC510000}"/>
    <cellStyle name="Output 2 3 2 4 4" xfId="11282" xr:uid="{00000000-0005-0000-0000-0000CD510000}"/>
    <cellStyle name="Output 2 3 2 4 4 2" xfId="26114" xr:uid="{00000000-0005-0000-0000-0000CE510000}"/>
    <cellStyle name="Output 2 3 2 5" xfId="2404" xr:uid="{00000000-0005-0000-0000-0000CF510000}"/>
    <cellStyle name="Output 2 3 2 5 2" xfId="6516" xr:uid="{00000000-0005-0000-0000-0000D0510000}"/>
    <cellStyle name="Output 2 3 2 5 2 2" xfId="16572" xr:uid="{00000000-0005-0000-0000-0000D1510000}"/>
    <cellStyle name="Output 2 3 2 5 2 2 2" xfId="31404" xr:uid="{00000000-0005-0000-0000-0000D2510000}"/>
    <cellStyle name="Output 2 3 2 5 2 3" xfId="18644" xr:uid="{00000000-0005-0000-0000-0000D3510000}"/>
    <cellStyle name="Output 2 3 2 5 3" xfId="12743" xr:uid="{00000000-0005-0000-0000-0000D4510000}"/>
    <cellStyle name="Output 2 3 2 5 3 2" xfId="27575" xr:uid="{00000000-0005-0000-0000-0000D5510000}"/>
    <cellStyle name="Output 2 3 2 5 4" xfId="10222" xr:uid="{00000000-0005-0000-0000-0000D6510000}"/>
    <cellStyle name="Output 2 3 2 5 4 2" xfId="25054" xr:uid="{00000000-0005-0000-0000-0000D7510000}"/>
    <cellStyle name="Output 2 3 2 6" xfId="5529" xr:uid="{00000000-0005-0000-0000-0000D8510000}"/>
    <cellStyle name="Output 2 3 2 6 2" xfId="15764" xr:uid="{00000000-0005-0000-0000-0000D9510000}"/>
    <cellStyle name="Output 2 3 2 6 2 2" xfId="30596" xr:uid="{00000000-0005-0000-0000-0000DA510000}"/>
    <cellStyle name="Output 2 3 2 6 3" xfId="18286" xr:uid="{00000000-0005-0000-0000-0000DB510000}"/>
    <cellStyle name="Output 2 3 2 7" xfId="11779" xr:uid="{00000000-0005-0000-0000-0000DC510000}"/>
    <cellStyle name="Output 2 3 2 7 2" xfId="26611" xr:uid="{00000000-0005-0000-0000-0000DD510000}"/>
    <cellStyle name="Output 2 3 2 8" xfId="9450" xr:uid="{00000000-0005-0000-0000-0000DE510000}"/>
    <cellStyle name="Output 2 3 2 8 2" xfId="19754" xr:uid="{00000000-0005-0000-0000-0000DF510000}"/>
    <cellStyle name="Output 2 3 3" xfId="1522" xr:uid="{00000000-0005-0000-0000-0000E0510000}"/>
    <cellStyle name="Output 2 3 3 2" xfId="2019" xr:uid="{00000000-0005-0000-0000-0000E1510000}"/>
    <cellStyle name="Output 2 3 3 2 2" xfId="4108" xr:uid="{00000000-0005-0000-0000-0000E2510000}"/>
    <cellStyle name="Output 2 3 3 2 2 2" xfId="8154" xr:uid="{00000000-0005-0000-0000-0000E3510000}"/>
    <cellStyle name="Output 2 3 3 2 2 2 2" xfId="17524" xr:uid="{00000000-0005-0000-0000-0000E4510000}"/>
    <cellStyle name="Output 2 3 3 2 2 2 2 2" xfId="32356" xr:uid="{00000000-0005-0000-0000-0000E5510000}"/>
    <cellStyle name="Output 2 3 3 2 2 2 3" xfId="19270" xr:uid="{00000000-0005-0000-0000-0000E6510000}"/>
    <cellStyle name="Output 2 3 3 2 2 3" xfId="14440" xr:uid="{00000000-0005-0000-0000-0000E7510000}"/>
    <cellStyle name="Output 2 3 3 2 2 3 2" xfId="29272" xr:uid="{00000000-0005-0000-0000-0000E8510000}"/>
    <cellStyle name="Output 2 3 3 2 2 4" xfId="11141" xr:uid="{00000000-0005-0000-0000-0000E9510000}"/>
    <cellStyle name="Output 2 3 3 2 2 4 2" xfId="25973" xr:uid="{00000000-0005-0000-0000-0000EA510000}"/>
    <cellStyle name="Output 2 3 3 2 3" xfId="4987" xr:uid="{00000000-0005-0000-0000-0000EB510000}"/>
    <cellStyle name="Output 2 3 3 2 3 2" xfId="9026" xr:uid="{00000000-0005-0000-0000-0000EC510000}"/>
    <cellStyle name="Output 2 3 3 2 3 2 2" xfId="17964" xr:uid="{00000000-0005-0000-0000-0000ED510000}"/>
    <cellStyle name="Output 2 3 3 2 3 2 2 2" xfId="32796" xr:uid="{00000000-0005-0000-0000-0000EE510000}"/>
    <cellStyle name="Output 2 3 3 2 3 2 3" xfId="19548" xr:uid="{00000000-0005-0000-0000-0000EF510000}"/>
    <cellStyle name="Output 2 3 3 2 3 3" xfId="15309" xr:uid="{00000000-0005-0000-0000-0000F0510000}"/>
    <cellStyle name="Output 2 3 3 2 3 3 2" xfId="30141" xr:uid="{00000000-0005-0000-0000-0000F1510000}"/>
    <cellStyle name="Output 2 3 3 2 3 4" xfId="11565" xr:uid="{00000000-0005-0000-0000-0000F2510000}"/>
    <cellStyle name="Output 2 3 3 2 3 4 2" xfId="26397" xr:uid="{00000000-0005-0000-0000-0000F3510000}"/>
    <cellStyle name="Output 2 3 3 2 4" xfId="2977" xr:uid="{00000000-0005-0000-0000-0000F4510000}"/>
    <cellStyle name="Output 2 3 3 2 4 2" xfId="7057" xr:uid="{00000000-0005-0000-0000-0000F5510000}"/>
    <cellStyle name="Output 2 3 3 2 4 2 2" xfId="16856" xr:uid="{00000000-0005-0000-0000-0000F6510000}"/>
    <cellStyle name="Output 2 3 3 2 4 2 2 2" xfId="31688" xr:uid="{00000000-0005-0000-0000-0000F7510000}"/>
    <cellStyle name="Output 2 3 3 2 4 2 3" xfId="18840" xr:uid="{00000000-0005-0000-0000-0000F8510000}"/>
    <cellStyle name="Output 2 3 3 2 4 3" xfId="13315" xr:uid="{00000000-0005-0000-0000-0000F9510000}"/>
    <cellStyle name="Output 2 3 3 2 4 3 2" xfId="28147" xr:uid="{00000000-0005-0000-0000-0000FA510000}"/>
    <cellStyle name="Output 2 3 3 2 4 4" xfId="10511" xr:uid="{00000000-0005-0000-0000-0000FB510000}"/>
    <cellStyle name="Output 2 3 3 2 4 4 2" xfId="25343" xr:uid="{00000000-0005-0000-0000-0000FC510000}"/>
    <cellStyle name="Output 2 3 3 2 5" xfId="6149" xr:uid="{00000000-0005-0000-0000-0000FD510000}"/>
    <cellStyle name="Output 2 3 3 2 5 2" xfId="16336" xr:uid="{00000000-0005-0000-0000-0000FE510000}"/>
    <cellStyle name="Output 2 3 3 2 5 2 2" xfId="31168" xr:uid="{00000000-0005-0000-0000-0000FF510000}"/>
    <cellStyle name="Output 2 3 3 2 5 3" xfId="18481" xr:uid="{00000000-0005-0000-0000-000000520000}"/>
    <cellStyle name="Output 2 3 3 2 6" xfId="12406" xr:uid="{00000000-0005-0000-0000-000001520000}"/>
    <cellStyle name="Output 2 3 3 2 6 2" xfId="27238" xr:uid="{00000000-0005-0000-0000-000002520000}"/>
    <cellStyle name="Output 2 3 3 2 7" xfId="9988" xr:uid="{00000000-0005-0000-0000-000003520000}"/>
    <cellStyle name="Output 2 3 3 2 7 2" xfId="24820" xr:uid="{00000000-0005-0000-0000-000004520000}"/>
    <cellStyle name="Output 2 3 3 3" xfId="3154" xr:uid="{00000000-0005-0000-0000-000005520000}"/>
    <cellStyle name="Output 2 3 3 3 2" xfId="7218" xr:uid="{00000000-0005-0000-0000-000006520000}"/>
    <cellStyle name="Output 2 3 3 3 2 2" xfId="16996" xr:uid="{00000000-0005-0000-0000-000007520000}"/>
    <cellStyle name="Output 2 3 3 3 2 2 2" xfId="31828" xr:uid="{00000000-0005-0000-0000-000008520000}"/>
    <cellStyle name="Output 2 3 3 3 2 3" xfId="18943" xr:uid="{00000000-0005-0000-0000-000009520000}"/>
    <cellStyle name="Output 2 3 3 3 3" xfId="13492" xr:uid="{00000000-0005-0000-0000-00000A520000}"/>
    <cellStyle name="Output 2 3 3 3 3 2" xfId="28324" xr:uid="{00000000-0005-0000-0000-00000B520000}"/>
    <cellStyle name="Output 2 3 3 3 4" xfId="10648" xr:uid="{00000000-0005-0000-0000-00000C520000}"/>
    <cellStyle name="Output 2 3 3 3 4 2" xfId="25480" xr:uid="{00000000-0005-0000-0000-00000D520000}"/>
    <cellStyle name="Output 2 3 3 4" xfId="4567" xr:uid="{00000000-0005-0000-0000-00000E520000}"/>
    <cellStyle name="Output 2 3 3 4 2" xfId="8606" xr:uid="{00000000-0005-0000-0000-00000F520000}"/>
    <cellStyle name="Output 2 3 3 4 2 2" xfId="17724" xr:uid="{00000000-0005-0000-0000-000010520000}"/>
    <cellStyle name="Output 2 3 3 4 2 2 2" xfId="32556" xr:uid="{00000000-0005-0000-0000-000011520000}"/>
    <cellStyle name="Output 2 3 3 4 2 3" xfId="19388" xr:uid="{00000000-0005-0000-0000-000012520000}"/>
    <cellStyle name="Output 2 3 3 4 3" xfId="14894" xr:uid="{00000000-0005-0000-0000-000013520000}"/>
    <cellStyle name="Output 2 3 3 4 3 2" xfId="29726" xr:uid="{00000000-0005-0000-0000-000014520000}"/>
    <cellStyle name="Output 2 3 3 4 4" xfId="11330" xr:uid="{00000000-0005-0000-0000-000015520000}"/>
    <cellStyle name="Output 2 3 3 4 4 2" xfId="26162" xr:uid="{00000000-0005-0000-0000-000016520000}"/>
    <cellStyle name="Output 2 3 3 5" xfId="2557" xr:uid="{00000000-0005-0000-0000-000017520000}"/>
    <cellStyle name="Output 2 3 3 5 2" xfId="6663" xr:uid="{00000000-0005-0000-0000-000018520000}"/>
    <cellStyle name="Output 2 3 3 5 2 2" xfId="16621" xr:uid="{00000000-0005-0000-0000-000019520000}"/>
    <cellStyle name="Output 2 3 3 5 2 2 2" xfId="31453" xr:uid="{00000000-0005-0000-0000-00001A520000}"/>
    <cellStyle name="Output 2 3 3 5 2 3" xfId="18676" xr:uid="{00000000-0005-0000-0000-00001B520000}"/>
    <cellStyle name="Output 2 3 3 5 3" xfId="12895" xr:uid="{00000000-0005-0000-0000-00001C520000}"/>
    <cellStyle name="Output 2 3 3 5 3 2" xfId="27727" xr:uid="{00000000-0005-0000-0000-00001D520000}"/>
    <cellStyle name="Output 2 3 3 5 4" xfId="10271" xr:uid="{00000000-0005-0000-0000-00001E520000}"/>
    <cellStyle name="Output 2 3 3 5 4 2" xfId="25103" xr:uid="{00000000-0005-0000-0000-00001F520000}"/>
    <cellStyle name="Output 2 3 3 6" xfId="5680" xr:uid="{00000000-0005-0000-0000-000020520000}"/>
    <cellStyle name="Output 2 3 3 6 2" xfId="15915" xr:uid="{00000000-0005-0000-0000-000021520000}"/>
    <cellStyle name="Output 2 3 3 6 2 2" xfId="30747" xr:uid="{00000000-0005-0000-0000-000022520000}"/>
    <cellStyle name="Output 2 3 3 6 3" xfId="18318" xr:uid="{00000000-0005-0000-0000-000023520000}"/>
    <cellStyle name="Output 2 3 3 7" xfId="11935" xr:uid="{00000000-0005-0000-0000-000024520000}"/>
    <cellStyle name="Output 2 3 3 7 2" xfId="26767" xr:uid="{00000000-0005-0000-0000-000025520000}"/>
    <cellStyle name="Output 2 3 3 8" xfId="9593" xr:uid="{00000000-0005-0000-0000-000026520000}"/>
    <cellStyle name="Output 2 3 3 8 2" xfId="19895" xr:uid="{00000000-0005-0000-0000-000027520000}"/>
    <cellStyle name="Output 2 3 4" xfId="1577" xr:uid="{00000000-0005-0000-0000-000028520000}"/>
    <cellStyle name="Output 2 3 4 2" xfId="2074" xr:uid="{00000000-0005-0000-0000-000029520000}"/>
    <cellStyle name="Output 2 3 4 2 2" xfId="3952" xr:uid="{00000000-0005-0000-0000-00002A520000}"/>
    <cellStyle name="Output 2 3 4 2 2 2" xfId="8002" xr:uid="{00000000-0005-0000-0000-00002B520000}"/>
    <cellStyle name="Output 2 3 4 2 2 2 2" xfId="17444" xr:uid="{00000000-0005-0000-0000-00002C520000}"/>
    <cellStyle name="Output 2 3 4 2 2 2 2 2" xfId="32276" xr:uid="{00000000-0005-0000-0000-00002D520000}"/>
    <cellStyle name="Output 2 3 4 2 2 2 3" xfId="19211" xr:uid="{00000000-0005-0000-0000-00002E520000}"/>
    <cellStyle name="Output 2 3 4 2 2 3" xfId="14285" xr:uid="{00000000-0005-0000-0000-00002F520000}"/>
    <cellStyle name="Output 2 3 4 2 2 3 2" xfId="29117" xr:uid="{00000000-0005-0000-0000-000030520000}"/>
    <cellStyle name="Output 2 3 4 2 2 4" xfId="11059" xr:uid="{00000000-0005-0000-0000-000031520000}"/>
    <cellStyle name="Output 2 3 4 2 2 4 2" xfId="25891" xr:uid="{00000000-0005-0000-0000-000032520000}"/>
    <cellStyle name="Output 2 3 4 2 3" xfId="5042" xr:uid="{00000000-0005-0000-0000-000033520000}"/>
    <cellStyle name="Output 2 3 4 2 3 2" xfId="9081" xr:uid="{00000000-0005-0000-0000-000034520000}"/>
    <cellStyle name="Output 2 3 4 2 3 2 2" xfId="18014" xr:uid="{00000000-0005-0000-0000-000035520000}"/>
    <cellStyle name="Output 2 3 4 2 3 2 2 2" xfId="32846" xr:uid="{00000000-0005-0000-0000-000036520000}"/>
    <cellStyle name="Output 2 3 4 2 3 2 3" xfId="19580" xr:uid="{00000000-0005-0000-0000-000037520000}"/>
    <cellStyle name="Output 2 3 4 2 3 3" xfId="15363" xr:uid="{00000000-0005-0000-0000-000038520000}"/>
    <cellStyle name="Output 2 3 4 2 3 3 2" xfId="30195" xr:uid="{00000000-0005-0000-0000-000039520000}"/>
    <cellStyle name="Output 2 3 4 2 3 4" xfId="11614" xr:uid="{00000000-0005-0000-0000-00003A520000}"/>
    <cellStyle name="Output 2 3 4 2 3 4 2" xfId="26446" xr:uid="{00000000-0005-0000-0000-00003B520000}"/>
    <cellStyle name="Output 2 3 4 2 4" xfId="3032" xr:uid="{00000000-0005-0000-0000-00003C520000}"/>
    <cellStyle name="Output 2 3 4 2 4 2" xfId="7107" xr:uid="{00000000-0005-0000-0000-00003D520000}"/>
    <cellStyle name="Output 2 3 4 2 4 2 2" xfId="16905" xr:uid="{00000000-0005-0000-0000-00003E520000}"/>
    <cellStyle name="Output 2 3 4 2 4 2 2 2" xfId="31737" xr:uid="{00000000-0005-0000-0000-00003F520000}"/>
    <cellStyle name="Output 2 3 4 2 4 2 3" xfId="18873" xr:uid="{00000000-0005-0000-0000-000040520000}"/>
    <cellStyle name="Output 2 3 4 2 4 3" xfId="13370" xr:uid="{00000000-0005-0000-0000-000041520000}"/>
    <cellStyle name="Output 2 3 4 2 4 3 2" xfId="28202" xr:uid="{00000000-0005-0000-0000-000042520000}"/>
    <cellStyle name="Output 2 3 4 2 4 4" xfId="10561" xr:uid="{00000000-0005-0000-0000-000043520000}"/>
    <cellStyle name="Output 2 3 4 2 4 4 2" xfId="25393" xr:uid="{00000000-0005-0000-0000-000044520000}"/>
    <cellStyle name="Output 2 3 4 2 5" xfId="6199" xr:uid="{00000000-0005-0000-0000-000045520000}"/>
    <cellStyle name="Output 2 3 4 2 5 2" xfId="16385" xr:uid="{00000000-0005-0000-0000-000046520000}"/>
    <cellStyle name="Output 2 3 4 2 5 2 2" xfId="31217" xr:uid="{00000000-0005-0000-0000-000047520000}"/>
    <cellStyle name="Output 2 3 4 2 5 3" xfId="18514" xr:uid="{00000000-0005-0000-0000-000048520000}"/>
    <cellStyle name="Output 2 3 4 2 6" xfId="12455" xr:uid="{00000000-0005-0000-0000-000049520000}"/>
    <cellStyle name="Output 2 3 4 2 6 2" xfId="27287" xr:uid="{00000000-0005-0000-0000-00004A520000}"/>
    <cellStyle name="Output 2 3 4 2 7" xfId="10037" xr:uid="{00000000-0005-0000-0000-00004B520000}"/>
    <cellStyle name="Output 2 3 4 2 7 2" xfId="24869" xr:uid="{00000000-0005-0000-0000-00004C520000}"/>
    <cellStyle name="Output 2 3 4 3" xfId="3995" xr:uid="{00000000-0005-0000-0000-00004D520000}"/>
    <cellStyle name="Output 2 3 4 3 2" xfId="8042" xr:uid="{00000000-0005-0000-0000-00004E520000}"/>
    <cellStyle name="Output 2 3 4 3 2 2" xfId="17463" xr:uid="{00000000-0005-0000-0000-00004F520000}"/>
    <cellStyle name="Output 2 3 4 3 2 2 2" xfId="32295" xr:uid="{00000000-0005-0000-0000-000050520000}"/>
    <cellStyle name="Output 2 3 4 3 2 3" xfId="19226" xr:uid="{00000000-0005-0000-0000-000051520000}"/>
    <cellStyle name="Output 2 3 4 3 3" xfId="14328" xr:uid="{00000000-0005-0000-0000-000052520000}"/>
    <cellStyle name="Output 2 3 4 3 3 2" xfId="29160" xr:uid="{00000000-0005-0000-0000-000053520000}"/>
    <cellStyle name="Output 2 3 4 3 4" xfId="11081" xr:uid="{00000000-0005-0000-0000-000054520000}"/>
    <cellStyle name="Output 2 3 4 3 4 2" xfId="25913" xr:uid="{00000000-0005-0000-0000-000055520000}"/>
    <cellStyle name="Output 2 3 4 4" xfId="4622" xr:uid="{00000000-0005-0000-0000-000056520000}"/>
    <cellStyle name="Output 2 3 4 4 2" xfId="8661" xr:uid="{00000000-0005-0000-0000-000057520000}"/>
    <cellStyle name="Output 2 3 4 4 2 2" xfId="17774" xr:uid="{00000000-0005-0000-0000-000058520000}"/>
    <cellStyle name="Output 2 3 4 4 2 2 2" xfId="32606" xr:uid="{00000000-0005-0000-0000-000059520000}"/>
    <cellStyle name="Output 2 3 4 4 2 3" xfId="19420" xr:uid="{00000000-0005-0000-0000-00005A520000}"/>
    <cellStyle name="Output 2 3 4 4 3" xfId="14948" xr:uid="{00000000-0005-0000-0000-00005B520000}"/>
    <cellStyle name="Output 2 3 4 4 3 2" xfId="29780" xr:uid="{00000000-0005-0000-0000-00005C520000}"/>
    <cellStyle name="Output 2 3 4 4 4" xfId="11379" xr:uid="{00000000-0005-0000-0000-00005D520000}"/>
    <cellStyle name="Output 2 3 4 4 4 2" xfId="26211" xr:uid="{00000000-0005-0000-0000-00005E520000}"/>
    <cellStyle name="Output 2 3 4 5" xfId="2612" xr:uid="{00000000-0005-0000-0000-00005F520000}"/>
    <cellStyle name="Output 2 3 4 5 2" xfId="6713" xr:uid="{00000000-0005-0000-0000-000060520000}"/>
    <cellStyle name="Output 2 3 4 5 2 2" xfId="16670" xr:uid="{00000000-0005-0000-0000-000061520000}"/>
    <cellStyle name="Output 2 3 4 5 2 2 2" xfId="31502" xr:uid="{00000000-0005-0000-0000-000062520000}"/>
    <cellStyle name="Output 2 3 4 5 2 3" xfId="18709" xr:uid="{00000000-0005-0000-0000-000063520000}"/>
    <cellStyle name="Output 2 3 4 5 3" xfId="12950" xr:uid="{00000000-0005-0000-0000-000064520000}"/>
    <cellStyle name="Output 2 3 4 5 3 2" xfId="27782" xr:uid="{00000000-0005-0000-0000-000065520000}"/>
    <cellStyle name="Output 2 3 4 5 4" xfId="10321" xr:uid="{00000000-0005-0000-0000-000066520000}"/>
    <cellStyle name="Output 2 3 4 5 4 2" xfId="25153" xr:uid="{00000000-0005-0000-0000-000067520000}"/>
    <cellStyle name="Output 2 3 4 6" xfId="5729" xr:uid="{00000000-0005-0000-0000-000068520000}"/>
    <cellStyle name="Output 2 3 4 6 2" xfId="15964" xr:uid="{00000000-0005-0000-0000-000069520000}"/>
    <cellStyle name="Output 2 3 4 6 2 2" xfId="30796" xr:uid="{00000000-0005-0000-0000-00006A520000}"/>
    <cellStyle name="Output 2 3 4 6 3" xfId="18350" xr:uid="{00000000-0005-0000-0000-00006B520000}"/>
    <cellStyle name="Output 2 3 4 7" xfId="11984" xr:uid="{00000000-0005-0000-0000-00006C520000}"/>
    <cellStyle name="Output 2 3 4 7 2" xfId="26816" xr:uid="{00000000-0005-0000-0000-00006D520000}"/>
    <cellStyle name="Output 2 3 4 8" xfId="9643" xr:uid="{00000000-0005-0000-0000-00006E520000}"/>
    <cellStyle name="Output 2 3 4 8 2" xfId="19944" xr:uid="{00000000-0005-0000-0000-00006F520000}"/>
    <cellStyle name="Output 2 3 5" xfId="1627" xr:uid="{00000000-0005-0000-0000-000070520000}"/>
    <cellStyle name="Output 2 3 5 2" xfId="2124" xr:uid="{00000000-0005-0000-0000-000071520000}"/>
    <cellStyle name="Output 2 3 5 2 2" xfId="4010" xr:uid="{00000000-0005-0000-0000-000072520000}"/>
    <cellStyle name="Output 2 3 5 2 2 2" xfId="8057" xr:uid="{00000000-0005-0000-0000-000073520000}"/>
    <cellStyle name="Output 2 3 5 2 2 2 2" xfId="17473" xr:uid="{00000000-0005-0000-0000-000074520000}"/>
    <cellStyle name="Output 2 3 5 2 2 2 2 2" xfId="32305" xr:uid="{00000000-0005-0000-0000-000075520000}"/>
    <cellStyle name="Output 2 3 5 2 2 2 3" xfId="19233" xr:uid="{00000000-0005-0000-0000-000076520000}"/>
    <cellStyle name="Output 2 3 5 2 2 3" xfId="14342" xr:uid="{00000000-0005-0000-0000-000077520000}"/>
    <cellStyle name="Output 2 3 5 2 2 3 2" xfId="29174" xr:uid="{00000000-0005-0000-0000-000078520000}"/>
    <cellStyle name="Output 2 3 5 2 2 4" xfId="11090" xr:uid="{00000000-0005-0000-0000-000079520000}"/>
    <cellStyle name="Output 2 3 5 2 2 4 2" xfId="25922" xr:uid="{00000000-0005-0000-0000-00007A520000}"/>
    <cellStyle name="Output 2 3 5 2 3" xfId="5092" xr:uid="{00000000-0005-0000-0000-00007B520000}"/>
    <cellStyle name="Output 2 3 5 2 3 2" xfId="9131" xr:uid="{00000000-0005-0000-0000-00007C520000}"/>
    <cellStyle name="Output 2 3 5 2 3 2 2" xfId="18059" xr:uid="{00000000-0005-0000-0000-00007D520000}"/>
    <cellStyle name="Output 2 3 5 2 3 2 2 2" xfId="32891" xr:uid="{00000000-0005-0000-0000-00007E520000}"/>
    <cellStyle name="Output 2 3 5 2 3 2 3" xfId="19612" xr:uid="{00000000-0005-0000-0000-00007F520000}"/>
    <cellStyle name="Output 2 3 5 2 3 3" xfId="15412" xr:uid="{00000000-0005-0000-0000-000080520000}"/>
    <cellStyle name="Output 2 3 5 2 3 3 2" xfId="30244" xr:uid="{00000000-0005-0000-0000-000081520000}"/>
    <cellStyle name="Output 2 3 5 2 3 4" xfId="11658" xr:uid="{00000000-0005-0000-0000-000082520000}"/>
    <cellStyle name="Output 2 3 5 2 3 4 2" xfId="26490" xr:uid="{00000000-0005-0000-0000-000083520000}"/>
    <cellStyle name="Output 2 3 5 2 4" xfId="3082" xr:uid="{00000000-0005-0000-0000-000084520000}"/>
    <cellStyle name="Output 2 3 5 2 4 2" xfId="7152" xr:uid="{00000000-0005-0000-0000-000085520000}"/>
    <cellStyle name="Output 2 3 5 2 4 2 2" xfId="16949" xr:uid="{00000000-0005-0000-0000-000086520000}"/>
    <cellStyle name="Output 2 3 5 2 4 2 2 2" xfId="31781" xr:uid="{00000000-0005-0000-0000-000087520000}"/>
    <cellStyle name="Output 2 3 5 2 4 2 3" xfId="18906" xr:uid="{00000000-0005-0000-0000-000088520000}"/>
    <cellStyle name="Output 2 3 5 2 4 3" xfId="13420" xr:uid="{00000000-0005-0000-0000-000089520000}"/>
    <cellStyle name="Output 2 3 5 2 4 3 2" xfId="28252" xr:uid="{00000000-0005-0000-0000-00008A520000}"/>
    <cellStyle name="Output 2 3 5 2 4 4" xfId="10606" xr:uid="{00000000-0005-0000-0000-00008B520000}"/>
    <cellStyle name="Output 2 3 5 2 4 4 2" xfId="25438" xr:uid="{00000000-0005-0000-0000-00008C520000}"/>
    <cellStyle name="Output 2 3 5 2 5" xfId="6244" xr:uid="{00000000-0005-0000-0000-00008D520000}"/>
    <cellStyle name="Output 2 3 5 2 5 2" xfId="16429" xr:uid="{00000000-0005-0000-0000-00008E520000}"/>
    <cellStyle name="Output 2 3 5 2 5 2 2" xfId="31261" xr:uid="{00000000-0005-0000-0000-00008F520000}"/>
    <cellStyle name="Output 2 3 5 2 5 3" xfId="18547" xr:uid="{00000000-0005-0000-0000-000090520000}"/>
    <cellStyle name="Output 2 3 5 2 6" xfId="12499" xr:uid="{00000000-0005-0000-0000-000091520000}"/>
    <cellStyle name="Output 2 3 5 2 6 2" xfId="27331" xr:uid="{00000000-0005-0000-0000-000092520000}"/>
    <cellStyle name="Output 2 3 5 2 7" xfId="10081" xr:uid="{00000000-0005-0000-0000-000093520000}"/>
    <cellStyle name="Output 2 3 5 2 7 2" xfId="24913" xr:uid="{00000000-0005-0000-0000-000094520000}"/>
    <cellStyle name="Output 2 3 5 3" xfId="3996" xr:uid="{00000000-0005-0000-0000-000095520000}"/>
    <cellStyle name="Output 2 3 5 3 2" xfId="8043" xr:uid="{00000000-0005-0000-0000-000096520000}"/>
    <cellStyle name="Output 2 3 5 3 2 2" xfId="17464" xr:uid="{00000000-0005-0000-0000-000097520000}"/>
    <cellStyle name="Output 2 3 5 3 2 2 2" xfId="32296" xr:uid="{00000000-0005-0000-0000-000098520000}"/>
    <cellStyle name="Output 2 3 5 3 2 3" xfId="19227" xr:uid="{00000000-0005-0000-0000-000099520000}"/>
    <cellStyle name="Output 2 3 5 3 3" xfId="14329" xr:uid="{00000000-0005-0000-0000-00009A520000}"/>
    <cellStyle name="Output 2 3 5 3 3 2" xfId="29161" xr:uid="{00000000-0005-0000-0000-00009B520000}"/>
    <cellStyle name="Output 2 3 5 3 4" xfId="11082" xr:uid="{00000000-0005-0000-0000-00009C520000}"/>
    <cellStyle name="Output 2 3 5 3 4 2" xfId="25914" xr:uid="{00000000-0005-0000-0000-00009D520000}"/>
    <cellStyle name="Output 2 3 5 4" xfId="4672" xr:uid="{00000000-0005-0000-0000-00009E520000}"/>
    <cellStyle name="Output 2 3 5 4 2" xfId="8711" xr:uid="{00000000-0005-0000-0000-00009F520000}"/>
    <cellStyle name="Output 2 3 5 4 2 2" xfId="17819" xr:uid="{00000000-0005-0000-0000-0000A0520000}"/>
    <cellStyle name="Output 2 3 5 4 2 2 2" xfId="32651" xr:uid="{00000000-0005-0000-0000-0000A1520000}"/>
    <cellStyle name="Output 2 3 5 4 2 3" xfId="19452" xr:uid="{00000000-0005-0000-0000-0000A2520000}"/>
    <cellStyle name="Output 2 3 5 4 3" xfId="14997" xr:uid="{00000000-0005-0000-0000-0000A3520000}"/>
    <cellStyle name="Output 2 3 5 4 3 2" xfId="29829" xr:uid="{00000000-0005-0000-0000-0000A4520000}"/>
    <cellStyle name="Output 2 3 5 4 4" xfId="11423" xr:uid="{00000000-0005-0000-0000-0000A5520000}"/>
    <cellStyle name="Output 2 3 5 4 4 2" xfId="26255" xr:uid="{00000000-0005-0000-0000-0000A6520000}"/>
    <cellStyle name="Output 2 3 5 5" xfId="2662" xr:uid="{00000000-0005-0000-0000-0000A7520000}"/>
    <cellStyle name="Output 2 3 5 5 2" xfId="6758" xr:uid="{00000000-0005-0000-0000-0000A8520000}"/>
    <cellStyle name="Output 2 3 5 5 2 2" xfId="16714" xr:uid="{00000000-0005-0000-0000-0000A9520000}"/>
    <cellStyle name="Output 2 3 5 5 2 2 2" xfId="31546" xr:uid="{00000000-0005-0000-0000-0000AA520000}"/>
    <cellStyle name="Output 2 3 5 5 2 3" xfId="18742" xr:uid="{00000000-0005-0000-0000-0000AB520000}"/>
    <cellStyle name="Output 2 3 5 5 3" xfId="13000" xr:uid="{00000000-0005-0000-0000-0000AC520000}"/>
    <cellStyle name="Output 2 3 5 5 3 2" xfId="27832" xr:uid="{00000000-0005-0000-0000-0000AD520000}"/>
    <cellStyle name="Output 2 3 5 5 4" xfId="10366" xr:uid="{00000000-0005-0000-0000-0000AE520000}"/>
    <cellStyle name="Output 2 3 5 5 4 2" xfId="25198" xr:uid="{00000000-0005-0000-0000-0000AF520000}"/>
    <cellStyle name="Output 2 3 5 6" xfId="5774" xr:uid="{00000000-0005-0000-0000-0000B0520000}"/>
    <cellStyle name="Output 2 3 5 6 2" xfId="16008" xr:uid="{00000000-0005-0000-0000-0000B1520000}"/>
    <cellStyle name="Output 2 3 5 6 2 2" xfId="30840" xr:uid="{00000000-0005-0000-0000-0000B2520000}"/>
    <cellStyle name="Output 2 3 5 6 3" xfId="18383" xr:uid="{00000000-0005-0000-0000-0000B3520000}"/>
    <cellStyle name="Output 2 3 5 7" xfId="12028" xr:uid="{00000000-0005-0000-0000-0000B4520000}"/>
    <cellStyle name="Output 2 3 5 7 2" xfId="26860" xr:uid="{00000000-0005-0000-0000-0000B5520000}"/>
    <cellStyle name="Output 2 3 5 8" xfId="9688" xr:uid="{00000000-0005-0000-0000-0000B6520000}"/>
    <cellStyle name="Output 2 3 5 8 2" xfId="19988" xr:uid="{00000000-0005-0000-0000-0000B7520000}"/>
    <cellStyle name="Output 2 3 6" xfId="1778" xr:uid="{00000000-0005-0000-0000-0000B8520000}"/>
    <cellStyle name="Output 2 3 6 2" xfId="3374" xr:uid="{00000000-0005-0000-0000-0000B9520000}"/>
    <cellStyle name="Output 2 3 6 2 2" xfId="7437" xr:uid="{00000000-0005-0000-0000-0000BA520000}"/>
    <cellStyle name="Output 2 3 6 2 2 2" xfId="17146" xr:uid="{00000000-0005-0000-0000-0000BB520000}"/>
    <cellStyle name="Output 2 3 6 2 2 2 2" xfId="31978" xr:uid="{00000000-0005-0000-0000-0000BC520000}"/>
    <cellStyle name="Output 2 3 6 2 2 3" xfId="19013" xr:uid="{00000000-0005-0000-0000-0000BD520000}"/>
    <cellStyle name="Output 2 3 6 2 3" xfId="13711" xr:uid="{00000000-0005-0000-0000-0000BE520000}"/>
    <cellStyle name="Output 2 3 6 2 3 2" xfId="28543" xr:uid="{00000000-0005-0000-0000-0000BF520000}"/>
    <cellStyle name="Output 2 3 6 2 4" xfId="10765" xr:uid="{00000000-0005-0000-0000-0000C0520000}"/>
    <cellStyle name="Output 2 3 6 2 4 2" xfId="25597" xr:uid="{00000000-0005-0000-0000-0000C1520000}"/>
    <cellStyle name="Output 2 3 6 3" xfId="4756" xr:uid="{00000000-0005-0000-0000-0000C2520000}"/>
    <cellStyle name="Output 2 3 6 3 2" xfId="8795" xr:uid="{00000000-0005-0000-0000-0000C3520000}"/>
    <cellStyle name="Output 2 3 6 3 2 2" xfId="17867" xr:uid="{00000000-0005-0000-0000-0000C4520000}"/>
    <cellStyle name="Output 2 3 6 3 2 2 2" xfId="32699" xr:uid="{00000000-0005-0000-0000-0000C5520000}"/>
    <cellStyle name="Output 2 3 6 3 2 3" xfId="19484" xr:uid="{00000000-0005-0000-0000-0000C6520000}"/>
    <cellStyle name="Output 2 3 6 3 3" xfId="15080" xr:uid="{00000000-0005-0000-0000-0000C7520000}"/>
    <cellStyle name="Output 2 3 6 3 3 2" xfId="29912" xr:uid="{00000000-0005-0000-0000-0000C8520000}"/>
    <cellStyle name="Output 2 3 6 3 4" xfId="11470" xr:uid="{00000000-0005-0000-0000-0000C9520000}"/>
    <cellStyle name="Output 2 3 6 3 4 2" xfId="26302" xr:uid="{00000000-0005-0000-0000-0000CA520000}"/>
    <cellStyle name="Output 2 3 6 4" xfId="2746" xr:uid="{00000000-0005-0000-0000-0000CB520000}"/>
    <cellStyle name="Output 2 3 6 4 2" xfId="6837" xr:uid="{00000000-0005-0000-0000-0000CC520000}"/>
    <cellStyle name="Output 2 3 6 4 2 2" xfId="16761" xr:uid="{00000000-0005-0000-0000-0000CD520000}"/>
    <cellStyle name="Output 2 3 6 4 2 2 2" xfId="31593" xr:uid="{00000000-0005-0000-0000-0000CE520000}"/>
    <cellStyle name="Output 2 3 6 4 2 3" xfId="18775" xr:uid="{00000000-0005-0000-0000-0000CF520000}"/>
    <cellStyle name="Output 2 3 6 4 3" xfId="13084" xr:uid="{00000000-0005-0000-0000-0000D0520000}"/>
    <cellStyle name="Output 2 3 6 4 3 2" xfId="27916" xr:uid="{00000000-0005-0000-0000-0000D1520000}"/>
    <cellStyle name="Output 2 3 6 4 4" xfId="10414" xr:uid="{00000000-0005-0000-0000-0000D2520000}"/>
    <cellStyle name="Output 2 3 6 4 4 2" xfId="25246" xr:uid="{00000000-0005-0000-0000-0000D3520000}"/>
    <cellStyle name="Output 2 3 6 5" xfId="5910" xr:uid="{00000000-0005-0000-0000-0000D4520000}"/>
    <cellStyle name="Output 2 3 6 5 2" xfId="16102" xr:uid="{00000000-0005-0000-0000-0000D5520000}"/>
    <cellStyle name="Output 2 3 6 5 2 2" xfId="30934" xr:uid="{00000000-0005-0000-0000-0000D6520000}"/>
    <cellStyle name="Output 2 3 6 5 3" xfId="18417" xr:uid="{00000000-0005-0000-0000-0000D7520000}"/>
    <cellStyle name="Output 2 3 6 6" xfId="12172" xr:uid="{00000000-0005-0000-0000-0000D8520000}"/>
    <cellStyle name="Output 2 3 6 6 2" xfId="27004" xr:uid="{00000000-0005-0000-0000-0000D9520000}"/>
    <cellStyle name="Output 2 3 6 7" xfId="9768" xr:uid="{00000000-0005-0000-0000-0000DA520000}"/>
    <cellStyle name="Output 2 3 6 7 2" xfId="24725" xr:uid="{00000000-0005-0000-0000-0000DB520000}"/>
    <cellStyle name="Output 2 3 7" xfId="2188" xr:uid="{00000000-0005-0000-0000-0000DC520000}"/>
    <cellStyle name="Output 2 3 7 2" xfId="3441" xr:uid="{00000000-0005-0000-0000-0000DD520000}"/>
    <cellStyle name="Output 2 3 7 2 2" xfId="7504" xr:uid="{00000000-0005-0000-0000-0000DE520000}"/>
    <cellStyle name="Output 2 3 7 2 2 2" xfId="17191" xr:uid="{00000000-0005-0000-0000-0000DF520000}"/>
    <cellStyle name="Output 2 3 7 2 2 2 2" xfId="32023" xr:uid="{00000000-0005-0000-0000-0000E0520000}"/>
    <cellStyle name="Output 2 3 7 2 2 3" xfId="19037" xr:uid="{00000000-0005-0000-0000-0000E1520000}"/>
    <cellStyle name="Output 2 3 7 2 3" xfId="13778" xr:uid="{00000000-0005-0000-0000-0000E2520000}"/>
    <cellStyle name="Output 2 3 7 2 3 2" xfId="28610" xr:uid="{00000000-0005-0000-0000-0000E3520000}"/>
    <cellStyle name="Output 2 3 7 2 4" xfId="10810" xr:uid="{00000000-0005-0000-0000-0000E4520000}"/>
    <cellStyle name="Output 2 3 7 2 4 2" xfId="25642" xr:uid="{00000000-0005-0000-0000-0000E5520000}"/>
    <cellStyle name="Output 2 3 7 3" xfId="5156" xr:uid="{00000000-0005-0000-0000-0000E6520000}"/>
    <cellStyle name="Output 2 3 7 3 2" xfId="9195" xr:uid="{00000000-0005-0000-0000-0000E7520000}"/>
    <cellStyle name="Output 2 3 7 3 2 2" xfId="18118" xr:uid="{00000000-0005-0000-0000-0000E8520000}"/>
    <cellStyle name="Output 2 3 7 3 2 2 2" xfId="32950" xr:uid="{00000000-0005-0000-0000-0000E9520000}"/>
    <cellStyle name="Output 2 3 7 3 2 3" xfId="19669" xr:uid="{00000000-0005-0000-0000-0000EA520000}"/>
    <cellStyle name="Output 2 3 7 3 3" xfId="15474" xr:uid="{00000000-0005-0000-0000-0000EB520000}"/>
    <cellStyle name="Output 2 3 7 3 3 2" xfId="30306" xr:uid="{00000000-0005-0000-0000-0000EC520000}"/>
    <cellStyle name="Output 2 3 7 3 4" xfId="11715" xr:uid="{00000000-0005-0000-0000-0000ED520000}"/>
    <cellStyle name="Output 2 3 7 3 4 2" xfId="26547" xr:uid="{00000000-0005-0000-0000-0000EE520000}"/>
    <cellStyle name="Output 2 3 7 4" xfId="4186" xr:uid="{00000000-0005-0000-0000-0000EF520000}"/>
    <cellStyle name="Output 2 3 7 4 2" xfId="8227" xr:uid="{00000000-0005-0000-0000-0000F0520000}"/>
    <cellStyle name="Output 2 3 7 4 2 2" xfId="17574" xr:uid="{00000000-0005-0000-0000-0000F1520000}"/>
    <cellStyle name="Output 2 3 7 4 2 2 2" xfId="32406" xr:uid="{00000000-0005-0000-0000-0000F2520000}"/>
    <cellStyle name="Output 2 3 7 4 2 3" xfId="19312" xr:uid="{00000000-0005-0000-0000-0000F3520000}"/>
    <cellStyle name="Output 2 3 7 4 3" xfId="14518" xr:uid="{00000000-0005-0000-0000-0000F4520000}"/>
    <cellStyle name="Output 2 3 7 4 3 2" xfId="29350" xr:uid="{00000000-0005-0000-0000-0000F5520000}"/>
    <cellStyle name="Output 2 3 7 4 4" xfId="11194" xr:uid="{00000000-0005-0000-0000-0000F6520000}"/>
    <cellStyle name="Output 2 3 7 4 4 2" xfId="26026" xr:uid="{00000000-0005-0000-0000-0000F7520000}"/>
    <cellStyle name="Output 2 3 7 5" xfId="6302" xr:uid="{00000000-0005-0000-0000-0000F8520000}"/>
    <cellStyle name="Output 2 3 7 5 2" xfId="16486" xr:uid="{00000000-0005-0000-0000-0000F9520000}"/>
    <cellStyle name="Output 2 3 7 5 2 2" xfId="31318" xr:uid="{00000000-0005-0000-0000-0000FA520000}"/>
    <cellStyle name="Output 2 3 7 5 3" xfId="18605" xr:uid="{00000000-0005-0000-0000-0000FB520000}"/>
    <cellStyle name="Output 2 3 7 6" xfId="12556" xr:uid="{00000000-0005-0000-0000-0000FC520000}"/>
    <cellStyle name="Output 2 3 7 6 2" xfId="27388" xr:uid="{00000000-0005-0000-0000-0000FD520000}"/>
    <cellStyle name="Output 2 3 7 7" xfId="10138" xr:uid="{00000000-0005-0000-0000-0000FE520000}"/>
    <cellStyle name="Output 2 3 7 7 2" xfId="24970" xr:uid="{00000000-0005-0000-0000-0000FF520000}"/>
    <cellStyle name="Output 2 3 8" xfId="3993" xr:uid="{00000000-0005-0000-0000-000000530000}"/>
    <cellStyle name="Output 2 3 8 2" xfId="8040" xr:uid="{00000000-0005-0000-0000-000001530000}"/>
    <cellStyle name="Output 2 3 8 2 2" xfId="17461" xr:uid="{00000000-0005-0000-0000-000002530000}"/>
    <cellStyle name="Output 2 3 8 2 2 2" xfId="32293" xr:uid="{00000000-0005-0000-0000-000003530000}"/>
    <cellStyle name="Output 2 3 8 2 3" xfId="19224" xr:uid="{00000000-0005-0000-0000-000004530000}"/>
    <cellStyle name="Output 2 3 8 3" xfId="14326" xr:uid="{00000000-0005-0000-0000-000005530000}"/>
    <cellStyle name="Output 2 3 8 3 2" xfId="29158" xr:uid="{00000000-0005-0000-0000-000006530000}"/>
    <cellStyle name="Output 2 3 8 4" xfId="11079" xr:uid="{00000000-0005-0000-0000-000007530000}"/>
    <cellStyle name="Output 2 3 8 4 2" xfId="25911" xr:uid="{00000000-0005-0000-0000-000008530000}"/>
    <cellStyle name="Output 2 3 9" xfId="3357" xr:uid="{00000000-0005-0000-0000-000009530000}"/>
    <cellStyle name="Output 2 3 9 2" xfId="7420" xr:uid="{00000000-0005-0000-0000-00000A530000}"/>
    <cellStyle name="Output 2 3 9 2 2" xfId="17140" xr:uid="{00000000-0005-0000-0000-00000B530000}"/>
    <cellStyle name="Output 2 3 9 2 2 2" xfId="31972" xr:uid="{00000000-0005-0000-0000-00000C530000}"/>
    <cellStyle name="Output 2 3 9 2 3" xfId="19009" xr:uid="{00000000-0005-0000-0000-00000D530000}"/>
    <cellStyle name="Output 2 3 9 3" xfId="13694" xr:uid="{00000000-0005-0000-0000-00000E530000}"/>
    <cellStyle name="Output 2 3 9 3 2" xfId="28526" xr:uid="{00000000-0005-0000-0000-00000F530000}"/>
    <cellStyle name="Output 2 3 9 4" xfId="10759" xr:uid="{00000000-0005-0000-0000-000010530000}"/>
    <cellStyle name="Output 2 3 9 4 2" xfId="25591" xr:uid="{00000000-0005-0000-0000-000011530000}"/>
    <cellStyle name="Output 2 4" xfId="1234" xr:uid="{00000000-0005-0000-0000-000012530000}"/>
    <cellStyle name="Output 2 4 10" xfId="2320" xr:uid="{00000000-0005-0000-0000-000013530000}"/>
    <cellStyle name="Output 2 4 10 2" xfId="6432" xr:uid="{00000000-0005-0000-0000-000014530000}"/>
    <cellStyle name="Output 2 4 10 2 2" xfId="16525" xr:uid="{00000000-0005-0000-0000-000015530000}"/>
    <cellStyle name="Output 2 4 10 2 2 2" xfId="31357" xr:uid="{00000000-0005-0000-0000-000016530000}"/>
    <cellStyle name="Output 2 4 10 2 3" xfId="18613" xr:uid="{00000000-0005-0000-0000-000017530000}"/>
    <cellStyle name="Output 2 4 10 3" xfId="12660" xr:uid="{00000000-0005-0000-0000-000018530000}"/>
    <cellStyle name="Output 2 4 10 3 2" xfId="27492" xr:uid="{00000000-0005-0000-0000-000019530000}"/>
    <cellStyle name="Output 2 4 10 4" xfId="10176" xr:uid="{00000000-0005-0000-0000-00001A530000}"/>
    <cellStyle name="Output 2 4 10 4 2" xfId="25008" xr:uid="{00000000-0005-0000-0000-00001B530000}"/>
    <cellStyle name="Output 2 4 11" xfId="5283" xr:uid="{00000000-0005-0000-0000-00001C530000}"/>
    <cellStyle name="Output 2 4 11 2" xfId="9291" xr:uid="{00000000-0005-0000-0000-00001D530000}"/>
    <cellStyle name="Output 2 4 11 2 2" xfId="18158" xr:uid="{00000000-0005-0000-0000-00001E530000}"/>
    <cellStyle name="Output 2 4 11 2 2 2" xfId="32990" xr:uid="{00000000-0005-0000-0000-00001F530000}"/>
    <cellStyle name="Output 2 4 11 2 3" xfId="19677" xr:uid="{00000000-0005-0000-0000-000020530000}"/>
    <cellStyle name="Output 2 4 11 3" xfId="15599" xr:uid="{00000000-0005-0000-0000-000021530000}"/>
    <cellStyle name="Output 2 4 11 3 2" xfId="30431" xr:uid="{00000000-0005-0000-0000-000022530000}"/>
    <cellStyle name="Output 2 4 12" xfId="5441" xr:uid="{00000000-0005-0000-0000-000023530000}"/>
    <cellStyle name="Output 2 4 12 2" xfId="15677" xr:uid="{00000000-0005-0000-0000-000024530000}"/>
    <cellStyle name="Output 2 4 12 2 2" xfId="30509" xr:uid="{00000000-0005-0000-0000-000025530000}"/>
    <cellStyle name="Output 2 4 12 3" xfId="18254" xr:uid="{00000000-0005-0000-0000-000026530000}"/>
    <cellStyle name="Output 2 4 13" xfId="9350" xr:uid="{00000000-0005-0000-0000-000027530000}"/>
    <cellStyle name="Output 2 4 13 2" xfId="24656" xr:uid="{00000000-0005-0000-0000-000028530000}"/>
    <cellStyle name="Output 2 4 14" xfId="5339" xr:uid="{00000000-0005-0000-0000-000029530000}"/>
    <cellStyle name="Output 2 4 14 2" xfId="18213" xr:uid="{00000000-0005-0000-0000-00002A530000}"/>
    <cellStyle name="Output 2 4 2" xfId="1353" xr:uid="{00000000-0005-0000-0000-00002B530000}"/>
    <cellStyle name="Output 2 4 2 2" xfId="1857" xr:uid="{00000000-0005-0000-0000-00002C530000}"/>
    <cellStyle name="Output 2 4 2 2 2" xfId="3795" xr:uid="{00000000-0005-0000-0000-00002D530000}"/>
    <cellStyle name="Output 2 4 2 2 2 2" xfId="7850" xr:uid="{00000000-0005-0000-0000-00002E530000}"/>
    <cellStyle name="Output 2 4 2 2 2 2 2" xfId="17369" xr:uid="{00000000-0005-0000-0000-00002F530000}"/>
    <cellStyle name="Output 2 4 2 2 2 2 2 2" xfId="32201" xr:uid="{00000000-0005-0000-0000-000030530000}"/>
    <cellStyle name="Output 2 4 2 2 2 2 3" xfId="19156" xr:uid="{00000000-0005-0000-0000-000031530000}"/>
    <cellStyle name="Output 2 4 2 2 2 3" xfId="14130" xr:uid="{00000000-0005-0000-0000-000032530000}"/>
    <cellStyle name="Output 2 4 2 2 2 3 2" xfId="28962" xr:uid="{00000000-0005-0000-0000-000033530000}"/>
    <cellStyle name="Output 2 4 2 2 2 4" xfId="10986" xr:uid="{00000000-0005-0000-0000-000034530000}"/>
    <cellStyle name="Output 2 4 2 2 2 4 2" xfId="25818" xr:uid="{00000000-0005-0000-0000-000035530000}"/>
    <cellStyle name="Output 2 4 2 2 3" xfId="4835" xr:uid="{00000000-0005-0000-0000-000036530000}"/>
    <cellStyle name="Output 2 4 2 2 3 2" xfId="8874" xr:uid="{00000000-0005-0000-0000-000037530000}"/>
    <cellStyle name="Output 2 4 2 2 3 2 2" xfId="17915" xr:uid="{00000000-0005-0000-0000-000038530000}"/>
    <cellStyle name="Output 2 4 2 2 3 2 2 2" xfId="32747" xr:uid="{00000000-0005-0000-0000-000039530000}"/>
    <cellStyle name="Output 2 4 2 2 3 2 3" xfId="19517" xr:uid="{00000000-0005-0000-0000-00003A530000}"/>
    <cellStyle name="Output 2 4 2 2 3 3" xfId="15159" xr:uid="{00000000-0005-0000-0000-00003B530000}"/>
    <cellStyle name="Output 2 4 2 2 3 3 2" xfId="29991" xr:uid="{00000000-0005-0000-0000-00003C530000}"/>
    <cellStyle name="Output 2 4 2 2 3 4" xfId="11518" xr:uid="{00000000-0005-0000-0000-00003D530000}"/>
    <cellStyle name="Output 2 4 2 2 3 4 2" xfId="26350" xr:uid="{00000000-0005-0000-0000-00003E530000}"/>
    <cellStyle name="Output 2 4 2 2 4" xfId="2825" xr:uid="{00000000-0005-0000-0000-00003F530000}"/>
    <cellStyle name="Output 2 4 2 2 4 2" xfId="6916" xr:uid="{00000000-0005-0000-0000-000040530000}"/>
    <cellStyle name="Output 2 4 2 2 4 2 2" xfId="16809" xr:uid="{00000000-0005-0000-0000-000041530000}"/>
    <cellStyle name="Output 2 4 2 2 4 2 2 2" xfId="31641" xr:uid="{00000000-0005-0000-0000-000042530000}"/>
    <cellStyle name="Output 2 4 2 2 4 2 3" xfId="18808" xr:uid="{00000000-0005-0000-0000-000043530000}"/>
    <cellStyle name="Output 2 4 2 2 4 3" xfId="13163" xr:uid="{00000000-0005-0000-0000-000044530000}"/>
    <cellStyle name="Output 2 4 2 2 4 3 2" xfId="27995" xr:uid="{00000000-0005-0000-0000-000045530000}"/>
    <cellStyle name="Output 2 4 2 2 4 4" xfId="10462" xr:uid="{00000000-0005-0000-0000-000046530000}"/>
    <cellStyle name="Output 2 4 2 2 4 4 2" xfId="25294" xr:uid="{00000000-0005-0000-0000-000047530000}"/>
    <cellStyle name="Output 2 4 2 2 5" xfId="5989" xr:uid="{00000000-0005-0000-0000-000048530000}"/>
    <cellStyle name="Output 2 4 2 2 5 2" xfId="16181" xr:uid="{00000000-0005-0000-0000-000049530000}"/>
    <cellStyle name="Output 2 4 2 2 5 2 2" xfId="31013" xr:uid="{00000000-0005-0000-0000-00004A530000}"/>
    <cellStyle name="Output 2 4 2 2 5 3" xfId="18450" xr:uid="{00000000-0005-0000-0000-00004B530000}"/>
    <cellStyle name="Output 2 4 2 2 6" xfId="12251" xr:uid="{00000000-0005-0000-0000-00004C530000}"/>
    <cellStyle name="Output 2 4 2 2 6 2" xfId="27083" xr:uid="{00000000-0005-0000-0000-00004D530000}"/>
    <cellStyle name="Output 2 4 2 2 7" xfId="9847" xr:uid="{00000000-0005-0000-0000-00004E530000}"/>
    <cellStyle name="Output 2 4 2 2 7 2" xfId="24773" xr:uid="{00000000-0005-0000-0000-00004F530000}"/>
    <cellStyle name="Output 2 4 2 3" xfId="3697" xr:uid="{00000000-0005-0000-0000-000050530000}"/>
    <cellStyle name="Output 2 4 2 3 2" xfId="7753" xr:uid="{00000000-0005-0000-0000-000051530000}"/>
    <cellStyle name="Output 2 4 2 3 2 2" xfId="17321" xr:uid="{00000000-0005-0000-0000-000052530000}"/>
    <cellStyle name="Output 2 4 2 3 2 2 2" xfId="32153" xr:uid="{00000000-0005-0000-0000-000053530000}"/>
    <cellStyle name="Output 2 4 2 3 2 3" xfId="19126" xr:uid="{00000000-0005-0000-0000-000054530000}"/>
    <cellStyle name="Output 2 4 2 3 3" xfId="14032" xr:uid="{00000000-0005-0000-0000-000055530000}"/>
    <cellStyle name="Output 2 4 2 3 3 2" xfId="28864" xr:uid="{00000000-0005-0000-0000-000056530000}"/>
    <cellStyle name="Output 2 4 2 3 4" xfId="10939" xr:uid="{00000000-0005-0000-0000-000057530000}"/>
    <cellStyle name="Output 2 4 2 3 4 2" xfId="25771" xr:uid="{00000000-0005-0000-0000-000058530000}"/>
    <cellStyle name="Output 2 4 2 4" xfId="4415" xr:uid="{00000000-0005-0000-0000-000059530000}"/>
    <cellStyle name="Output 2 4 2 4 2" xfId="8454" xr:uid="{00000000-0005-0000-0000-00005A530000}"/>
    <cellStyle name="Output 2 4 2 4 2 2" xfId="17675" xr:uid="{00000000-0005-0000-0000-00005B530000}"/>
    <cellStyle name="Output 2 4 2 4 2 2 2" xfId="32507" xr:uid="{00000000-0005-0000-0000-00005C530000}"/>
    <cellStyle name="Output 2 4 2 4 2 3" xfId="19357" xr:uid="{00000000-0005-0000-0000-00005D530000}"/>
    <cellStyle name="Output 2 4 2 4 3" xfId="14744" xr:uid="{00000000-0005-0000-0000-00005E530000}"/>
    <cellStyle name="Output 2 4 2 4 3 2" xfId="29576" xr:uid="{00000000-0005-0000-0000-00005F530000}"/>
    <cellStyle name="Output 2 4 2 4 4" xfId="11283" xr:uid="{00000000-0005-0000-0000-000060530000}"/>
    <cellStyle name="Output 2 4 2 4 4 2" xfId="26115" xr:uid="{00000000-0005-0000-0000-000061530000}"/>
    <cellStyle name="Output 2 4 2 5" xfId="2405" xr:uid="{00000000-0005-0000-0000-000062530000}"/>
    <cellStyle name="Output 2 4 2 5 2" xfId="6517" xr:uid="{00000000-0005-0000-0000-000063530000}"/>
    <cellStyle name="Output 2 4 2 5 2 2" xfId="16573" xr:uid="{00000000-0005-0000-0000-000064530000}"/>
    <cellStyle name="Output 2 4 2 5 2 2 2" xfId="31405" xr:uid="{00000000-0005-0000-0000-000065530000}"/>
    <cellStyle name="Output 2 4 2 5 2 3" xfId="18645" xr:uid="{00000000-0005-0000-0000-000066530000}"/>
    <cellStyle name="Output 2 4 2 5 3" xfId="12744" xr:uid="{00000000-0005-0000-0000-000067530000}"/>
    <cellStyle name="Output 2 4 2 5 3 2" xfId="27576" xr:uid="{00000000-0005-0000-0000-000068530000}"/>
    <cellStyle name="Output 2 4 2 5 4" xfId="10223" xr:uid="{00000000-0005-0000-0000-000069530000}"/>
    <cellStyle name="Output 2 4 2 5 4 2" xfId="25055" xr:uid="{00000000-0005-0000-0000-00006A530000}"/>
    <cellStyle name="Output 2 4 2 6" xfId="5530" xr:uid="{00000000-0005-0000-0000-00006B530000}"/>
    <cellStyle name="Output 2 4 2 6 2" xfId="15765" xr:uid="{00000000-0005-0000-0000-00006C530000}"/>
    <cellStyle name="Output 2 4 2 6 2 2" xfId="30597" xr:uid="{00000000-0005-0000-0000-00006D530000}"/>
    <cellStyle name="Output 2 4 2 6 3" xfId="18287" xr:uid="{00000000-0005-0000-0000-00006E530000}"/>
    <cellStyle name="Output 2 4 2 7" xfId="11780" xr:uid="{00000000-0005-0000-0000-00006F530000}"/>
    <cellStyle name="Output 2 4 2 7 2" xfId="26612" xr:uid="{00000000-0005-0000-0000-000070530000}"/>
    <cellStyle name="Output 2 4 2 8" xfId="9451" xr:uid="{00000000-0005-0000-0000-000071530000}"/>
    <cellStyle name="Output 2 4 2 8 2" xfId="19755" xr:uid="{00000000-0005-0000-0000-000072530000}"/>
    <cellStyle name="Output 2 4 3" xfId="1523" xr:uid="{00000000-0005-0000-0000-000073530000}"/>
    <cellStyle name="Output 2 4 3 2" xfId="2020" xr:uid="{00000000-0005-0000-0000-000074530000}"/>
    <cellStyle name="Output 2 4 3 2 2" xfId="3390" xr:uid="{00000000-0005-0000-0000-000075530000}"/>
    <cellStyle name="Output 2 4 3 2 2 2" xfId="7453" xr:uid="{00000000-0005-0000-0000-000076530000}"/>
    <cellStyle name="Output 2 4 3 2 2 2 2" xfId="17157" xr:uid="{00000000-0005-0000-0000-000077530000}"/>
    <cellStyle name="Output 2 4 3 2 2 2 2 2" xfId="31989" xr:uid="{00000000-0005-0000-0000-000078530000}"/>
    <cellStyle name="Output 2 4 3 2 2 2 3" xfId="19019" xr:uid="{00000000-0005-0000-0000-000079530000}"/>
    <cellStyle name="Output 2 4 3 2 2 3" xfId="13727" xr:uid="{00000000-0005-0000-0000-00007A530000}"/>
    <cellStyle name="Output 2 4 3 2 2 3 2" xfId="28559" xr:uid="{00000000-0005-0000-0000-00007B530000}"/>
    <cellStyle name="Output 2 4 3 2 2 4" xfId="10776" xr:uid="{00000000-0005-0000-0000-00007C530000}"/>
    <cellStyle name="Output 2 4 3 2 2 4 2" xfId="25608" xr:uid="{00000000-0005-0000-0000-00007D530000}"/>
    <cellStyle name="Output 2 4 3 2 3" xfId="4988" xr:uid="{00000000-0005-0000-0000-00007E530000}"/>
    <cellStyle name="Output 2 4 3 2 3 2" xfId="9027" xr:uid="{00000000-0005-0000-0000-00007F530000}"/>
    <cellStyle name="Output 2 4 3 2 3 2 2" xfId="17965" xr:uid="{00000000-0005-0000-0000-000080530000}"/>
    <cellStyle name="Output 2 4 3 2 3 2 2 2" xfId="32797" xr:uid="{00000000-0005-0000-0000-000081530000}"/>
    <cellStyle name="Output 2 4 3 2 3 2 3" xfId="19549" xr:uid="{00000000-0005-0000-0000-000082530000}"/>
    <cellStyle name="Output 2 4 3 2 3 3" xfId="15310" xr:uid="{00000000-0005-0000-0000-000083530000}"/>
    <cellStyle name="Output 2 4 3 2 3 3 2" xfId="30142" xr:uid="{00000000-0005-0000-0000-000084530000}"/>
    <cellStyle name="Output 2 4 3 2 3 4" xfId="11566" xr:uid="{00000000-0005-0000-0000-000085530000}"/>
    <cellStyle name="Output 2 4 3 2 3 4 2" xfId="26398" xr:uid="{00000000-0005-0000-0000-000086530000}"/>
    <cellStyle name="Output 2 4 3 2 4" xfId="2978" xr:uid="{00000000-0005-0000-0000-000087530000}"/>
    <cellStyle name="Output 2 4 3 2 4 2" xfId="7058" xr:uid="{00000000-0005-0000-0000-000088530000}"/>
    <cellStyle name="Output 2 4 3 2 4 2 2" xfId="16857" xr:uid="{00000000-0005-0000-0000-000089530000}"/>
    <cellStyle name="Output 2 4 3 2 4 2 2 2" xfId="31689" xr:uid="{00000000-0005-0000-0000-00008A530000}"/>
    <cellStyle name="Output 2 4 3 2 4 2 3" xfId="18841" xr:uid="{00000000-0005-0000-0000-00008B530000}"/>
    <cellStyle name="Output 2 4 3 2 4 3" xfId="13316" xr:uid="{00000000-0005-0000-0000-00008C530000}"/>
    <cellStyle name="Output 2 4 3 2 4 3 2" xfId="28148" xr:uid="{00000000-0005-0000-0000-00008D530000}"/>
    <cellStyle name="Output 2 4 3 2 4 4" xfId="10512" xr:uid="{00000000-0005-0000-0000-00008E530000}"/>
    <cellStyle name="Output 2 4 3 2 4 4 2" xfId="25344" xr:uid="{00000000-0005-0000-0000-00008F530000}"/>
    <cellStyle name="Output 2 4 3 2 5" xfId="6150" xr:uid="{00000000-0005-0000-0000-000090530000}"/>
    <cellStyle name="Output 2 4 3 2 5 2" xfId="16337" xr:uid="{00000000-0005-0000-0000-000091530000}"/>
    <cellStyle name="Output 2 4 3 2 5 2 2" xfId="31169" xr:uid="{00000000-0005-0000-0000-000092530000}"/>
    <cellStyle name="Output 2 4 3 2 5 3" xfId="18482" xr:uid="{00000000-0005-0000-0000-000093530000}"/>
    <cellStyle name="Output 2 4 3 2 6" xfId="12407" xr:uid="{00000000-0005-0000-0000-000094530000}"/>
    <cellStyle name="Output 2 4 3 2 6 2" xfId="27239" xr:uid="{00000000-0005-0000-0000-000095530000}"/>
    <cellStyle name="Output 2 4 3 2 7" xfId="9989" xr:uid="{00000000-0005-0000-0000-000096530000}"/>
    <cellStyle name="Output 2 4 3 2 7 2" xfId="24821" xr:uid="{00000000-0005-0000-0000-000097530000}"/>
    <cellStyle name="Output 2 4 3 3" xfId="3270" xr:uid="{00000000-0005-0000-0000-000098530000}"/>
    <cellStyle name="Output 2 4 3 3 2" xfId="7334" xr:uid="{00000000-0005-0000-0000-000099530000}"/>
    <cellStyle name="Output 2 4 3 3 2 2" xfId="17078" xr:uid="{00000000-0005-0000-0000-00009A530000}"/>
    <cellStyle name="Output 2 4 3 3 2 2 2" xfId="31910" xr:uid="{00000000-0005-0000-0000-00009B530000}"/>
    <cellStyle name="Output 2 4 3 3 2 3" xfId="18978" xr:uid="{00000000-0005-0000-0000-00009C530000}"/>
    <cellStyle name="Output 2 4 3 3 3" xfId="13607" xr:uid="{00000000-0005-0000-0000-00009D530000}"/>
    <cellStyle name="Output 2 4 3 3 3 2" xfId="28439" xr:uid="{00000000-0005-0000-0000-00009E530000}"/>
    <cellStyle name="Output 2 4 3 3 4" xfId="10706" xr:uid="{00000000-0005-0000-0000-00009F530000}"/>
    <cellStyle name="Output 2 4 3 3 4 2" xfId="25538" xr:uid="{00000000-0005-0000-0000-0000A0530000}"/>
    <cellStyle name="Output 2 4 3 4" xfId="4568" xr:uid="{00000000-0005-0000-0000-0000A1530000}"/>
    <cellStyle name="Output 2 4 3 4 2" xfId="8607" xr:uid="{00000000-0005-0000-0000-0000A2530000}"/>
    <cellStyle name="Output 2 4 3 4 2 2" xfId="17725" xr:uid="{00000000-0005-0000-0000-0000A3530000}"/>
    <cellStyle name="Output 2 4 3 4 2 2 2" xfId="32557" xr:uid="{00000000-0005-0000-0000-0000A4530000}"/>
    <cellStyle name="Output 2 4 3 4 2 3" xfId="19389" xr:uid="{00000000-0005-0000-0000-0000A5530000}"/>
    <cellStyle name="Output 2 4 3 4 3" xfId="14895" xr:uid="{00000000-0005-0000-0000-0000A6530000}"/>
    <cellStyle name="Output 2 4 3 4 3 2" xfId="29727" xr:uid="{00000000-0005-0000-0000-0000A7530000}"/>
    <cellStyle name="Output 2 4 3 4 4" xfId="11331" xr:uid="{00000000-0005-0000-0000-0000A8530000}"/>
    <cellStyle name="Output 2 4 3 4 4 2" xfId="26163" xr:uid="{00000000-0005-0000-0000-0000A9530000}"/>
    <cellStyle name="Output 2 4 3 5" xfId="2558" xr:uid="{00000000-0005-0000-0000-0000AA530000}"/>
    <cellStyle name="Output 2 4 3 5 2" xfId="6664" xr:uid="{00000000-0005-0000-0000-0000AB530000}"/>
    <cellStyle name="Output 2 4 3 5 2 2" xfId="16622" xr:uid="{00000000-0005-0000-0000-0000AC530000}"/>
    <cellStyle name="Output 2 4 3 5 2 2 2" xfId="31454" xr:uid="{00000000-0005-0000-0000-0000AD530000}"/>
    <cellStyle name="Output 2 4 3 5 2 3" xfId="18677" xr:uid="{00000000-0005-0000-0000-0000AE530000}"/>
    <cellStyle name="Output 2 4 3 5 3" xfId="12896" xr:uid="{00000000-0005-0000-0000-0000AF530000}"/>
    <cellStyle name="Output 2 4 3 5 3 2" xfId="27728" xr:uid="{00000000-0005-0000-0000-0000B0530000}"/>
    <cellStyle name="Output 2 4 3 5 4" xfId="10272" xr:uid="{00000000-0005-0000-0000-0000B1530000}"/>
    <cellStyle name="Output 2 4 3 5 4 2" xfId="25104" xr:uid="{00000000-0005-0000-0000-0000B2530000}"/>
    <cellStyle name="Output 2 4 3 6" xfId="5681" xr:uid="{00000000-0005-0000-0000-0000B3530000}"/>
    <cellStyle name="Output 2 4 3 6 2" xfId="15916" xr:uid="{00000000-0005-0000-0000-0000B4530000}"/>
    <cellStyle name="Output 2 4 3 6 2 2" xfId="30748" xr:uid="{00000000-0005-0000-0000-0000B5530000}"/>
    <cellStyle name="Output 2 4 3 6 3" xfId="18319" xr:uid="{00000000-0005-0000-0000-0000B6530000}"/>
    <cellStyle name="Output 2 4 3 7" xfId="11936" xr:uid="{00000000-0005-0000-0000-0000B7530000}"/>
    <cellStyle name="Output 2 4 3 7 2" xfId="26768" xr:uid="{00000000-0005-0000-0000-0000B8530000}"/>
    <cellStyle name="Output 2 4 3 8" xfId="9594" xr:uid="{00000000-0005-0000-0000-0000B9530000}"/>
    <cellStyle name="Output 2 4 3 8 2" xfId="19896" xr:uid="{00000000-0005-0000-0000-0000BA530000}"/>
    <cellStyle name="Output 2 4 4" xfId="1578" xr:uid="{00000000-0005-0000-0000-0000BB530000}"/>
    <cellStyle name="Output 2 4 4 2" xfId="2075" xr:uid="{00000000-0005-0000-0000-0000BC530000}"/>
    <cellStyle name="Output 2 4 4 2 2" xfId="3487" xr:uid="{00000000-0005-0000-0000-0000BD530000}"/>
    <cellStyle name="Output 2 4 4 2 2 2" xfId="7549" xr:uid="{00000000-0005-0000-0000-0000BE530000}"/>
    <cellStyle name="Output 2 4 4 2 2 2 2" xfId="17211" xr:uid="{00000000-0005-0000-0000-0000BF530000}"/>
    <cellStyle name="Output 2 4 4 2 2 2 2 2" xfId="32043" xr:uid="{00000000-0005-0000-0000-0000C0530000}"/>
    <cellStyle name="Output 2 4 4 2 2 2 3" xfId="19048" xr:uid="{00000000-0005-0000-0000-0000C1530000}"/>
    <cellStyle name="Output 2 4 4 2 2 3" xfId="13824" xr:uid="{00000000-0005-0000-0000-0000C2530000}"/>
    <cellStyle name="Output 2 4 4 2 2 3 2" xfId="28656" xr:uid="{00000000-0005-0000-0000-0000C3530000}"/>
    <cellStyle name="Output 2 4 4 2 2 4" xfId="10829" xr:uid="{00000000-0005-0000-0000-0000C4530000}"/>
    <cellStyle name="Output 2 4 4 2 2 4 2" xfId="25661" xr:uid="{00000000-0005-0000-0000-0000C5530000}"/>
    <cellStyle name="Output 2 4 4 2 3" xfId="5043" xr:uid="{00000000-0005-0000-0000-0000C6530000}"/>
    <cellStyle name="Output 2 4 4 2 3 2" xfId="9082" xr:uid="{00000000-0005-0000-0000-0000C7530000}"/>
    <cellStyle name="Output 2 4 4 2 3 2 2" xfId="18015" xr:uid="{00000000-0005-0000-0000-0000C8530000}"/>
    <cellStyle name="Output 2 4 4 2 3 2 2 2" xfId="32847" xr:uid="{00000000-0005-0000-0000-0000C9530000}"/>
    <cellStyle name="Output 2 4 4 2 3 2 3" xfId="19581" xr:uid="{00000000-0005-0000-0000-0000CA530000}"/>
    <cellStyle name="Output 2 4 4 2 3 3" xfId="15364" xr:uid="{00000000-0005-0000-0000-0000CB530000}"/>
    <cellStyle name="Output 2 4 4 2 3 3 2" xfId="30196" xr:uid="{00000000-0005-0000-0000-0000CC530000}"/>
    <cellStyle name="Output 2 4 4 2 3 4" xfId="11615" xr:uid="{00000000-0005-0000-0000-0000CD530000}"/>
    <cellStyle name="Output 2 4 4 2 3 4 2" xfId="26447" xr:uid="{00000000-0005-0000-0000-0000CE530000}"/>
    <cellStyle name="Output 2 4 4 2 4" xfId="3033" xr:uid="{00000000-0005-0000-0000-0000CF530000}"/>
    <cellStyle name="Output 2 4 4 2 4 2" xfId="7108" xr:uid="{00000000-0005-0000-0000-0000D0530000}"/>
    <cellStyle name="Output 2 4 4 2 4 2 2" xfId="16906" xr:uid="{00000000-0005-0000-0000-0000D1530000}"/>
    <cellStyle name="Output 2 4 4 2 4 2 2 2" xfId="31738" xr:uid="{00000000-0005-0000-0000-0000D2530000}"/>
    <cellStyle name="Output 2 4 4 2 4 2 3" xfId="18874" xr:uid="{00000000-0005-0000-0000-0000D3530000}"/>
    <cellStyle name="Output 2 4 4 2 4 3" xfId="13371" xr:uid="{00000000-0005-0000-0000-0000D4530000}"/>
    <cellStyle name="Output 2 4 4 2 4 3 2" xfId="28203" xr:uid="{00000000-0005-0000-0000-0000D5530000}"/>
    <cellStyle name="Output 2 4 4 2 4 4" xfId="10562" xr:uid="{00000000-0005-0000-0000-0000D6530000}"/>
    <cellStyle name="Output 2 4 4 2 4 4 2" xfId="25394" xr:uid="{00000000-0005-0000-0000-0000D7530000}"/>
    <cellStyle name="Output 2 4 4 2 5" xfId="6200" xr:uid="{00000000-0005-0000-0000-0000D8530000}"/>
    <cellStyle name="Output 2 4 4 2 5 2" xfId="16386" xr:uid="{00000000-0005-0000-0000-0000D9530000}"/>
    <cellStyle name="Output 2 4 4 2 5 2 2" xfId="31218" xr:uid="{00000000-0005-0000-0000-0000DA530000}"/>
    <cellStyle name="Output 2 4 4 2 5 3" xfId="18515" xr:uid="{00000000-0005-0000-0000-0000DB530000}"/>
    <cellStyle name="Output 2 4 4 2 6" xfId="12456" xr:uid="{00000000-0005-0000-0000-0000DC530000}"/>
    <cellStyle name="Output 2 4 4 2 6 2" xfId="27288" xr:uid="{00000000-0005-0000-0000-0000DD530000}"/>
    <cellStyle name="Output 2 4 4 2 7" xfId="10038" xr:uid="{00000000-0005-0000-0000-0000DE530000}"/>
    <cellStyle name="Output 2 4 4 2 7 2" xfId="24870" xr:uid="{00000000-0005-0000-0000-0000DF530000}"/>
    <cellStyle name="Output 2 4 4 3" xfId="3860" xr:uid="{00000000-0005-0000-0000-0000E0530000}"/>
    <cellStyle name="Output 2 4 4 3 2" xfId="7912" xr:uid="{00000000-0005-0000-0000-0000E1530000}"/>
    <cellStyle name="Output 2 4 4 3 2 2" xfId="17397" xr:uid="{00000000-0005-0000-0000-0000E2530000}"/>
    <cellStyle name="Output 2 4 4 3 2 2 2" xfId="32229" xr:uid="{00000000-0005-0000-0000-0000E3530000}"/>
    <cellStyle name="Output 2 4 4 3 2 3" xfId="19176" xr:uid="{00000000-0005-0000-0000-0000E4530000}"/>
    <cellStyle name="Output 2 4 4 3 3" xfId="14195" xr:uid="{00000000-0005-0000-0000-0000E5530000}"/>
    <cellStyle name="Output 2 4 4 3 3 2" xfId="29027" xr:uid="{00000000-0005-0000-0000-0000E6530000}"/>
    <cellStyle name="Output 2 4 4 3 4" xfId="11016" xr:uid="{00000000-0005-0000-0000-0000E7530000}"/>
    <cellStyle name="Output 2 4 4 3 4 2" xfId="25848" xr:uid="{00000000-0005-0000-0000-0000E8530000}"/>
    <cellStyle name="Output 2 4 4 4" xfId="4623" xr:uid="{00000000-0005-0000-0000-0000E9530000}"/>
    <cellStyle name="Output 2 4 4 4 2" xfId="8662" xr:uid="{00000000-0005-0000-0000-0000EA530000}"/>
    <cellStyle name="Output 2 4 4 4 2 2" xfId="17775" xr:uid="{00000000-0005-0000-0000-0000EB530000}"/>
    <cellStyle name="Output 2 4 4 4 2 2 2" xfId="32607" xr:uid="{00000000-0005-0000-0000-0000EC530000}"/>
    <cellStyle name="Output 2 4 4 4 2 3" xfId="19421" xr:uid="{00000000-0005-0000-0000-0000ED530000}"/>
    <cellStyle name="Output 2 4 4 4 3" xfId="14949" xr:uid="{00000000-0005-0000-0000-0000EE530000}"/>
    <cellStyle name="Output 2 4 4 4 3 2" xfId="29781" xr:uid="{00000000-0005-0000-0000-0000EF530000}"/>
    <cellStyle name="Output 2 4 4 4 4" xfId="11380" xr:uid="{00000000-0005-0000-0000-0000F0530000}"/>
    <cellStyle name="Output 2 4 4 4 4 2" xfId="26212" xr:uid="{00000000-0005-0000-0000-0000F1530000}"/>
    <cellStyle name="Output 2 4 4 5" xfId="2613" xr:uid="{00000000-0005-0000-0000-0000F2530000}"/>
    <cellStyle name="Output 2 4 4 5 2" xfId="6714" xr:uid="{00000000-0005-0000-0000-0000F3530000}"/>
    <cellStyle name="Output 2 4 4 5 2 2" xfId="16671" xr:uid="{00000000-0005-0000-0000-0000F4530000}"/>
    <cellStyle name="Output 2 4 4 5 2 2 2" xfId="31503" xr:uid="{00000000-0005-0000-0000-0000F5530000}"/>
    <cellStyle name="Output 2 4 4 5 2 3" xfId="18710" xr:uid="{00000000-0005-0000-0000-0000F6530000}"/>
    <cellStyle name="Output 2 4 4 5 3" xfId="12951" xr:uid="{00000000-0005-0000-0000-0000F7530000}"/>
    <cellStyle name="Output 2 4 4 5 3 2" xfId="27783" xr:uid="{00000000-0005-0000-0000-0000F8530000}"/>
    <cellStyle name="Output 2 4 4 5 4" xfId="10322" xr:uid="{00000000-0005-0000-0000-0000F9530000}"/>
    <cellStyle name="Output 2 4 4 5 4 2" xfId="25154" xr:uid="{00000000-0005-0000-0000-0000FA530000}"/>
    <cellStyle name="Output 2 4 4 6" xfId="5730" xr:uid="{00000000-0005-0000-0000-0000FB530000}"/>
    <cellStyle name="Output 2 4 4 6 2" xfId="15965" xr:uid="{00000000-0005-0000-0000-0000FC530000}"/>
    <cellStyle name="Output 2 4 4 6 2 2" xfId="30797" xr:uid="{00000000-0005-0000-0000-0000FD530000}"/>
    <cellStyle name="Output 2 4 4 6 3" xfId="18351" xr:uid="{00000000-0005-0000-0000-0000FE530000}"/>
    <cellStyle name="Output 2 4 4 7" xfId="11985" xr:uid="{00000000-0005-0000-0000-0000FF530000}"/>
    <cellStyle name="Output 2 4 4 7 2" xfId="26817" xr:uid="{00000000-0005-0000-0000-000000540000}"/>
    <cellStyle name="Output 2 4 4 8" xfId="9644" xr:uid="{00000000-0005-0000-0000-000001540000}"/>
    <cellStyle name="Output 2 4 4 8 2" xfId="19945" xr:uid="{00000000-0005-0000-0000-000002540000}"/>
    <cellStyle name="Output 2 4 5" xfId="1628" xr:uid="{00000000-0005-0000-0000-000003540000}"/>
    <cellStyle name="Output 2 4 5 2" xfId="2125" xr:uid="{00000000-0005-0000-0000-000004540000}"/>
    <cellStyle name="Output 2 4 5 2 2" xfId="4310" xr:uid="{00000000-0005-0000-0000-000005540000}"/>
    <cellStyle name="Output 2 4 5 2 2 2" xfId="8349" xr:uid="{00000000-0005-0000-0000-000006540000}"/>
    <cellStyle name="Output 2 4 5 2 2 2 2" xfId="17628" xr:uid="{00000000-0005-0000-0000-000007540000}"/>
    <cellStyle name="Output 2 4 5 2 2 2 2 2" xfId="32460" xr:uid="{00000000-0005-0000-0000-000008540000}"/>
    <cellStyle name="Output 2 4 5 2 2 2 3" xfId="19331" xr:uid="{00000000-0005-0000-0000-000009540000}"/>
    <cellStyle name="Output 2 4 5 2 2 3" xfId="14641" xr:uid="{00000000-0005-0000-0000-00000A540000}"/>
    <cellStyle name="Output 2 4 5 2 2 3 2" xfId="29473" xr:uid="{00000000-0005-0000-0000-00000B540000}"/>
    <cellStyle name="Output 2 4 5 2 2 4" xfId="11238" xr:uid="{00000000-0005-0000-0000-00000C540000}"/>
    <cellStyle name="Output 2 4 5 2 2 4 2" xfId="26070" xr:uid="{00000000-0005-0000-0000-00000D540000}"/>
    <cellStyle name="Output 2 4 5 2 3" xfId="5093" xr:uid="{00000000-0005-0000-0000-00000E540000}"/>
    <cellStyle name="Output 2 4 5 2 3 2" xfId="9132" xr:uid="{00000000-0005-0000-0000-00000F540000}"/>
    <cellStyle name="Output 2 4 5 2 3 2 2" xfId="18060" xr:uid="{00000000-0005-0000-0000-000010540000}"/>
    <cellStyle name="Output 2 4 5 2 3 2 2 2" xfId="32892" xr:uid="{00000000-0005-0000-0000-000011540000}"/>
    <cellStyle name="Output 2 4 5 2 3 2 3" xfId="19613" xr:uid="{00000000-0005-0000-0000-000012540000}"/>
    <cellStyle name="Output 2 4 5 2 3 3" xfId="15413" xr:uid="{00000000-0005-0000-0000-000013540000}"/>
    <cellStyle name="Output 2 4 5 2 3 3 2" xfId="30245" xr:uid="{00000000-0005-0000-0000-000014540000}"/>
    <cellStyle name="Output 2 4 5 2 3 4" xfId="11659" xr:uid="{00000000-0005-0000-0000-000015540000}"/>
    <cellStyle name="Output 2 4 5 2 3 4 2" xfId="26491" xr:uid="{00000000-0005-0000-0000-000016540000}"/>
    <cellStyle name="Output 2 4 5 2 4" xfId="3083" xr:uid="{00000000-0005-0000-0000-000017540000}"/>
    <cellStyle name="Output 2 4 5 2 4 2" xfId="7153" xr:uid="{00000000-0005-0000-0000-000018540000}"/>
    <cellStyle name="Output 2 4 5 2 4 2 2" xfId="16950" xr:uid="{00000000-0005-0000-0000-000019540000}"/>
    <cellStyle name="Output 2 4 5 2 4 2 2 2" xfId="31782" xr:uid="{00000000-0005-0000-0000-00001A540000}"/>
    <cellStyle name="Output 2 4 5 2 4 2 3" xfId="18907" xr:uid="{00000000-0005-0000-0000-00001B540000}"/>
    <cellStyle name="Output 2 4 5 2 4 3" xfId="13421" xr:uid="{00000000-0005-0000-0000-00001C540000}"/>
    <cellStyle name="Output 2 4 5 2 4 3 2" xfId="28253" xr:uid="{00000000-0005-0000-0000-00001D540000}"/>
    <cellStyle name="Output 2 4 5 2 4 4" xfId="10607" xr:uid="{00000000-0005-0000-0000-00001E540000}"/>
    <cellStyle name="Output 2 4 5 2 4 4 2" xfId="25439" xr:uid="{00000000-0005-0000-0000-00001F540000}"/>
    <cellStyle name="Output 2 4 5 2 5" xfId="6245" xr:uid="{00000000-0005-0000-0000-000020540000}"/>
    <cellStyle name="Output 2 4 5 2 5 2" xfId="16430" xr:uid="{00000000-0005-0000-0000-000021540000}"/>
    <cellStyle name="Output 2 4 5 2 5 2 2" xfId="31262" xr:uid="{00000000-0005-0000-0000-000022540000}"/>
    <cellStyle name="Output 2 4 5 2 5 3" xfId="18548" xr:uid="{00000000-0005-0000-0000-000023540000}"/>
    <cellStyle name="Output 2 4 5 2 6" xfId="12500" xr:uid="{00000000-0005-0000-0000-000024540000}"/>
    <cellStyle name="Output 2 4 5 2 6 2" xfId="27332" xr:uid="{00000000-0005-0000-0000-000025540000}"/>
    <cellStyle name="Output 2 4 5 2 7" xfId="10082" xr:uid="{00000000-0005-0000-0000-000026540000}"/>
    <cellStyle name="Output 2 4 5 2 7 2" xfId="24914" xr:uid="{00000000-0005-0000-0000-000027540000}"/>
    <cellStyle name="Output 2 4 5 3" xfId="4018" xr:uid="{00000000-0005-0000-0000-000028540000}"/>
    <cellStyle name="Output 2 4 5 3 2" xfId="8065" xr:uid="{00000000-0005-0000-0000-000029540000}"/>
    <cellStyle name="Output 2 4 5 3 2 2" xfId="17477" xr:uid="{00000000-0005-0000-0000-00002A540000}"/>
    <cellStyle name="Output 2 4 5 3 2 2 2" xfId="32309" xr:uid="{00000000-0005-0000-0000-00002B540000}"/>
    <cellStyle name="Output 2 4 5 3 2 3" xfId="19235" xr:uid="{00000000-0005-0000-0000-00002C540000}"/>
    <cellStyle name="Output 2 4 5 3 3" xfId="14350" xr:uid="{00000000-0005-0000-0000-00002D540000}"/>
    <cellStyle name="Output 2 4 5 3 3 2" xfId="29182" xr:uid="{00000000-0005-0000-0000-00002E540000}"/>
    <cellStyle name="Output 2 4 5 3 4" xfId="11093" xr:uid="{00000000-0005-0000-0000-00002F540000}"/>
    <cellStyle name="Output 2 4 5 3 4 2" xfId="25925" xr:uid="{00000000-0005-0000-0000-000030540000}"/>
    <cellStyle name="Output 2 4 5 4" xfId="4673" xr:uid="{00000000-0005-0000-0000-000031540000}"/>
    <cellStyle name="Output 2 4 5 4 2" xfId="8712" xr:uid="{00000000-0005-0000-0000-000032540000}"/>
    <cellStyle name="Output 2 4 5 4 2 2" xfId="17820" xr:uid="{00000000-0005-0000-0000-000033540000}"/>
    <cellStyle name="Output 2 4 5 4 2 2 2" xfId="32652" xr:uid="{00000000-0005-0000-0000-000034540000}"/>
    <cellStyle name="Output 2 4 5 4 2 3" xfId="19453" xr:uid="{00000000-0005-0000-0000-000035540000}"/>
    <cellStyle name="Output 2 4 5 4 3" xfId="14998" xr:uid="{00000000-0005-0000-0000-000036540000}"/>
    <cellStyle name="Output 2 4 5 4 3 2" xfId="29830" xr:uid="{00000000-0005-0000-0000-000037540000}"/>
    <cellStyle name="Output 2 4 5 4 4" xfId="11424" xr:uid="{00000000-0005-0000-0000-000038540000}"/>
    <cellStyle name="Output 2 4 5 4 4 2" xfId="26256" xr:uid="{00000000-0005-0000-0000-000039540000}"/>
    <cellStyle name="Output 2 4 5 5" xfId="2663" xr:uid="{00000000-0005-0000-0000-00003A540000}"/>
    <cellStyle name="Output 2 4 5 5 2" xfId="6759" xr:uid="{00000000-0005-0000-0000-00003B540000}"/>
    <cellStyle name="Output 2 4 5 5 2 2" xfId="16715" xr:uid="{00000000-0005-0000-0000-00003C540000}"/>
    <cellStyle name="Output 2 4 5 5 2 2 2" xfId="31547" xr:uid="{00000000-0005-0000-0000-00003D540000}"/>
    <cellStyle name="Output 2 4 5 5 2 3" xfId="18743" xr:uid="{00000000-0005-0000-0000-00003E540000}"/>
    <cellStyle name="Output 2 4 5 5 3" xfId="13001" xr:uid="{00000000-0005-0000-0000-00003F540000}"/>
    <cellStyle name="Output 2 4 5 5 3 2" xfId="27833" xr:uid="{00000000-0005-0000-0000-000040540000}"/>
    <cellStyle name="Output 2 4 5 5 4" xfId="10367" xr:uid="{00000000-0005-0000-0000-000041540000}"/>
    <cellStyle name="Output 2 4 5 5 4 2" xfId="25199" xr:uid="{00000000-0005-0000-0000-000042540000}"/>
    <cellStyle name="Output 2 4 5 6" xfId="5775" xr:uid="{00000000-0005-0000-0000-000043540000}"/>
    <cellStyle name="Output 2 4 5 6 2" xfId="16009" xr:uid="{00000000-0005-0000-0000-000044540000}"/>
    <cellStyle name="Output 2 4 5 6 2 2" xfId="30841" xr:uid="{00000000-0005-0000-0000-000045540000}"/>
    <cellStyle name="Output 2 4 5 6 3" xfId="18384" xr:uid="{00000000-0005-0000-0000-000046540000}"/>
    <cellStyle name="Output 2 4 5 7" xfId="12029" xr:uid="{00000000-0005-0000-0000-000047540000}"/>
    <cellStyle name="Output 2 4 5 7 2" xfId="26861" xr:uid="{00000000-0005-0000-0000-000048540000}"/>
    <cellStyle name="Output 2 4 5 8" xfId="9689" xr:uid="{00000000-0005-0000-0000-000049540000}"/>
    <cellStyle name="Output 2 4 5 8 2" xfId="19989" xr:uid="{00000000-0005-0000-0000-00004A540000}"/>
    <cellStyle name="Output 2 4 6" xfId="1779" xr:uid="{00000000-0005-0000-0000-00004B540000}"/>
    <cellStyle name="Output 2 4 6 2" xfId="4000" xr:uid="{00000000-0005-0000-0000-00004C540000}"/>
    <cellStyle name="Output 2 4 6 2 2" xfId="8047" xr:uid="{00000000-0005-0000-0000-00004D540000}"/>
    <cellStyle name="Output 2 4 6 2 2 2" xfId="17467" xr:uid="{00000000-0005-0000-0000-00004E540000}"/>
    <cellStyle name="Output 2 4 6 2 2 2 2" xfId="32299" xr:uid="{00000000-0005-0000-0000-00004F540000}"/>
    <cellStyle name="Output 2 4 6 2 2 3" xfId="19228" xr:uid="{00000000-0005-0000-0000-000050540000}"/>
    <cellStyle name="Output 2 4 6 2 3" xfId="14332" xr:uid="{00000000-0005-0000-0000-000051540000}"/>
    <cellStyle name="Output 2 4 6 2 3 2" xfId="29164" xr:uid="{00000000-0005-0000-0000-000052540000}"/>
    <cellStyle name="Output 2 4 6 2 4" xfId="11084" xr:uid="{00000000-0005-0000-0000-000053540000}"/>
    <cellStyle name="Output 2 4 6 2 4 2" xfId="25916" xr:uid="{00000000-0005-0000-0000-000054540000}"/>
    <cellStyle name="Output 2 4 6 3" xfId="4757" xr:uid="{00000000-0005-0000-0000-000055540000}"/>
    <cellStyle name="Output 2 4 6 3 2" xfId="8796" xr:uid="{00000000-0005-0000-0000-000056540000}"/>
    <cellStyle name="Output 2 4 6 3 2 2" xfId="17868" xr:uid="{00000000-0005-0000-0000-000057540000}"/>
    <cellStyle name="Output 2 4 6 3 2 2 2" xfId="32700" xr:uid="{00000000-0005-0000-0000-000058540000}"/>
    <cellStyle name="Output 2 4 6 3 2 3" xfId="19485" xr:uid="{00000000-0005-0000-0000-000059540000}"/>
    <cellStyle name="Output 2 4 6 3 3" xfId="15081" xr:uid="{00000000-0005-0000-0000-00005A540000}"/>
    <cellStyle name="Output 2 4 6 3 3 2" xfId="29913" xr:uid="{00000000-0005-0000-0000-00005B540000}"/>
    <cellStyle name="Output 2 4 6 3 4" xfId="11471" xr:uid="{00000000-0005-0000-0000-00005C540000}"/>
    <cellStyle name="Output 2 4 6 3 4 2" xfId="26303" xr:uid="{00000000-0005-0000-0000-00005D540000}"/>
    <cellStyle name="Output 2 4 6 4" xfId="2747" xr:uid="{00000000-0005-0000-0000-00005E540000}"/>
    <cellStyle name="Output 2 4 6 4 2" xfId="6838" xr:uid="{00000000-0005-0000-0000-00005F540000}"/>
    <cellStyle name="Output 2 4 6 4 2 2" xfId="16762" xr:uid="{00000000-0005-0000-0000-000060540000}"/>
    <cellStyle name="Output 2 4 6 4 2 2 2" xfId="31594" xr:uid="{00000000-0005-0000-0000-000061540000}"/>
    <cellStyle name="Output 2 4 6 4 2 3" xfId="18776" xr:uid="{00000000-0005-0000-0000-000062540000}"/>
    <cellStyle name="Output 2 4 6 4 3" xfId="13085" xr:uid="{00000000-0005-0000-0000-000063540000}"/>
    <cellStyle name="Output 2 4 6 4 3 2" xfId="27917" xr:uid="{00000000-0005-0000-0000-000064540000}"/>
    <cellStyle name="Output 2 4 6 4 4" xfId="10415" xr:uid="{00000000-0005-0000-0000-000065540000}"/>
    <cellStyle name="Output 2 4 6 4 4 2" xfId="25247" xr:uid="{00000000-0005-0000-0000-000066540000}"/>
    <cellStyle name="Output 2 4 6 5" xfId="5911" xr:uid="{00000000-0005-0000-0000-000067540000}"/>
    <cellStyle name="Output 2 4 6 5 2" xfId="16103" xr:uid="{00000000-0005-0000-0000-000068540000}"/>
    <cellStyle name="Output 2 4 6 5 2 2" xfId="30935" xr:uid="{00000000-0005-0000-0000-000069540000}"/>
    <cellStyle name="Output 2 4 6 5 3" xfId="18418" xr:uid="{00000000-0005-0000-0000-00006A540000}"/>
    <cellStyle name="Output 2 4 6 6" xfId="12173" xr:uid="{00000000-0005-0000-0000-00006B540000}"/>
    <cellStyle name="Output 2 4 6 6 2" xfId="27005" xr:uid="{00000000-0005-0000-0000-00006C540000}"/>
    <cellStyle name="Output 2 4 6 7" xfId="9769" xr:uid="{00000000-0005-0000-0000-00006D540000}"/>
    <cellStyle name="Output 2 4 6 7 2" xfId="24726" xr:uid="{00000000-0005-0000-0000-00006E540000}"/>
    <cellStyle name="Output 2 4 7" xfId="2187" xr:uid="{00000000-0005-0000-0000-00006F540000}"/>
    <cellStyle name="Output 2 4 7 2" xfId="3420" xr:uid="{00000000-0005-0000-0000-000070540000}"/>
    <cellStyle name="Output 2 4 7 2 2" xfId="7483" xr:uid="{00000000-0005-0000-0000-000071540000}"/>
    <cellStyle name="Output 2 4 7 2 2 2" xfId="17181" xr:uid="{00000000-0005-0000-0000-000072540000}"/>
    <cellStyle name="Output 2 4 7 2 2 2 2" xfId="32013" xr:uid="{00000000-0005-0000-0000-000073540000}"/>
    <cellStyle name="Output 2 4 7 2 2 3" xfId="19030" xr:uid="{00000000-0005-0000-0000-000074540000}"/>
    <cellStyle name="Output 2 4 7 2 3" xfId="13757" xr:uid="{00000000-0005-0000-0000-000075540000}"/>
    <cellStyle name="Output 2 4 7 2 3 2" xfId="28589" xr:uid="{00000000-0005-0000-0000-000076540000}"/>
    <cellStyle name="Output 2 4 7 2 4" xfId="10800" xr:uid="{00000000-0005-0000-0000-000077540000}"/>
    <cellStyle name="Output 2 4 7 2 4 2" xfId="25632" xr:uid="{00000000-0005-0000-0000-000078540000}"/>
    <cellStyle name="Output 2 4 7 3" xfId="5155" xr:uid="{00000000-0005-0000-0000-000079540000}"/>
    <cellStyle name="Output 2 4 7 3 2" xfId="9194" xr:uid="{00000000-0005-0000-0000-00007A540000}"/>
    <cellStyle name="Output 2 4 7 3 2 2" xfId="18117" xr:uid="{00000000-0005-0000-0000-00007B540000}"/>
    <cellStyle name="Output 2 4 7 3 2 2 2" xfId="32949" xr:uid="{00000000-0005-0000-0000-00007C540000}"/>
    <cellStyle name="Output 2 4 7 3 2 3" xfId="19668" xr:uid="{00000000-0005-0000-0000-00007D540000}"/>
    <cellStyle name="Output 2 4 7 3 3" xfId="15473" xr:uid="{00000000-0005-0000-0000-00007E540000}"/>
    <cellStyle name="Output 2 4 7 3 3 2" xfId="30305" xr:uid="{00000000-0005-0000-0000-00007F540000}"/>
    <cellStyle name="Output 2 4 7 3 4" xfId="11714" xr:uid="{00000000-0005-0000-0000-000080540000}"/>
    <cellStyle name="Output 2 4 7 3 4 2" xfId="26546" xr:uid="{00000000-0005-0000-0000-000081540000}"/>
    <cellStyle name="Output 2 4 7 4" xfId="4185" xr:uid="{00000000-0005-0000-0000-000082540000}"/>
    <cellStyle name="Output 2 4 7 4 2" xfId="8226" xr:uid="{00000000-0005-0000-0000-000083540000}"/>
    <cellStyle name="Output 2 4 7 4 2 2" xfId="17573" xr:uid="{00000000-0005-0000-0000-000084540000}"/>
    <cellStyle name="Output 2 4 7 4 2 2 2" xfId="32405" xr:uid="{00000000-0005-0000-0000-000085540000}"/>
    <cellStyle name="Output 2 4 7 4 2 3" xfId="19311" xr:uid="{00000000-0005-0000-0000-000086540000}"/>
    <cellStyle name="Output 2 4 7 4 3" xfId="14517" xr:uid="{00000000-0005-0000-0000-000087540000}"/>
    <cellStyle name="Output 2 4 7 4 3 2" xfId="29349" xr:uid="{00000000-0005-0000-0000-000088540000}"/>
    <cellStyle name="Output 2 4 7 4 4" xfId="11193" xr:uid="{00000000-0005-0000-0000-000089540000}"/>
    <cellStyle name="Output 2 4 7 4 4 2" xfId="26025" xr:uid="{00000000-0005-0000-0000-00008A540000}"/>
    <cellStyle name="Output 2 4 7 5" xfId="6301" xr:uid="{00000000-0005-0000-0000-00008B540000}"/>
    <cellStyle name="Output 2 4 7 5 2" xfId="16485" xr:uid="{00000000-0005-0000-0000-00008C540000}"/>
    <cellStyle name="Output 2 4 7 5 2 2" xfId="31317" xr:uid="{00000000-0005-0000-0000-00008D540000}"/>
    <cellStyle name="Output 2 4 7 5 3" xfId="18604" xr:uid="{00000000-0005-0000-0000-00008E540000}"/>
    <cellStyle name="Output 2 4 7 6" xfId="12555" xr:uid="{00000000-0005-0000-0000-00008F540000}"/>
    <cellStyle name="Output 2 4 7 6 2" xfId="27387" xr:uid="{00000000-0005-0000-0000-000090540000}"/>
    <cellStyle name="Output 2 4 7 7" xfId="10137" xr:uid="{00000000-0005-0000-0000-000091540000}"/>
    <cellStyle name="Output 2 4 7 7 2" xfId="24969" xr:uid="{00000000-0005-0000-0000-000092540000}"/>
    <cellStyle name="Output 2 4 8" xfId="4296" xr:uid="{00000000-0005-0000-0000-000093540000}"/>
    <cellStyle name="Output 2 4 8 2" xfId="8335" xr:uid="{00000000-0005-0000-0000-000094540000}"/>
    <cellStyle name="Output 2 4 8 2 2" xfId="17615" xr:uid="{00000000-0005-0000-0000-000095540000}"/>
    <cellStyle name="Output 2 4 8 2 2 2" xfId="32447" xr:uid="{00000000-0005-0000-0000-000096540000}"/>
    <cellStyle name="Output 2 4 8 2 3" xfId="19324" xr:uid="{00000000-0005-0000-0000-000097540000}"/>
    <cellStyle name="Output 2 4 8 3" xfId="14627" xr:uid="{00000000-0005-0000-0000-000098540000}"/>
    <cellStyle name="Output 2 4 8 3 2" xfId="29459" xr:uid="{00000000-0005-0000-0000-000099540000}"/>
    <cellStyle name="Output 2 4 8 4" xfId="11228" xr:uid="{00000000-0005-0000-0000-00009A540000}"/>
    <cellStyle name="Output 2 4 8 4 2" xfId="26060" xr:uid="{00000000-0005-0000-0000-00009B540000}"/>
    <cellStyle name="Output 2 4 9" xfId="3211" xr:uid="{00000000-0005-0000-0000-00009C540000}"/>
    <cellStyle name="Output 2 4 9 2" xfId="7275" xr:uid="{00000000-0005-0000-0000-00009D540000}"/>
    <cellStyle name="Output 2 4 9 2 2" xfId="17041" xr:uid="{00000000-0005-0000-0000-00009E540000}"/>
    <cellStyle name="Output 2 4 9 2 2 2" xfId="31873" xr:uid="{00000000-0005-0000-0000-00009F540000}"/>
    <cellStyle name="Output 2 4 9 2 3" xfId="18964" xr:uid="{00000000-0005-0000-0000-0000A0540000}"/>
    <cellStyle name="Output 2 4 9 3" xfId="13549" xr:uid="{00000000-0005-0000-0000-0000A1540000}"/>
    <cellStyle name="Output 2 4 9 3 2" xfId="28381" xr:uid="{00000000-0005-0000-0000-0000A2540000}"/>
    <cellStyle name="Output 2 4 9 4" xfId="10684" xr:uid="{00000000-0005-0000-0000-0000A3540000}"/>
    <cellStyle name="Output 2 4 9 4 2" xfId="25516" xr:uid="{00000000-0005-0000-0000-0000A4540000}"/>
    <cellStyle name="Output 2 5" xfId="1235" xr:uid="{00000000-0005-0000-0000-0000A5540000}"/>
    <cellStyle name="Output 2 5 10" xfId="2321" xr:uid="{00000000-0005-0000-0000-0000A6540000}"/>
    <cellStyle name="Output 2 5 10 2" xfId="6433" xr:uid="{00000000-0005-0000-0000-0000A7540000}"/>
    <cellStyle name="Output 2 5 10 2 2" xfId="16526" xr:uid="{00000000-0005-0000-0000-0000A8540000}"/>
    <cellStyle name="Output 2 5 10 2 2 2" xfId="31358" xr:uid="{00000000-0005-0000-0000-0000A9540000}"/>
    <cellStyle name="Output 2 5 10 2 3" xfId="18614" xr:uid="{00000000-0005-0000-0000-0000AA540000}"/>
    <cellStyle name="Output 2 5 10 3" xfId="12661" xr:uid="{00000000-0005-0000-0000-0000AB540000}"/>
    <cellStyle name="Output 2 5 10 3 2" xfId="27493" xr:uid="{00000000-0005-0000-0000-0000AC540000}"/>
    <cellStyle name="Output 2 5 10 4" xfId="10177" xr:uid="{00000000-0005-0000-0000-0000AD540000}"/>
    <cellStyle name="Output 2 5 10 4 2" xfId="25009" xr:uid="{00000000-0005-0000-0000-0000AE540000}"/>
    <cellStyle name="Output 2 5 11" xfId="5284" xr:uid="{00000000-0005-0000-0000-0000AF540000}"/>
    <cellStyle name="Output 2 5 11 2" xfId="9292" xr:uid="{00000000-0005-0000-0000-0000B0540000}"/>
    <cellStyle name="Output 2 5 11 2 2" xfId="18159" xr:uid="{00000000-0005-0000-0000-0000B1540000}"/>
    <cellStyle name="Output 2 5 11 2 2 2" xfId="32991" xr:uid="{00000000-0005-0000-0000-0000B2540000}"/>
    <cellStyle name="Output 2 5 11 2 3" xfId="19678" xr:uid="{00000000-0005-0000-0000-0000B3540000}"/>
    <cellStyle name="Output 2 5 11 3" xfId="15600" xr:uid="{00000000-0005-0000-0000-0000B4540000}"/>
    <cellStyle name="Output 2 5 11 3 2" xfId="30432" xr:uid="{00000000-0005-0000-0000-0000B5540000}"/>
    <cellStyle name="Output 2 5 12" xfId="5442" xr:uid="{00000000-0005-0000-0000-0000B6540000}"/>
    <cellStyle name="Output 2 5 12 2" xfId="15678" xr:uid="{00000000-0005-0000-0000-0000B7540000}"/>
    <cellStyle name="Output 2 5 12 2 2" xfId="30510" xr:uid="{00000000-0005-0000-0000-0000B8540000}"/>
    <cellStyle name="Output 2 5 12 3" xfId="18255" xr:uid="{00000000-0005-0000-0000-0000B9540000}"/>
    <cellStyle name="Output 2 5 13" xfId="9349" xr:uid="{00000000-0005-0000-0000-0000BA540000}"/>
    <cellStyle name="Output 2 5 13 2" xfId="24655" xr:uid="{00000000-0005-0000-0000-0000BB540000}"/>
    <cellStyle name="Output 2 5 14" xfId="5338" xr:uid="{00000000-0005-0000-0000-0000BC540000}"/>
    <cellStyle name="Output 2 5 14 2" xfId="18212" xr:uid="{00000000-0005-0000-0000-0000BD540000}"/>
    <cellStyle name="Output 2 5 2" xfId="1354" xr:uid="{00000000-0005-0000-0000-0000BE540000}"/>
    <cellStyle name="Output 2 5 2 2" xfId="1858" xr:uid="{00000000-0005-0000-0000-0000BF540000}"/>
    <cellStyle name="Output 2 5 2 2 2" xfId="4023" xr:uid="{00000000-0005-0000-0000-0000C0540000}"/>
    <cellStyle name="Output 2 5 2 2 2 2" xfId="8070" xr:uid="{00000000-0005-0000-0000-0000C1540000}"/>
    <cellStyle name="Output 2 5 2 2 2 2 2" xfId="17481" xr:uid="{00000000-0005-0000-0000-0000C2540000}"/>
    <cellStyle name="Output 2 5 2 2 2 2 2 2" xfId="32313" xr:uid="{00000000-0005-0000-0000-0000C3540000}"/>
    <cellStyle name="Output 2 5 2 2 2 2 3" xfId="19239" xr:uid="{00000000-0005-0000-0000-0000C4540000}"/>
    <cellStyle name="Output 2 5 2 2 2 3" xfId="14355" xr:uid="{00000000-0005-0000-0000-0000C5540000}"/>
    <cellStyle name="Output 2 5 2 2 2 3 2" xfId="29187" xr:uid="{00000000-0005-0000-0000-0000C6540000}"/>
    <cellStyle name="Output 2 5 2 2 2 4" xfId="11097" xr:uid="{00000000-0005-0000-0000-0000C7540000}"/>
    <cellStyle name="Output 2 5 2 2 2 4 2" xfId="25929" xr:uid="{00000000-0005-0000-0000-0000C8540000}"/>
    <cellStyle name="Output 2 5 2 2 3" xfId="4836" xr:uid="{00000000-0005-0000-0000-0000C9540000}"/>
    <cellStyle name="Output 2 5 2 2 3 2" xfId="8875" xr:uid="{00000000-0005-0000-0000-0000CA540000}"/>
    <cellStyle name="Output 2 5 2 2 3 2 2" xfId="17916" xr:uid="{00000000-0005-0000-0000-0000CB540000}"/>
    <cellStyle name="Output 2 5 2 2 3 2 2 2" xfId="32748" xr:uid="{00000000-0005-0000-0000-0000CC540000}"/>
    <cellStyle name="Output 2 5 2 2 3 2 3" xfId="19518" xr:uid="{00000000-0005-0000-0000-0000CD540000}"/>
    <cellStyle name="Output 2 5 2 2 3 3" xfId="15160" xr:uid="{00000000-0005-0000-0000-0000CE540000}"/>
    <cellStyle name="Output 2 5 2 2 3 3 2" xfId="29992" xr:uid="{00000000-0005-0000-0000-0000CF540000}"/>
    <cellStyle name="Output 2 5 2 2 3 4" xfId="11519" xr:uid="{00000000-0005-0000-0000-0000D0540000}"/>
    <cellStyle name="Output 2 5 2 2 3 4 2" xfId="26351" xr:uid="{00000000-0005-0000-0000-0000D1540000}"/>
    <cellStyle name="Output 2 5 2 2 4" xfId="2826" xr:uid="{00000000-0005-0000-0000-0000D2540000}"/>
    <cellStyle name="Output 2 5 2 2 4 2" xfId="6917" xr:uid="{00000000-0005-0000-0000-0000D3540000}"/>
    <cellStyle name="Output 2 5 2 2 4 2 2" xfId="16810" xr:uid="{00000000-0005-0000-0000-0000D4540000}"/>
    <cellStyle name="Output 2 5 2 2 4 2 2 2" xfId="31642" xr:uid="{00000000-0005-0000-0000-0000D5540000}"/>
    <cellStyle name="Output 2 5 2 2 4 2 3" xfId="18809" xr:uid="{00000000-0005-0000-0000-0000D6540000}"/>
    <cellStyle name="Output 2 5 2 2 4 3" xfId="13164" xr:uid="{00000000-0005-0000-0000-0000D7540000}"/>
    <cellStyle name="Output 2 5 2 2 4 3 2" xfId="27996" xr:uid="{00000000-0005-0000-0000-0000D8540000}"/>
    <cellStyle name="Output 2 5 2 2 4 4" xfId="10463" xr:uid="{00000000-0005-0000-0000-0000D9540000}"/>
    <cellStyle name="Output 2 5 2 2 4 4 2" xfId="25295" xr:uid="{00000000-0005-0000-0000-0000DA540000}"/>
    <cellStyle name="Output 2 5 2 2 5" xfId="5990" xr:uid="{00000000-0005-0000-0000-0000DB540000}"/>
    <cellStyle name="Output 2 5 2 2 5 2" xfId="16182" xr:uid="{00000000-0005-0000-0000-0000DC540000}"/>
    <cellStyle name="Output 2 5 2 2 5 2 2" xfId="31014" xr:uid="{00000000-0005-0000-0000-0000DD540000}"/>
    <cellStyle name="Output 2 5 2 2 5 3" xfId="18451" xr:uid="{00000000-0005-0000-0000-0000DE540000}"/>
    <cellStyle name="Output 2 5 2 2 6" xfId="12252" xr:uid="{00000000-0005-0000-0000-0000DF540000}"/>
    <cellStyle name="Output 2 5 2 2 6 2" xfId="27084" xr:uid="{00000000-0005-0000-0000-0000E0540000}"/>
    <cellStyle name="Output 2 5 2 2 7" xfId="9848" xr:uid="{00000000-0005-0000-0000-0000E1540000}"/>
    <cellStyle name="Output 2 5 2 2 7 2" xfId="24774" xr:uid="{00000000-0005-0000-0000-0000E2540000}"/>
    <cellStyle name="Output 2 5 2 3" xfId="3703" xr:uid="{00000000-0005-0000-0000-0000E3540000}"/>
    <cellStyle name="Output 2 5 2 3 2" xfId="7759" xr:uid="{00000000-0005-0000-0000-0000E4540000}"/>
    <cellStyle name="Output 2 5 2 3 2 2" xfId="17325" xr:uid="{00000000-0005-0000-0000-0000E5540000}"/>
    <cellStyle name="Output 2 5 2 3 2 2 2" xfId="32157" xr:uid="{00000000-0005-0000-0000-0000E6540000}"/>
    <cellStyle name="Output 2 5 2 3 2 3" xfId="19128" xr:uid="{00000000-0005-0000-0000-0000E7540000}"/>
    <cellStyle name="Output 2 5 2 3 3" xfId="14038" xr:uid="{00000000-0005-0000-0000-0000E8540000}"/>
    <cellStyle name="Output 2 5 2 3 3 2" xfId="28870" xr:uid="{00000000-0005-0000-0000-0000E9540000}"/>
    <cellStyle name="Output 2 5 2 3 4" xfId="10943" xr:uid="{00000000-0005-0000-0000-0000EA540000}"/>
    <cellStyle name="Output 2 5 2 3 4 2" xfId="25775" xr:uid="{00000000-0005-0000-0000-0000EB540000}"/>
    <cellStyle name="Output 2 5 2 4" xfId="4416" xr:uid="{00000000-0005-0000-0000-0000EC540000}"/>
    <cellStyle name="Output 2 5 2 4 2" xfId="8455" xr:uid="{00000000-0005-0000-0000-0000ED540000}"/>
    <cellStyle name="Output 2 5 2 4 2 2" xfId="17676" xr:uid="{00000000-0005-0000-0000-0000EE540000}"/>
    <cellStyle name="Output 2 5 2 4 2 2 2" xfId="32508" xr:uid="{00000000-0005-0000-0000-0000EF540000}"/>
    <cellStyle name="Output 2 5 2 4 2 3" xfId="19358" xr:uid="{00000000-0005-0000-0000-0000F0540000}"/>
    <cellStyle name="Output 2 5 2 4 3" xfId="14745" xr:uid="{00000000-0005-0000-0000-0000F1540000}"/>
    <cellStyle name="Output 2 5 2 4 3 2" xfId="29577" xr:uid="{00000000-0005-0000-0000-0000F2540000}"/>
    <cellStyle name="Output 2 5 2 4 4" xfId="11284" xr:uid="{00000000-0005-0000-0000-0000F3540000}"/>
    <cellStyle name="Output 2 5 2 4 4 2" xfId="26116" xr:uid="{00000000-0005-0000-0000-0000F4540000}"/>
    <cellStyle name="Output 2 5 2 5" xfId="2406" xr:uid="{00000000-0005-0000-0000-0000F5540000}"/>
    <cellStyle name="Output 2 5 2 5 2" xfId="6518" xr:uid="{00000000-0005-0000-0000-0000F6540000}"/>
    <cellStyle name="Output 2 5 2 5 2 2" xfId="16574" xr:uid="{00000000-0005-0000-0000-0000F7540000}"/>
    <cellStyle name="Output 2 5 2 5 2 2 2" xfId="31406" xr:uid="{00000000-0005-0000-0000-0000F8540000}"/>
    <cellStyle name="Output 2 5 2 5 2 3" xfId="18646" xr:uid="{00000000-0005-0000-0000-0000F9540000}"/>
    <cellStyle name="Output 2 5 2 5 3" xfId="12745" xr:uid="{00000000-0005-0000-0000-0000FA540000}"/>
    <cellStyle name="Output 2 5 2 5 3 2" xfId="27577" xr:uid="{00000000-0005-0000-0000-0000FB540000}"/>
    <cellStyle name="Output 2 5 2 5 4" xfId="10224" xr:uid="{00000000-0005-0000-0000-0000FC540000}"/>
    <cellStyle name="Output 2 5 2 5 4 2" xfId="25056" xr:uid="{00000000-0005-0000-0000-0000FD540000}"/>
    <cellStyle name="Output 2 5 2 6" xfId="5531" xr:uid="{00000000-0005-0000-0000-0000FE540000}"/>
    <cellStyle name="Output 2 5 2 6 2" xfId="15766" xr:uid="{00000000-0005-0000-0000-0000FF540000}"/>
    <cellStyle name="Output 2 5 2 6 2 2" xfId="30598" xr:uid="{00000000-0005-0000-0000-000000550000}"/>
    <cellStyle name="Output 2 5 2 6 3" xfId="18288" xr:uid="{00000000-0005-0000-0000-000001550000}"/>
    <cellStyle name="Output 2 5 2 7" xfId="11781" xr:uid="{00000000-0005-0000-0000-000002550000}"/>
    <cellStyle name="Output 2 5 2 7 2" xfId="26613" xr:uid="{00000000-0005-0000-0000-000003550000}"/>
    <cellStyle name="Output 2 5 2 8" xfId="9452" xr:uid="{00000000-0005-0000-0000-000004550000}"/>
    <cellStyle name="Output 2 5 2 8 2" xfId="19756" xr:uid="{00000000-0005-0000-0000-000005550000}"/>
    <cellStyle name="Output 2 5 3" xfId="1524" xr:uid="{00000000-0005-0000-0000-000006550000}"/>
    <cellStyle name="Output 2 5 3 2" xfId="2021" xr:uid="{00000000-0005-0000-0000-000007550000}"/>
    <cellStyle name="Output 2 5 3 2 2" xfId="3438" xr:uid="{00000000-0005-0000-0000-000008550000}"/>
    <cellStyle name="Output 2 5 3 2 2 2" xfId="7501" xr:uid="{00000000-0005-0000-0000-000009550000}"/>
    <cellStyle name="Output 2 5 3 2 2 2 2" xfId="17189" xr:uid="{00000000-0005-0000-0000-00000A550000}"/>
    <cellStyle name="Output 2 5 3 2 2 2 2 2" xfId="32021" xr:uid="{00000000-0005-0000-0000-00000B550000}"/>
    <cellStyle name="Output 2 5 3 2 2 2 3" xfId="19035" xr:uid="{00000000-0005-0000-0000-00000C550000}"/>
    <cellStyle name="Output 2 5 3 2 2 3" xfId="13775" xr:uid="{00000000-0005-0000-0000-00000D550000}"/>
    <cellStyle name="Output 2 5 3 2 2 3 2" xfId="28607" xr:uid="{00000000-0005-0000-0000-00000E550000}"/>
    <cellStyle name="Output 2 5 3 2 2 4" xfId="10808" xr:uid="{00000000-0005-0000-0000-00000F550000}"/>
    <cellStyle name="Output 2 5 3 2 2 4 2" xfId="25640" xr:uid="{00000000-0005-0000-0000-000010550000}"/>
    <cellStyle name="Output 2 5 3 2 3" xfId="4989" xr:uid="{00000000-0005-0000-0000-000011550000}"/>
    <cellStyle name="Output 2 5 3 2 3 2" xfId="9028" xr:uid="{00000000-0005-0000-0000-000012550000}"/>
    <cellStyle name="Output 2 5 3 2 3 2 2" xfId="17966" xr:uid="{00000000-0005-0000-0000-000013550000}"/>
    <cellStyle name="Output 2 5 3 2 3 2 2 2" xfId="32798" xr:uid="{00000000-0005-0000-0000-000014550000}"/>
    <cellStyle name="Output 2 5 3 2 3 2 3" xfId="19550" xr:uid="{00000000-0005-0000-0000-000015550000}"/>
    <cellStyle name="Output 2 5 3 2 3 3" xfId="15311" xr:uid="{00000000-0005-0000-0000-000016550000}"/>
    <cellStyle name="Output 2 5 3 2 3 3 2" xfId="30143" xr:uid="{00000000-0005-0000-0000-000017550000}"/>
    <cellStyle name="Output 2 5 3 2 3 4" xfId="11567" xr:uid="{00000000-0005-0000-0000-000018550000}"/>
    <cellStyle name="Output 2 5 3 2 3 4 2" xfId="26399" xr:uid="{00000000-0005-0000-0000-000019550000}"/>
    <cellStyle name="Output 2 5 3 2 4" xfId="2979" xr:uid="{00000000-0005-0000-0000-00001A550000}"/>
    <cellStyle name="Output 2 5 3 2 4 2" xfId="7059" xr:uid="{00000000-0005-0000-0000-00001B550000}"/>
    <cellStyle name="Output 2 5 3 2 4 2 2" xfId="16858" xr:uid="{00000000-0005-0000-0000-00001C550000}"/>
    <cellStyle name="Output 2 5 3 2 4 2 2 2" xfId="31690" xr:uid="{00000000-0005-0000-0000-00001D550000}"/>
    <cellStyle name="Output 2 5 3 2 4 2 3" xfId="18842" xr:uid="{00000000-0005-0000-0000-00001E550000}"/>
    <cellStyle name="Output 2 5 3 2 4 3" xfId="13317" xr:uid="{00000000-0005-0000-0000-00001F550000}"/>
    <cellStyle name="Output 2 5 3 2 4 3 2" xfId="28149" xr:uid="{00000000-0005-0000-0000-000020550000}"/>
    <cellStyle name="Output 2 5 3 2 4 4" xfId="10513" xr:uid="{00000000-0005-0000-0000-000021550000}"/>
    <cellStyle name="Output 2 5 3 2 4 4 2" xfId="25345" xr:uid="{00000000-0005-0000-0000-000022550000}"/>
    <cellStyle name="Output 2 5 3 2 5" xfId="6151" xr:uid="{00000000-0005-0000-0000-000023550000}"/>
    <cellStyle name="Output 2 5 3 2 5 2" xfId="16338" xr:uid="{00000000-0005-0000-0000-000024550000}"/>
    <cellStyle name="Output 2 5 3 2 5 2 2" xfId="31170" xr:uid="{00000000-0005-0000-0000-000025550000}"/>
    <cellStyle name="Output 2 5 3 2 5 3" xfId="18483" xr:uid="{00000000-0005-0000-0000-000026550000}"/>
    <cellStyle name="Output 2 5 3 2 6" xfId="12408" xr:uid="{00000000-0005-0000-0000-000027550000}"/>
    <cellStyle name="Output 2 5 3 2 6 2" xfId="27240" xr:uid="{00000000-0005-0000-0000-000028550000}"/>
    <cellStyle name="Output 2 5 3 2 7" xfId="9990" xr:uid="{00000000-0005-0000-0000-000029550000}"/>
    <cellStyle name="Output 2 5 3 2 7 2" xfId="24822" xr:uid="{00000000-0005-0000-0000-00002A550000}"/>
    <cellStyle name="Output 2 5 3 3" xfId="3201" xr:uid="{00000000-0005-0000-0000-00002B550000}"/>
    <cellStyle name="Output 2 5 3 3 2" xfId="7265" xr:uid="{00000000-0005-0000-0000-00002C550000}"/>
    <cellStyle name="Output 2 5 3 3 2 2" xfId="17032" xr:uid="{00000000-0005-0000-0000-00002D550000}"/>
    <cellStyle name="Output 2 5 3 3 2 2 2" xfId="31864" xr:uid="{00000000-0005-0000-0000-00002E550000}"/>
    <cellStyle name="Output 2 5 3 3 2 3" xfId="18960" xr:uid="{00000000-0005-0000-0000-00002F550000}"/>
    <cellStyle name="Output 2 5 3 3 3" xfId="13539" xr:uid="{00000000-0005-0000-0000-000030550000}"/>
    <cellStyle name="Output 2 5 3 3 3 2" xfId="28371" xr:uid="{00000000-0005-0000-0000-000031550000}"/>
    <cellStyle name="Output 2 5 3 3 4" xfId="10676" xr:uid="{00000000-0005-0000-0000-000032550000}"/>
    <cellStyle name="Output 2 5 3 3 4 2" xfId="25508" xr:uid="{00000000-0005-0000-0000-000033550000}"/>
    <cellStyle name="Output 2 5 3 4" xfId="4569" xr:uid="{00000000-0005-0000-0000-000034550000}"/>
    <cellStyle name="Output 2 5 3 4 2" xfId="8608" xr:uid="{00000000-0005-0000-0000-000035550000}"/>
    <cellStyle name="Output 2 5 3 4 2 2" xfId="17726" xr:uid="{00000000-0005-0000-0000-000036550000}"/>
    <cellStyle name="Output 2 5 3 4 2 2 2" xfId="32558" xr:uid="{00000000-0005-0000-0000-000037550000}"/>
    <cellStyle name="Output 2 5 3 4 2 3" xfId="19390" xr:uid="{00000000-0005-0000-0000-000038550000}"/>
    <cellStyle name="Output 2 5 3 4 3" xfId="14896" xr:uid="{00000000-0005-0000-0000-000039550000}"/>
    <cellStyle name="Output 2 5 3 4 3 2" xfId="29728" xr:uid="{00000000-0005-0000-0000-00003A550000}"/>
    <cellStyle name="Output 2 5 3 4 4" xfId="11332" xr:uid="{00000000-0005-0000-0000-00003B550000}"/>
    <cellStyle name="Output 2 5 3 4 4 2" xfId="26164" xr:uid="{00000000-0005-0000-0000-00003C550000}"/>
    <cellStyle name="Output 2 5 3 5" xfId="2559" xr:uid="{00000000-0005-0000-0000-00003D550000}"/>
    <cellStyle name="Output 2 5 3 5 2" xfId="6665" xr:uid="{00000000-0005-0000-0000-00003E550000}"/>
    <cellStyle name="Output 2 5 3 5 2 2" xfId="16623" xr:uid="{00000000-0005-0000-0000-00003F550000}"/>
    <cellStyle name="Output 2 5 3 5 2 2 2" xfId="31455" xr:uid="{00000000-0005-0000-0000-000040550000}"/>
    <cellStyle name="Output 2 5 3 5 2 3" xfId="18678" xr:uid="{00000000-0005-0000-0000-000041550000}"/>
    <cellStyle name="Output 2 5 3 5 3" xfId="12897" xr:uid="{00000000-0005-0000-0000-000042550000}"/>
    <cellStyle name="Output 2 5 3 5 3 2" xfId="27729" xr:uid="{00000000-0005-0000-0000-000043550000}"/>
    <cellStyle name="Output 2 5 3 5 4" xfId="10273" xr:uid="{00000000-0005-0000-0000-000044550000}"/>
    <cellStyle name="Output 2 5 3 5 4 2" xfId="25105" xr:uid="{00000000-0005-0000-0000-000045550000}"/>
    <cellStyle name="Output 2 5 3 6" xfId="5682" xr:uid="{00000000-0005-0000-0000-000046550000}"/>
    <cellStyle name="Output 2 5 3 6 2" xfId="15917" xr:uid="{00000000-0005-0000-0000-000047550000}"/>
    <cellStyle name="Output 2 5 3 6 2 2" xfId="30749" xr:uid="{00000000-0005-0000-0000-000048550000}"/>
    <cellStyle name="Output 2 5 3 6 3" xfId="18320" xr:uid="{00000000-0005-0000-0000-000049550000}"/>
    <cellStyle name="Output 2 5 3 7" xfId="11937" xr:uid="{00000000-0005-0000-0000-00004A550000}"/>
    <cellStyle name="Output 2 5 3 7 2" xfId="26769" xr:uid="{00000000-0005-0000-0000-00004B550000}"/>
    <cellStyle name="Output 2 5 3 8" xfId="9595" xr:uid="{00000000-0005-0000-0000-00004C550000}"/>
    <cellStyle name="Output 2 5 3 8 2" xfId="19897" xr:uid="{00000000-0005-0000-0000-00004D550000}"/>
    <cellStyle name="Output 2 5 4" xfId="1579" xr:uid="{00000000-0005-0000-0000-00004E550000}"/>
    <cellStyle name="Output 2 5 4 2" xfId="2076" xr:uid="{00000000-0005-0000-0000-00004F550000}"/>
    <cellStyle name="Output 2 5 4 2 2" xfId="4061" xr:uid="{00000000-0005-0000-0000-000050550000}"/>
    <cellStyle name="Output 2 5 4 2 2 2" xfId="8108" xr:uid="{00000000-0005-0000-0000-000051550000}"/>
    <cellStyle name="Output 2 5 4 2 2 2 2" xfId="17498" xr:uid="{00000000-0005-0000-0000-000052550000}"/>
    <cellStyle name="Output 2 5 4 2 2 2 2 2" xfId="32330" xr:uid="{00000000-0005-0000-0000-000053550000}"/>
    <cellStyle name="Output 2 5 4 2 2 2 3" xfId="19251" xr:uid="{00000000-0005-0000-0000-000054550000}"/>
    <cellStyle name="Output 2 5 4 2 2 3" xfId="14393" xr:uid="{00000000-0005-0000-0000-000055550000}"/>
    <cellStyle name="Output 2 5 4 2 2 3 2" xfId="29225" xr:uid="{00000000-0005-0000-0000-000056550000}"/>
    <cellStyle name="Output 2 5 4 2 2 4" xfId="11114" xr:uid="{00000000-0005-0000-0000-000057550000}"/>
    <cellStyle name="Output 2 5 4 2 2 4 2" xfId="25946" xr:uid="{00000000-0005-0000-0000-000058550000}"/>
    <cellStyle name="Output 2 5 4 2 3" xfId="5044" xr:uid="{00000000-0005-0000-0000-000059550000}"/>
    <cellStyle name="Output 2 5 4 2 3 2" xfId="9083" xr:uid="{00000000-0005-0000-0000-00005A550000}"/>
    <cellStyle name="Output 2 5 4 2 3 2 2" xfId="18016" xr:uid="{00000000-0005-0000-0000-00005B550000}"/>
    <cellStyle name="Output 2 5 4 2 3 2 2 2" xfId="32848" xr:uid="{00000000-0005-0000-0000-00005C550000}"/>
    <cellStyle name="Output 2 5 4 2 3 2 3" xfId="19582" xr:uid="{00000000-0005-0000-0000-00005D550000}"/>
    <cellStyle name="Output 2 5 4 2 3 3" xfId="15365" xr:uid="{00000000-0005-0000-0000-00005E550000}"/>
    <cellStyle name="Output 2 5 4 2 3 3 2" xfId="30197" xr:uid="{00000000-0005-0000-0000-00005F550000}"/>
    <cellStyle name="Output 2 5 4 2 3 4" xfId="11616" xr:uid="{00000000-0005-0000-0000-000060550000}"/>
    <cellStyle name="Output 2 5 4 2 3 4 2" xfId="26448" xr:uid="{00000000-0005-0000-0000-000061550000}"/>
    <cellStyle name="Output 2 5 4 2 4" xfId="3034" xr:uid="{00000000-0005-0000-0000-000062550000}"/>
    <cellStyle name="Output 2 5 4 2 4 2" xfId="7109" xr:uid="{00000000-0005-0000-0000-000063550000}"/>
    <cellStyle name="Output 2 5 4 2 4 2 2" xfId="16907" xr:uid="{00000000-0005-0000-0000-000064550000}"/>
    <cellStyle name="Output 2 5 4 2 4 2 2 2" xfId="31739" xr:uid="{00000000-0005-0000-0000-000065550000}"/>
    <cellStyle name="Output 2 5 4 2 4 2 3" xfId="18875" xr:uid="{00000000-0005-0000-0000-000066550000}"/>
    <cellStyle name="Output 2 5 4 2 4 3" xfId="13372" xr:uid="{00000000-0005-0000-0000-000067550000}"/>
    <cellStyle name="Output 2 5 4 2 4 3 2" xfId="28204" xr:uid="{00000000-0005-0000-0000-000068550000}"/>
    <cellStyle name="Output 2 5 4 2 4 4" xfId="10563" xr:uid="{00000000-0005-0000-0000-000069550000}"/>
    <cellStyle name="Output 2 5 4 2 4 4 2" xfId="25395" xr:uid="{00000000-0005-0000-0000-00006A550000}"/>
    <cellStyle name="Output 2 5 4 2 5" xfId="6201" xr:uid="{00000000-0005-0000-0000-00006B550000}"/>
    <cellStyle name="Output 2 5 4 2 5 2" xfId="16387" xr:uid="{00000000-0005-0000-0000-00006C550000}"/>
    <cellStyle name="Output 2 5 4 2 5 2 2" xfId="31219" xr:uid="{00000000-0005-0000-0000-00006D550000}"/>
    <cellStyle name="Output 2 5 4 2 5 3" xfId="18516" xr:uid="{00000000-0005-0000-0000-00006E550000}"/>
    <cellStyle name="Output 2 5 4 2 6" xfId="12457" xr:uid="{00000000-0005-0000-0000-00006F550000}"/>
    <cellStyle name="Output 2 5 4 2 6 2" xfId="27289" xr:uid="{00000000-0005-0000-0000-000070550000}"/>
    <cellStyle name="Output 2 5 4 2 7" xfId="10039" xr:uid="{00000000-0005-0000-0000-000071550000}"/>
    <cellStyle name="Output 2 5 4 2 7 2" xfId="24871" xr:uid="{00000000-0005-0000-0000-000072550000}"/>
    <cellStyle name="Output 2 5 4 3" xfId="3426" xr:uid="{00000000-0005-0000-0000-000073550000}"/>
    <cellStyle name="Output 2 5 4 3 2" xfId="7489" xr:uid="{00000000-0005-0000-0000-000074550000}"/>
    <cellStyle name="Output 2 5 4 3 2 2" xfId="17184" xr:uid="{00000000-0005-0000-0000-000075550000}"/>
    <cellStyle name="Output 2 5 4 3 2 2 2" xfId="32016" xr:uid="{00000000-0005-0000-0000-000076550000}"/>
    <cellStyle name="Output 2 5 4 3 2 3" xfId="19032" xr:uid="{00000000-0005-0000-0000-000077550000}"/>
    <cellStyle name="Output 2 5 4 3 3" xfId="13763" xr:uid="{00000000-0005-0000-0000-000078550000}"/>
    <cellStyle name="Output 2 5 4 3 3 2" xfId="28595" xr:uid="{00000000-0005-0000-0000-000079550000}"/>
    <cellStyle name="Output 2 5 4 3 4" xfId="10803" xr:uid="{00000000-0005-0000-0000-00007A550000}"/>
    <cellStyle name="Output 2 5 4 3 4 2" xfId="25635" xr:uid="{00000000-0005-0000-0000-00007B550000}"/>
    <cellStyle name="Output 2 5 4 4" xfId="4624" xr:uid="{00000000-0005-0000-0000-00007C550000}"/>
    <cellStyle name="Output 2 5 4 4 2" xfId="8663" xr:uid="{00000000-0005-0000-0000-00007D550000}"/>
    <cellStyle name="Output 2 5 4 4 2 2" xfId="17776" xr:uid="{00000000-0005-0000-0000-00007E550000}"/>
    <cellStyle name="Output 2 5 4 4 2 2 2" xfId="32608" xr:uid="{00000000-0005-0000-0000-00007F550000}"/>
    <cellStyle name="Output 2 5 4 4 2 3" xfId="19422" xr:uid="{00000000-0005-0000-0000-000080550000}"/>
    <cellStyle name="Output 2 5 4 4 3" xfId="14950" xr:uid="{00000000-0005-0000-0000-000081550000}"/>
    <cellStyle name="Output 2 5 4 4 3 2" xfId="29782" xr:uid="{00000000-0005-0000-0000-000082550000}"/>
    <cellStyle name="Output 2 5 4 4 4" xfId="11381" xr:uid="{00000000-0005-0000-0000-000083550000}"/>
    <cellStyle name="Output 2 5 4 4 4 2" xfId="26213" xr:uid="{00000000-0005-0000-0000-000084550000}"/>
    <cellStyle name="Output 2 5 4 5" xfId="2614" xr:uid="{00000000-0005-0000-0000-000085550000}"/>
    <cellStyle name="Output 2 5 4 5 2" xfId="6715" xr:uid="{00000000-0005-0000-0000-000086550000}"/>
    <cellStyle name="Output 2 5 4 5 2 2" xfId="16672" xr:uid="{00000000-0005-0000-0000-000087550000}"/>
    <cellStyle name="Output 2 5 4 5 2 2 2" xfId="31504" xr:uid="{00000000-0005-0000-0000-000088550000}"/>
    <cellStyle name="Output 2 5 4 5 2 3" xfId="18711" xr:uid="{00000000-0005-0000-0000-000089550000}"/>
    <cellStyle name="Output 2 5 4 5 3" xfId="12952" xr:uid="{00000000-0005-0000-0000-00008A550000}"/>
    <cellStyle name="Output 2 5 4 5 3 2" xfId="27784" xr:uid="{00000000-0005-0000-0000-00008B550000}"/>
    <cellStyle name="Output 2 5 4 5 4" xfId="10323" xr:uid="{00000000-0005-0000-0000-00008C550000}"/>
    <cellStyle name="Output 2 5 4 5 4 2" xfId="25155" xr:uid="{00000000-0005-0000-0000-00008D550000}"/>
    <cellStyle name="Output 2 5 4 6" xfId="5731" xr:uid="{00000000-0005-0000-0000-00008E550000}"/>
    <cellStyle name="Output 2 5 4 6 2" xfId="15966" xr:uid="{00000000-0005-0000-0000-00008F550000}"/>
    <cellStyle name="Output 2 5 4 6 2 2" xfId="30798" xr:uid="{00000000-0005-0000-0000-000090550000}"/>
    <cellStyle name="Output 2 5 4 6 3" xfId="18352" xr:uid="{00000000-0005-0000-0000-000091550000}"/>
    <cellStyle name="Output 2 5 4 7" xfId="11986" xr:uid="{00000000-0005-0000-0000-000092550000}"/>
    <cellStyle name="Output 2 5 4 7 2" xfId="26818" xr:uid="{00000000-0005-0000-0000-000093550000}"/>
    <cellStyle name="Output 2 5 4 8" xfId="9645" xr:uid="{00000000-0005-0000-0000-000094550000}"/>
    <cellStyle name="Output 2 5 4 8 2" xfId="19946" xr:uid="{00000000-0005-0000-0000-000095550000}"/>
    <cellStyle name="Output 2 5 5" xfId="1629" xr:uid="{00000000-0005-0000-0000-000096550000}"/>
    <cellStyle name="Output 2 5 5 2" xfId="2126" xr:uid="{00000000-0005-0000-0000-000097550000}"/>
    <cellStyle name="Output 2 5 5 2 2" xfId="3629" xr:uid="{00000000-0005-0000-0000-000098550000}"/>
    <cellStyle name="Output 2 5 5 2 2 2" xfId="7688" xr:uid="{00000000-0005-0000-0000-000099550000}"/>
    <cellStyle name="Output 2 5 5 2 2 2 2" xfId="17289" xr:uid="{00000000-0005-0000-0000-00009A550000}"/>
    <cellStyle name="Output 2 5 5 2 2 2 2 2" xfId="32121" xr:uid="{00000000-0005-0000-0000-00009B550000}"/>
    <cellStyle name="Output 2 5 5 2 2 2 3" xfId="19103" xr:uid="{00000000-0005-0000-0000-00009C550000}"/>
    <cellStyle name="Output 2 5 5 2 2 3" xfId="13964" xr:uid="{00000000-0005-0000-0000-00009D550000}"/>
    <cellStyle name="Output 2 5 5 2 2 3 2" xfId="28796" xr:uid="{00000000-0005-0000-0000-00009E550000}"/>
    <cellStyle name="Output 2 5 5 2 2 4" xfId="10905" xr:uid="{00000000-0005-0000-0000-00009F550000}"/>
    <cellStyle name="Output 2 5 5 2 2 4 2" xfId="25737" xr:uid="{00000000-0005-0000-0000-0000A0550000}"/>
    <cellStyle name="Output 2 5 5 2 3" xfId="5094" xr:uid="{00000000-0005-0000-0000-0000A1550000}"/>
    <cellStyle name="Output 2 5 5 2 3 2" xfId="9133" xr:uid="{00000000-0005-0000-0000-0000A2550000}"/>
    <cellStyle name="Output 2 5 5 2 3 2 2" xfId="18061" xr:uid="{00000000-0005-0000-0000-0000A3550000}"/>
    <cellStyle name="Output 2 5 5 2 3 2 2 2" xfId="32893" xr:uid="{00000000-0005-0000-0000-0000A4550000}"/>
    <cellStyle name="Output 2 5 5 2 3 2 3" xfId="19614" xr:uid="{00000000-0005-0000-0000-0000A5550000}"/>
    <cellStyle name="Output 2 5 5 2 3 3" xfId="15414" xr:uid="{00000000-0005-0000-0000-0000A6550000}"/>
    <cellStyle name="Output 2 5 5 2 3 3 2" xfId="30246" xr:uid="{00000000-0005-0000-0000-0000A7550000}"/>
    <cellStyle name="Output 2 5 5 2 3 4" xfId="11660" xr:uid="{00000000-0005-0000-0000-0000A8550000}"/>
    <cellStyle name="Output 2 5 5 2 3 4 2" xfId="26492" xr:uid="{00000000-0005-0000-0000-0000A9550000}"/>
    <cellStyle name="Output 2 5 5 2 4" xfId="3084" xr:uid="{00000000-0005-0000-0000-0000AA550000}"/>
    <cellStyle name="Output 2 5 5 2 4 2" xfId="7154" xr:uid="{00000000-0005-0000-0000-0000AB550000}"/>
    <cellStyle name="Output 2 5 5 2 4 2 2" xfId="16951" xr:uid="{00000000-0005-0000-0000-0000AC550000}"/>
    <cellStyle name="Output 2 5 5 2 4 2 2 2" xfId="31783" xr:uid="{00000000-0005-0000-0000-0000AD550000}"/>
    <cellStyle name="Output 2 5 5 2 4 2 3" xfId="18908" xr:uid="{00000000-0005-0000-0000-0000AE550000}"/>
    <cellStyle name="Output 2 5 5 2 4 3" xfId="13422" xr:uid="{00000000-0005-0000-0000-0000AF550000}"/>
    <cellStyle name="Output 2 5 5 2 4 3 2" xfId="28254" xr:uid="{00000000-0005-0000-0000-0000B0550000}"/>
    <cellStyle name="Output 2 5 5 2 4 4" xfId="10608" xr:uid="{00000000-0005-0000-0000-0000B1550000}"/>
    <cellStyle name="Output 2 5 5 2 4 4 2" xfId="25440" xr:uid="{00000000-0005-0000-0000-0000B2550000}"/>
    <cellStyle name="Output 2 5 5 2 5" xfId="6246" xr:uid="{00000000-0005-0000-0000-0000B3550000}"/>
    <cellStyle name="Output 2 5 5 2 5 2" xfId="16431" xr:uid="{00000000-0005-0000-0000-0000B4550000}"/>
    <cellStyle name="Output 2 5 5 2 5 2 2" xfId="31263" xr:uid="{00000000-0005-0000-0000-0000B5550000}"/>
    <cellStyle name="Output 2 5 5 2 5 3" xfId="18549" xr:uid="{00000000-0005-0000-0000-0000B6550000}"/>
    <cellStyle name="Output 2 5 5 2 6" xfId="12501" xr:uid="{00000000-0005-0000-0000-0000B7550000}"/>
    <cellStyle name="Output 2 5 5 2 6 2" xfId="27333" xr:uid="{00000000-0005-0000-0000-0000B8550000}"/>
    <cellStyle name="Output 2 5 5 2 7" xfId="10083" xr:uid="{00000000-0005-0000-0000-0000B9550000}"/>
    <cellStyle name="Output 2 5 5 2 7 2" xfId="24915" xr:uid="{00000000-0005-0000-0000-0000BA550000}"/>
    <cellStyle name="Output 2 5 5 3" xfId="4133" xr:uid="{00000000-0005-0000-0000-0000BB550000}"/>
    <cellStyle name="Output 2 5 5 3 2" xfId="8177" xr:uid="{00000000-0005-0000-0000-0000BC550000}"/>
    <cellStyle name="Output 2 5 5 3 2 2" xfId="17535" xr:uid="{00000000-0005-0000-0000-0000BD550000}"/>
    <cellStyle name="Output 2 5 5 3 2 2 2" xfId="32367" xr:uid="{00000000-0005-0000-0000-0000BE550000}"/>
    <cellStyle name="Output 2 5 5 3 2 3" xfId="19279" xr:uid="{00000000-0005-0000-0000-0000BF550000}"/>
    <cellStyle name="Output 2 5 5 3 3" xfId="14465" xr:uid="{00000000-0005-0000-0000-0000C0550000}"/>
    <cellStyle name="Output 2 5 5 3 3 2" xfId="29297" xr:uid="{00000000-0005-0000-0000-0000C1550000}"/>
    <cellStyle name="Output 2 5 5 3 4" xfId="11153" xr:uid="{00000000-0005-0000-0000-0000C2550000}"/>
    <cellStyle name="Output 2 5 5 3 4 2" xfId="25985" xr:uid="{00000000-0005-0000-0000-0000C3550000}"/>
    <cellStyle name="Output 2 5 5 4" xfId="4674" xr:uid="{00000000-0005-0000-0000-0000C4550000}"/>
    <cellStyle name="Output 2 5 5 4 2" xfId="8713" xr:uid="{00000000-0005-0000-0000-0000C5550000}"/>
    <cellStyle name="Output 2 5 5 4 2 2" xfId="17821" xr:uid="{00000000-0005-0000-0000-0000C6550000}"/>
    <cellStyle name="Output 2 5 5 4 2 2 2" xfId="32653" xr:uid="{00000000-0005-0000-0000-0000C7550000}"/>
    <cellStyle name="Output 2 5 5 4 2 3" xfId="19454" xr:uid="{00000000-0005-0000-0000-0000C8550000}"/>
    <cellStyle name="Output 2 5 5 4 3" xfId="14999" xr:uid="{00000000-0005-0000-0000-0000C9550000}"/>
    <cellStyle name="Output 2 5 5 4 3 2" xfId="29831" xr:uid="{00000000-0005-0000-0000-0000CA550000}"/>
    <cellStyle name="Output 2 5 5 4 4" xfId="11425" xr:uid="{00000000-0005-0000-0000-0000CB550000}"/>
    <cellStyle name="Output 2 5 5 4 4 2" xfId="26257" xr:uid="{00000000-0005-0000-0000-0000CC550000}"/>
    <cellStyle name="Output 2 5 5 5" xfId="2664" xr:uid="{00000000-0005-0000-0000-0000CD550000}"/>
    <cellStyle name="Output 2 5 5 5 2" xfId="6760" xr:uid="{00000000-0005-0000-0000-0000CE550000}"/>
    <cellStyle name="Output 2 5 5 5 2 2" xfId="16716" xr:uid="{00000000-0005-0000-0000-0000CF550000}"/>
    <cellStyle name="Output 2 5 5 5 2 2 2" xfId="31548" xr:uid="{00000000-0005-0000-0000-0000D0550000}"/>
    <cellStyle name="Output 2 5 5 5 2 3" xfId="18744" xr:uid="{00000000-0005-0000-0000-0000D1550000}"/>
    <cellStyle name="Output 2 5 5 5 3" xfId="13002" xr:uid="{00000000-0005-0000-0000-0000D2550000}"/>
    <cellStyle name="Output 2 5 5 5 3 2" xfId="27834" xr:uid="{00000000-0005-0000-0000-0000D3550000}"/>
    <cellStyle name="Output 2 5 5 5 4" xfId="10368" xr:uid="{00000000-0005-0000-0000-0000D4550000}"/>
    <cellStyle name="Output 2 5 5 5 4 2" xfId="25200" xr:uid="{00000000-0005-0000-0000-0000D5550000}"/>
    <cellStyle name="Output 2 5 5 6" xfId="5776" xr:uid="{00000000-0005-0000-0000-0000D6550000}"/>
    <cellStyle name="Output 2 5 5 6 2" xfId="16010" xr:uid="{00000000-0005-0000-0000-0000D7550000}"/>
    <cellStyle name="Output 2 5 5 6 2 2" xfId="30842" xr:uid="{00000000-0005-0000-0000-0000D8550000}"/>
    <cellStyle name="Output 2 5 5 6 3" xfId="18385" xr:uid="{00000000-0005-0000-0000-0000D9550000}"/>
    <cellStyle name="Output 2 5 5 7" xfId="12030" xr:uid="{00000000-0005-0000-0000-0000DA550000}"/>
    <cellStyle name="Output 2 5 5 7 2" xfId="26862" xr:uid="{00000000-0005-0000-0000-0000DB550000}"/>
    <cellStyle name="Output 2 5 5 8" xfId="9690" xr:uid="{00000000-0005-0000-0000-0000DC550000}"/>
    <cellStyle name="Output 2 5 5 8 2" xfId="19990" xr:uid="{00000000-0005-0000-0000-0000DD550000}"/>
    <cellStyle name="Output 2 5 6" xfId="1780" xr:uid="{00000000-0005-0000-0000-0000DE550000}"/>
    <cellStyle name="Output 2 5 6 2" xfId="3826" xr:uid="{00000000-0005-0000-0000-0000DF550000}"/>
    <cellStyle name="Output 2 5 6 2 2" xfId="7879" xr:uid="{00000000-0005-0000-0000-0000E0550000}"/>
    <cellStyle name="Output 2 5 6 2 2 2" xfId="17383" xr:uid="{00000000-0005-0000-0000-0000E1550000}"/>
    <cellStyle name="Output 2 5 6 2 2 2 2" xfId="32215" xr:uid="{00000000-0005-0000-0000-0000E2550000}"/>
    <cellStyle name="Output 2 5 6 2 2 3" xfId="19167" xr:uid="{00000000-0005-0000-0000-0000E3550000}"/>
    <cellStyle name="Output 2 5 6 2 3" xfId="14161" xr:uid="{00000000-0005-0000-0000-0000E4550000}"/>
    <cellStyle name="Output 2 5 6 2 3 2" xfId="28993" xr:uid="{00000000-0005-0000-0000-0000E5550000}"/>
    <cellStyle name="Output 2 5 6 2 4" xfId="11002" xr:uid="{00000000-0005-0000-0000-0000E6550000}"/>
    <cellStyle name="Output 2 5 6 2 4 2" xfId="25834" xr:uid="{00000000-0005-0000-0000-0000E7550000}"/>
    <cellStyle name="Output 2 5 6 3" xfId="4758" xr:uid="{00000000-0005-0000-0000-0000E8550000}"/>
    <cellStyle name="Output 2 5 6 3 2" xfId="8797" xr:uid="{00000000-0005-0000-0000-0000E9550000}"/>
    <cellStyle name="Output 2 5 6 3 2 2" xfId="17869" xr:uid="{00000000-0005-0000-0000-0000EA550000}"/>
    <cellStyle name="Output 2 5 6 3 2 2 2" xfId="32701" xr:uid="{00000000-0005-0000-0000-0000EB550000}"/>
    <cellStyle name="Output 2 5 6 3 2 3" xfId="19486" xr:uid="{00000000-0005-0000-0000-0000EC550000}"/>
    <cellStyle name="Output 2 5 6 3 3" xfId="15082" xr:uid="{00000000-0005-0000-0000-0000ED550000}"/>
    <cellStyle name="Output 2 5 6 3 3 2" xfId="29914" xr:uid="{00000000-0005-0000-0000-0000EE550000}"/>
    <cellStyle name="Output 2 5 6 3 4" xfId="11472" xr:uid="{00000000-0005-0000-0000-0000EF550000}"/>
    <cellStyle name="Output 2 5 6 3 4 2" xfId="26304" xr:uid="{00000000-0005-0000-0000-0000F0550000}"/>
    <cellStyle name="Output 2 5 6 4" xfId="2748" xr:uid="{00000000-0005-0000-0000-0000F1550000}"/>
    <cellStyle name="Output 2 5 6 4 2" xfId="6839" xr:uid="{00000000-0005-0000-0000-0000F2550000}"/>
    <cellStyle name="Output 2 5 6 4 2 2" xfId="16763" xr:uid="{00000000-0005-0000-0000-0000F3550000}"/>
    <cellStyle name="Output 2 5 6 4 2 2 2" xfId="31595" xr:uid="{00000000-0005-0000-0000-0000F4550000}"/>
    <cellStyle name="Output 2 5 6 4 2 3" xfId="18777" xr:uid="{00000000-0005-0000-0000-0000F5550000}"/>
    <cellStyle name="Output 2 5 6 4 3" xfId="13086" xr:uid="{00000000-0005-0000-0000-0000F6550000}"/>
    <cellStyle name="Output 2 5 6 4 3 2" xfId="27918" xr:uid="{00000000-0005-0000-0000-0000F7550000}"/>
    <cellStyle name="Output 2 5 6 4 4" xfId="10416" xr:uid="{00000000-0005-0000-0000-0000F8550000}"/>
    <cellStyle name="Output 2 5 6 4 4 2" xfId="25248" xr:uid="{00000000-0005-0000-0000-0000F9550000}"/>
    <cellStyle name="Output 2 5 6 5" xfId="5912" xr:uid="{00000000-0005-0000-0000-0000FA550000}"/>
    <cellStyle name="Output 2 5 6 5 2" xfId="16104" xr:uid="{00000000-0005-0000-0000-0000FB550000}"/>
    <cellStyle name="Output 2 5 6 5 2 2" xfId="30936" xr:uid="{00000000-0005-0000-0000-0000FC550000}"/>
    <cellStyle name="Output 2 5 6 5 3" xfId="18419" xr:uid="{00000000-0005-0000-0000-0000FD550000}"/>
    <cellStyle name="Output 2 5 6 6" xfId="12174" xr:uid="{00000000-0005-0000-0000-0000FE550000}"/>
    <cellStyle name="Output 2 5 6 6 2" xfId="27006" xr:uid="{00000000-0005-0000-0000-0000FF550000}"/>
    <cellStyle name="Output 2 5 6 7" xfId="9770" xr:uid="{00000000-0005-0000-0000-000000560000}"/>
    <cellStyle name="Output 2 5 6 7 2" xfId="24727" xr:uid="{00000000-0005-0000-0000-000001560000}"/>
    <cellStyle name="Output 2 5 7" xfId="2186" xr:uid="{00000000-0005-0000-0000-000002560000}"/>
    <cellStyle name="Output 2 5 7 2" xfId="4068" xr:uid="{00000000-0005-0000-0000-000003560000}"/>
    <cellStyle name="Output 2 5 7 2 2" xfId="8115" xr:uid="{00000000-0005-0000-0000-000004560000}"/>
    <cellStyle name="Output 2 5 7 2 2 2" xfId="17504" xr:uid="{00000000-0005-0000-0000-000005560000}"/>
    <cellStyle name="Output 2 5 7 2 2 2 2" xfId="32336" xr:uid="{00000000-0005-0000-0000-000006560000}"/>
    <cellStyle name="Output 2 5 7 2 2 3" xfId="19256" xr:uid="{00000000-0005-0000-0000-000007560000}"/>
    <cellStyle name="Output 2 5 7 2 3" xfId="14400" xr:uid="{00000000-0005-0000-0000-000008560000}"/>
    <cellStyle name="Output 2 5 7 2 3 2" xfId="29232" xr:uid="{00000000-0005-0000-0000-000009560000}"/>
    <cellStyle name="Output 2 5 7 2 4" xfId="11120" xr:uid="{00000000-0005-0000-0000-00000A560000}"/>
    <cellStyle name="Output 2 5 7 2 4 2" xfId="25952" xr:uid="{00000000-0005-0000-0000-00000B560000}"/>
    <cellStyle name="Output 2 5 7 3" xfId="5154" xr:uid="{00000000-0005-0000-0000-00000C560000}"/>
    <cellStyle name="Output 2 5 7 3 2" xfId="9193" xr:uid="{00000000-0005-0000-0000-00000D560000}"/>
    <cellStyle name="Output 2 5 7 3 2 2" xfId="18116" xr:uid="{00000000-0005-0000-0000-00000E560000}"/>
    <cellStyle name="Output 2 5 7 3 2 2 2" xfId="32948" xr:uid="{00000000-0005-0000-0000-00000F560000}"/>
    <cellStyle name="Output 2 5 7 3 2 3" xfId="19667" xr:uid="{00000000-0005-0000-0000-000010560000}"/>
    <cellStyle name="Output 2 5 7 3 3" xfId="15472" xr:uid="{00000000-0005-0000-0000-000011560000}"/>
    <cellStyle name="Output 2 5 7 3 3 2" xfId="30304" xr:uid="{00000000-0005-0000-0000-000012560000}"/>
    <cellStyle name="Output 2 5 7 3 4" xfId="11713" xr:uid="{00000000-0005-0000-0000-000013560000}"/>
    <cellStyle name="Output 2 5 7 3 4 2" xfId="26545" xr:uid="{00000000-0005-0000-0000-000014560000}"/>
    <cellStyle name="Output 2 5 7 4" xfId="4184" xr:uid="{00000000-0005-0000-0000-000015560000}"/>
    <cellStyle name="Output 2 5 7 4 2" xfId="8225" xr:uid="{00000000-0005-0000-0000-000016560000}"/>
    <cellStyle name="Output 2 5 7 4 2 2" xfId="17572" xr:uid="{00000000-0005-0000-0000-000017560000}"/>
    <cellStyle name="Output 2 5 7 4 2 2 2" xfId="32404" xr:uid="{00000000-0005-0000-0000-000018560000}"/>
    <cellStyle name="Output 2 5 7 4 2 3" xfId="19310" xr:uid="{00000000-0005-0000-0000-000019560000}"/>
    <cellStyle name="Output 2 5 7 4 3" xfId="14516" xr:uid="{00000000-0005-0000-0000-00001A560000}"/>
    <cellStyle name="Output 2 5 7 4 3 2" xfId="29348" xr:uid="{00000000-0005-0000-0000-00001B560000}"/>
    <cellStyle name="Output 2 5 7 4 4" xfId="11192" xr:uid="{00000000-0005-0000-0000-00001C560000}"/>
    <cellStyle name="Output 2 5 7 4 4 2" xfId="26024" xr:uid="{00000000-0005-0000-0000-00001D560000}"/>
    <cellStyle name="Output 2 5 7 5" xfId="6300" xr:uid="{00000000-0005-0000-0000-00001E560000}"/>
    <cellStyle name="Output 2 5 7 5 2" xfId="16484" xr:uid="{00000000-0005-0000-0000-00001F560000}"/>
    <cellStyle name="Output 2 5 7 5 2 2" xfId="31316" xr:uid="{00000000-0005-0000-0000-000020560000}"/>
    <cellStyle name="Output 2 5 7 5 3" xfId="18603" xr:uid="{00000000-0005-0000-0000-000021560000}"/>
    <cellStyle name="Output 2 5 7 6" xfId="12554" xr:uid="{00000000-0005-0000-0000-000022560000}"/>
    <cellStyle name="Output 2 5 7 6 2" xfId="27386" xr:uid="{00000000-0005-0000-0000-000023560000}"/>
    <cellStyle name="Output 2 5 7 7" xfId="10136" xr:uid="{00000000-0005-0000-0000-000024560000}"/>
    <cellStyle name="Output 2 5 7 7 2" xfId="24968" xr:uid="{00000000-0005-0000-0000-000025560000}"/>
    <cellStyle name="Output 2 5 8" xfId="3220" xr:uid="{00000000-0005-0000-0000-000026560000}"/>
    <cellStyle name="Output 2 5 8 2" xfId="7284" xr:uid="{00000000-0005-0000-0000-000027560000}"/>
    <cellStyle name="Output 2 5 8 2 2" xfId="17046" xr:uid="{00000000-0005-0000-0000-000028560000}"/>
    <cellStyle name="Output 2 5 8 2 2 2" xfId="31878" xr:uid="{00000000-0005-0000-0000-000029560000}"/>
    <cellStyle name="Output 2 5 8 2 3" xfId="18966" xr:uid="{00000000-0005-0000-0000-00002A560000}"/>
    <cellStyle name="Output 2 5 8 3" xfId="13558" xr:uid="{00000000-0005-0000-0000-00002B560000}"/>
    <cellStyle name="Output 2 5 8 3 2" xfId="28390" xr:uid="{00000000-0005-0000-0000-00002C560000}"/>
    <cellStyle name="Output 2 5 8 4" xfId="10687" xr:uid="{00000000-0005-0000-0000-00002D560000}"/>
    <cellStyle name="Output 2 5 8 4 2" xfId="25519" xr:uid="{00000000-0005-0000-0000-00002E560000}"/>
    <cellStyle name="Output 2 5 9" xfId="3351" xr:uid="{00000000-0005-0000-0000-00002F560000}"/>
    <cellStyle name="Output 2 5 9 2" xfId="7414" xr:uid="{00000000-0005-0000-0000-000030560000}"/>
    <cellStyle name="Output 2 5 9 2 2" xfId="17138" xr:uid="{00000000-0005-0000-0000-000031560000}"/>
    <cellStyle name="Output 2 5 9 2 2 2" xfId="31970" xr:uid="{00000000-0005-0000-0000-000032560000}"/>
    <cellStyle name="Output 2 5 9 2 3" xfId="19008" xr:uid="{00000000-0005-0000-0000-000033560000}"/>
    <cellStyle name="Output 2 5 9 3" xfId="13688" xr:uid="{00000000-0005-0000-0000-000034560000}"/>
    <cellStyle name="Output 2 5 9 3 2" xfId="28520" xr:uid="{00000000-0005-0000-0000-000035560000}"/>
    <cellStyle name="Output 2 5 9 4" xfId="10757" xr:uid="{00000000-0005-0000-0000-000036560000}"/>
    <cellStyle name="Output 2 5 9 4 2" xfId="25589" xr:uid="{00000000-0005-0000-0000-000037560000}"/>
    <cellStyle name="Output 2 6" xfId="1236" xr:uid="{00000000-0005-0000-0000-000038560000}"/>
    <cellStyle name="Output 2 6 10" xfId="2322" xr:uid="{00000000-0005-0000-0000-000039560000}"/>
    <cellStyle name="Output 2 6 10 2" xfId="6434" xr:uid="{00000000-0005-0000-0000-00003A560000}"/>
    <cellStyle name="Output 2 6 10 2 2" xfId="16527" xr:uid="{00000000-0005-0000-0000-00003B560000}"/>
    <cellStyle name="Output 2 6 10 2 2 2" xfId="31359" xr:uid="{00000000-0005-0000-0000-00003C560000}"/>
    <cellStyle name="Output 2 6 10 2 3" xfId="18615" xr:uid="{00000000-0005-0000-0000-00003D560000}"/>
    <cellStyle name="Output 2 6 10 3" xfId="12662" xr:uid="{00000000-0005-0000-0000-00003E560000}"/>
    <cellStyle name="Output 2 6 10 3 2" xfId="27494" xr:uid="{00000000-0005-0000-0000-00003F560000}"/>
    <cellStyle name="Output 2 6 10 4" xfId="10178" xr:uid="{00000000-0005-0000-0000-000040560000}"/>
    <cellStyle name="Output 2 6 10 4 2" xfId="25010" xr:uid="{00000000-0005-0000-0000-000041560000}"/>
    <cellStyle name="Output 2 6 11" xfId="5285" xr:uid="{00000000-0005-0000-0000-000042560000}"/>
    <cellStyle name="Output 2 6 11 2" xfId="9293" xr:uid="{00000000-0005-0000-0000-000043560000}"/>
    <cellStyle name="Output 2 6 11 2 2" xfId="18160" xr:uid="{00000000-0005-0000-0000-000044560000}"/>
    <cellStyle name="Output 2 6 11 2 2 2" xfId="32992" xr:uid="{00000000-0005-0000-0000-000045560000}"/>
    <cellStyle name="Output 2 6 11 2 3" xfId="19679" xr:uid="{00000000-0005-0000-0000-000046560000}"/>
    <cellStyle name="Output 2 6 11 3" xfId="15601" xr:uid="{00000000-0005-0000-0000-000047560000}"/>
    <cellStyle name="Output 2 6 11 3 2" xfId="30433" xr:uid="{00000000-0005-0000-0000-000048560000}"/>
    <cellStyle name="Output 2 6 12" xfId="5443" xr:uid="{00000000-0005-0000-0000-000049560000}"/>
    <cellStyle name="Output 2 6 12 2" xfId="15679" xr:uid="{00000000-0005-0000-0000-00004A560000}"/>
    <cellStyle name="Output 2 6 12 2 2" xfId="30511" xr:uid="{00000000-0005-0000-0000-00004B560000}"/>
    <cellStyle name="Output 2 6 12 3" xfId="18256" xr:uid="{00000000-0005-0000-0000-00004C560000}"/>
    <cellStyle name="Output 2 6 13" xfId="9348" xr:uid="{00000000-0005-0000-0000-00004D560000}"/>
    <cellStyle name="Output 2 6 13 2" xfId="24654" xr:uid="{00000000-0005-0000-0000-00004E560000}"/>
    <cellStyle name="Output 2 6 14" xfId="5337" xr:uid="{00000000-0005-0000-0000-00004F560000}"/>
    <cellStyle name="Output 2 6 14 2" xfId="18211" xr:uid="{00000000-0005-0000-0000-000050560000}"/>
    <cellStyle name="Output 2 6 2" xfId="1355" xr:uid="{00000000-0005-0000-0000-000051560000}"/>
    <cellStyle name="Output 2 6 2 2" xfId="1859" xr:uid="{00000000-0005-0000-0000-000052560000}"/>
    <cellStyle name="Output 2 6 2 2 2" xfId="3839" xr:uid="{00000000-0005-0000-0000-000053560000}"/>
    <cellStyle name="Output 2 6 2 2 2 2" xfId="7892" xr:uid="{00000000-0005-0000-0000-000054560000}"/>
    <cellStyle name="Output 2 6 2 2 2 2 2" xfId="17390" xr:uid="{00000000-0005-0000-0000-000055560000}"/>
    <cellStyle name="Output 2 6 2 2 2 2 2 2" xfId="32222" xr:uid="{00000000-0005-0000-0000-000056560000}"/>
    <cellStyle name="Output 2 6 2 2 2 2 3" xfId="19173" xr:uid="{00000000-0005-0000-0000-000057560000}"/>
    <cellStyle name="Output 2 6 2 2 2 3" xfId="14174" xr:uid="{00000000-0005-0000-0000-000058560000}"/>
    <cellStyle name="Output 2 6 2 2 2 3 2" xfId="29006" xr:uid="{00000000-0005-0000-0000-000059560000}"/>
    <cellStyle name="Output 2 6 2 2 2 4" xfId="11009" xr:uid="{00000000-0005-0000-0000-00005A560000}"/>
    <cellStyle name="Output 2 6 2 2 2 4 2" xfId="25841" xr:uid="{00000000-0005-0000-0000-00005B560000}"/>
    <cellStyle name="Output 2 6 2 2 3" xfId="4837" xr:uid="{00000000-0005-0000-0000-00005C560000}"/>
    <cellStyle name="Output 2 6 2 2 3 2" xfId="8876" xr:uid="{00000000-0005-0000-0000-00005D560000}"/>
    <cellStyle name="Output 2 6 2 2 3 2 2" xfId="17917" xr:uid="{00000000-0005-0000-0000-00005E560000}"/>
    <cellStyle name="Output 2 6 2 2 3 2 2 2" xfId="32749" xr:uid="{00000000-0005-0000-0000-00005F560000}"/>
    <cellStyle name="Output 2 6 2 2 3 2 3" xfId="19519" xr:uid="{00000000-0005-0000-0000-000060560000}"/>
    <cellStyle name="Output 2 6 2 2 3 3" xfId="15161" xr:uid="{00000000-0005-0000-0000-000061560000}"/>
    <cellStyle name="Output 2 6 2 2 3 3 2" xfId="29993" xr:uid="{00000000-0005-0000-0000-000062560000}"/>
    <cellStyle name="Output 2 6 2 2 3 4" xfId="11520" xr:uid="{00000000-0005-0000-0000-000063560000}"/>
    <cellStyle name="Output 2 6 2 2 3 4 2" xfId="26352" xr:uid="{00000000-0005-0000-0000-000064560000}"/>
    <cellStyle name="Output 2 6 2 2 4" xfId="2827" xr:uid="{00000000-0005-0000-0000-000065560000}"/>
    <cellStyle name="Output 2 6 2 2 4 2" xfId="6918" xr:uid="{00000000-0005-0000-0000-000066560000}"/>
    <cellStyle name="Output 2 6 2 2 4 2 2" xfId="16811" xr:uid="{00000000-0005-0000-0000-000067560000}"/>
    <cellStyle name="Output 2 6 2 2 4 2 2 2" xfId="31643" xr:uid="{00000000-0005-0000-0000-000068560000}"/>
    <cellStyle name="Output 2 6 2 2 4 2 3" xfId="18810" xr:uid="{00000000-0005-0000-0000-000069560000}"/>
    <cellStyle name="Output 2 6 2 2 4 3" xfId="13165" xr:uid="{00000000-0005-0000-0000-00006A560000}"/>
    <cellStyle name="Output 2 6 2 2 4 3 2" xfId="27997" xr:uid="{00000000-0005-0000-0000-00006B560000}"/>
    <cellStyle name="Output 2 6 2 2 4 4" xfId="10464" xr:uid="{00000000-0005-0000-0000-00006C560000}"/>
    <cellStyle name="Output 2 6 2 2 4 4 2" xfId="25296" xr:uid="{00000000-0005-0000-0000-00006D560000}"/>
    <cellStyle name="Output 2 6 2 2 5" xfId="5991" xr:uid="{00000000-0005-0000-0000-00006E560000}"/>
    <cellStyle name="Output 2 6 2 2 5 2" xfId="16183" xr:uid="{00000000-0005-0000-0000-00006F560000}"/>
    <cellStyle name="Output 2 6 2 2 5 2 2" xfId="31015" xr:uid="{00000000-0005-0000-0000-000070560000}"/>
    <cellStyle name="Output 2 6 2 2 5 3" xfId="18452" xr:uid="{00000000-0005-0000-0000-000071560000}"/>
    <cellStyle name="Output 2 6 2 2 6" xfId="12253" xr:uid="{00000000-0005-0000-0000-000072560000}"/>
    <cellStyle name="Output 2 6 2 2 6 2" xfId="27085" xr:uid="{00000000-0005-0000-0000-000073560000}"/>
    <cellStyle name="Output 2 6 2 2 7" xfId="9849" xr:uid="{00000000-0005-0000-0000-000074560000}"/>
    <cellStyle name="Output 2 6 2 2 7 2" xfId="24775" xr:uid="{00000000-0005-0000-0000-000075560000}"/>
    <cellStyle name="Output 2 6 2 3" xfId="4085" xr:uid="{00000000-0005-0000-0000-000076560000}"/>
    <cellStyle name="Output 2 6 2 3 2" xfId="8131" xr:uid="{00000000-0005-0000-0000-000077560000}"/>
    <cellStyle name="Output 2 6 2 3 2 2" xfId="17511" xr:uid="{00000000-0005-0000-0000-000078560000}"/>
    <cellStyle name="Output 2 6 2 3 2 2 2" xfId="32343" xr:uid="{00000000-0005-0000-0000-000079560000}"/>
    <cellStyle name="Output 2 6 2 3 2 3" xfId="19262" xr:uid="{00000000-0005-0000-0000-00007A560000}"/>
    <cellStyle name="Output 2 6 2 3 3" xfId="14417" xr:uid="{00000000-0005-0000-0000-00007B560000}"/>
    <cellStyle name="Output 2 6 2 3 3 2" xfId="29249" xr:uid="{00000000-0005-0000-0000-00007C560000}"/>
    <cellStyle name="Output 2 6 2 3 4" xfId="11128" xr:uid="{00000000-0005-0000-0000-00007D560000}"/>
    <cellStyle name="Output 2 6 2 3 4 2" xfId="25960" xr:uid="{00000000-0005-0000-0000-00007E560000}"/>
    <cellStyle name="Output 2 6 2 4" xfId="4417" xr:uid="{00000000-0005-0000-0000-00007F560000}"/>
    <cellStyle name="Output 2 6 2 4 2" xfId="8456" xr:uid="{00000000-0005-0000-0000-000080560000}"/>
    <cellStyle name="Output 2 6 2 4 2 2" xfId="17677" xr:uid="{00000000-0005-0000-0000-000081560000}"/>
    <cellStyle name="Output 2 6 2 4 2 2 2" xfId="32509" xr:uid="{00000000-0005-0000-0000-000082560000}"/>
    <cellStyle name="Output 2 6 2 4 2 3" xfId="19359" xr:uid="{00000000-0005-0000-0000-000083560000}"/>
    <cellStyle name="Output 2 6 2 4 3" xfId="14746" xr:uid="{00000000-0005-0000-0000-000084560000}"/>
    <cellStyle name="Output 2 6 2 4 3 2" xfId="29578" xr:uid="{00000000-0005-0000-0000-000085560000}"/>
    <cellStyle name="Output 2 6 2 4 4" xfId="11285" xr:uid="{00000000-0005-0000-0000-000086560000}"/>
    <cellStyle name="Output 2 6 2 4 4 2" xfId="26117" xr:uid="{00000000-0005-0000-0000-000087560000}"/>
    <cellStyle name="Output 2 6 2 5" xfId="2407" xr:uid="{00000000-0005-0000-0000-000088560000}"/>
    <cellStyle name="Output 2 6 2 5 2" xfId="6519" xr:uid="{00000000-0005-0000-0000-000089560000}"/>
    <cellStyle name="Output 2 6 2 5 2 2" xfId="16575" xr:uid="{00000000-0005-0000-0000-00008A560000}"/>
    <cellStyle name="Output 2 6 2 5 2 2 2" xfId="31407" xr:uid="{00000000-0005-0000-0000-00008B560000}"/>
    <cellStyle name="Output 2 6 2 5 2 3" xfId="18647" xr:uid="{00000000-0005-0000-0000-00008C560000}"/>
    <cellStyle name="Output 2 6 2 5 3" xfId="12746" xr:uid="{00000000-0005-0000-0000-00008D560000}"/>
    <cellStyle name="Output 2 6 2 5 3 2" xfId="27578" xr:uid="{00000000-0005-0000-0000-00008E560000}"/>
    <cellStyle name="Output 2 6 2 5 4" xfId="10225" xr:uid="{00000000-0005-0000-0000-00008F560000}"/>
    <cellStyle name="Output 2 6 2 5 4 2" xfId="25057" xr:uid="{00000000-0005-0000-0000-000090560000}"/>
    <cellStyle name="Output 2 6 2 6" xfId="5532" xr:uid="{00000000-0005-0000-0000-000091560000}"/>
    <cellStyle name="Output 2 6 2 6 2" xfId="15767" xr:uid="{00000000-0005-0000-0000-000092560000}"/>
    <cellStyle name="Output 2 6 2 6 2 2" xfId="30599" xr:uid="{00000000-0005-0000-0000-000093560000}"/>
    <cellStyle name="Output 2 6 2 6 3" xfId="18289" xr:uid="{00000000-0005-0000-0000-000094560000}"/>
    <cellStyle name="Output 2 6 2 7" xfId="11782" xr:uid="{00000000-0005-0000-0000-000095560000}"/>
    <cellStyle name="Output 2 6 2 7 2" xfId="26614" xr:uid="{00000000-0005-0000-0000-000096560000}"/>
    <cellStyle name="Output 2 6 2 8" xfId="9453" xr:uid="{00000000-0005-0000-0000-000097560000}"/>
    <cellStyle name="Output 2 6 2 8 2" xfId="19757" xr:uid="{00000000-0005-0000-0000-000098560000}"/>
    <cellStyle name="Output 2 6 3" xfId="1525" xr:uid="{00000000-0005-0000-0000-000099560000}"/>
    <cellStyle name="Output 2 6 3 2" xfId="2022" xr:uid="{00000000-0005-0000-0000-00009A560000}"/>
    <cellStyle name="Output 2 6 3 2 2" xfId="3758" xr:uid="{00000000-0005-0000-0000-00009B560000}"/>
    <cellStyle name="Output 2 6 3 2 2 2" xfId="7814" xr:uid="{00000000-0005-0000-0000-00009C560000}"/>
    <cellStyle name="Output 2 6 3 2 2 2 2" xfId="17350" xr:uid="{00000000-0005-0000-0000-00009D560000}"/>
    <cellStyle name="Output 2 6 3 2 2 2 2 2" xfId="32182" xr:uid="{00000000-0005-0000-0000-00009E560000}"/>
    <cellStyle name="Output 2 6 3 2 2 2 3" xfId="19144" xr:uid="{00000000-0005-0000-0000-00009F560000}"/>
    <cellStyle name="Output 2 6 3 2 2 3" xfId="14093" xr:uid="{00000000-0005-0000-0000-0000A0560000}"/>
    <cellStyle name="Output 2 6 3 2 2 3 2" xfId="28925" xr:uid="{00000000-0005-0000-0000-0000A1560000}"/>
    <cellStyle name="Output 2 6 3 2 2 4" xfId="10966" xr:uid="{00000000-0005-0000-0000-0000A2560000}"/>
    <cellStyle name="Output 2 6 3 2 2 4 2" xfId="25798" xr:uid="{00000000-0005-0000-0000-0000A3560000}"/>
    <cellStyle name="Output 2 6 3 2 3" xfId="4990" xr:uid="{00000000-0005-0000-0000-0000A4560000}"/>
    <cellStyle name="Output 2 6 3 2 3 2" xfId="9029" xr:uid="{00000000-0005-0000-0000-0000A5560000}"/>
    <cellStyle name="Output 2 6 3 2 3 2 2" xfId="17967" xr:uid="{00000000-0005-0000-0000-0000A6560000}"/>
    <cellStyle name="Output 2 6 3 2 3 2 2 2" xfId="32799" xr:uid="{00000000-0005-0000-0000-0000A7560000}"/>
    <cellStyle name="Output 2 6 3 2 3 2 3" xfId="19551" xr:uid="{00000000-0005-0000-0000-0000A8560000}"/>
    <cellStyle name="Output 2 6 3 2 3 3" xfId="15312" xr:uid="{00000000-0005-0000-0000-0000A9560000}"/>
    <cellStyle name="Output 2 6 3 2 3 3 2" xfId="30144" xr:uid="{00000000-0005-0000-0000-0000AA560000}"/>
    <cellStyle name="Output 2 6 3 2 3 4" xfId="11568" xr:uid="{00000000-0005-0000-0000-0000AB560000}"/>
    <cellStyle name="Output 2 6 3 2 3 4 2" xfId="26400" xr:uid="{00000000-0005-0000-0000-0000AC560000}"/>
    <cellStyle name="Output 2 6 3 2 4" xfId="2980" xr:uid="{00000000-0005-0000-0000-0000AD560000}"/>
    <cellStyle name="Output 2 6 3 2 4 2" xfId="7060" xr:uid="{00000000-0005-0000-0000-0000AE560000}"/>
    <cellStyle name="Output 2 6 3 2 4 2 2" xfId="16859" xr:uid="{00000000-0005-0000-0000-0000AF560000}"/>
    <cellStyle name="Output 2 6 3 2 4 2 2 2" xfId="31691" xr:uid="{00000000-0005-0000-0000-0000B0560000}"/>
    <cellStyle name="Output 2 6 3 2 4 2 3" xfId="18843" xr:uid="{00000000-0005-0000-0000-0000B1560000}"/>
    <cellStyle name="Output 2 6 3 2 4 3" xfId="13318" xr:uid="{00000000-0005-0000-0000-0000B2560000}"/>
    <cellStyle name="Output 2 6 3 2 4 3 2" xfId="28150" xr:uid="{00000000-0005-0000-0000-0000B3560000}"/>
    <cellStyle name="Output 2 6 3 2 4 4" xfId="10514" xr:uid="{00000000-0005-0000-0000-0000B4560000}"/>
    <cellStyle name="Output 2 6 3 2 4 4 2" xfId="25346" xr:uid="{00000000-0005-0000-0000-0000B5560000}"/>
    <cellStyle name="Output 2 6 3 2 5" xfId="6152" xr:uid="{00000000-0005-0000-0000-0000B6560000}"/>
    <cellStyle name="Output 2 6 3 2 5 2" xfId="16339" xr:uid="{00000000-0005-0000-0000-0000B7560000}"/>
    <cellStyle name="Output 2 6 3 2 5 2 2" xfId="31171" xr:uid="{00000000-0005-0000-0000-0000B8560000}"/>
    <cellStyle name="Output 2 6 3 2 5 3" xfId="18484" xr:uid="{00000000-0005-0000-0000-0000B9560000}"/>
    <cellStyle name="Output 2 6 3 2 6" xfId="12409" xr:uid="{00000000-0005-0000-0000-0000BA560000}"/>
    <cellStyle name="Output 2 6 3 2 6 2" xfId="27241" xr:uid="{00000000-0005-0000-0000-0000BB560000}"/>
    <cellStyle name="Output 2 6 3 2 7" xfId="9991" xr:uid="{00000000-0005-0000-0000-0000BC560000}"/>
    <cellStyle name="Output 2 6 3 2 7 2" xfId="24823" xr:uid="{00000000-0005-0000-0000-0000BD560000}"/>
    <cellStyle name="Output 2 6 3 3" xfId="3325" xr:uid="{00000000-0005-0000-0000-0000BE560000}"/>
    <cellStyle name="Output 2 6 3 3 2" xfId="7388" xr:uid="{00000000-0005-0000-0000-0000BF560000}"/>
    <cellStyle name="Output 2 6 3 3 2 2" xfId="17121" xr:uid="{00000000-0005-0000-0000-0000C0560000}"/>
    <cellStyle name="Output 2 6 3 3 2 2 2" xfId="31953" xr:uid="{00000000-0005-0000-0000-0000C1560000}"/>
    <cellStyle name="Output 2 6 3 3 2 3" xfId="18998" xr:uid="{00000000-0005-0000-0000-0000C2560000}"/>
    <cellStyle name="Output 2 6 3 3 3" xfId="13662" xr:uid="{00000000-0005-0000-0000-0000C3560000}"/>
    <cellStyle name="Output 2 6 3 3 3 2" xfId="28494" xr:uid="{00000000-0005-0000-0000-0000C4560000}"/>
    <cellStyle name="Output 2 6 3 3 4" xfId="10742" xr:uid="{00000000-0005-0000-0000-0000C5560000}"/>
    <cellStyle name="Output 2 6 3 3 4 2" xfId="25574" xr:uid="{00000000-0005-0000-0000-0000C6560000}"/>
    <cellStyle name="Output 2 6 3 4" xfId="4570" xr:uid="{00000000-0005-0000-0000-0000C7560000}"/>
    <cellStyle name="Output 2 6 3 4 2" xfId="8609" xr:uid="{00000000-0005-0000-0000-0000C8560000}"/>
    <cellStyle name="Output 2 6 3 4 2 2" xfId="17727" xr:uid="{00000000-0005-0000-0000-0000C9560000}"/>
    <cellStyle name="Output 2 6 3 4 2 2 2" xfId="32559" xr:uid="{00000000-0005-0000-0000-0000CA560000}"/>
    <cellStyle name="Output 2 6 3 4 2 3" xfId="19391" xr:uid="{00000000-0005-0000-0000-0000CB560000}"/>
    <cellStyle name="Output 2 6 3 4 3" xfId="14897" xr:uid="{00000000-0005-0000-0000-0000CC560000}"/>
    <cellStyle name="Output 2 6 3 4 3 2" xfId="29729" xr:uid="{00000000-0005-0000-0000-0000CD560000}"/>
    <cellStyle name="Output 2 6 3 4 4" xfId="11333" xr:uid="{00000000-0005-0000-0000-0000CE560000}"/>
    <cellStyle name="Output 2 6 3 4 4 2" xfId="26165" xr:uid="{00000000-0005-0000-0000-0000CF560000}"/>
    <cellStyle name="Output 2 6 3 5" xfId="2560" xr:uid="{00000000-0005-0000-0000-0000D0560000}"/>
    <cellStyle name="Output 2 6 3 5 2" xfId="6666" xr:uid="{00000000-0005-0000-0000-0000D1560000}"/>
    <cellStyle name="Output 2 6 3 5 2 2" xfId="16624" xr:uid="{00000000-0005-0000-0000-0000D2560000}"/>
    <cellStyle name="Output 2 6 3 5 2 2 2" xfId="31456" xr:uid="{00000000-0005-0000-0000-0000D3560000}"/>
    <cellStyle name="Output 2 6 3 5 2 3" xfId="18679" xr:uid="{00000000-0005-0000-0000-0000D4560000}"/>
    <cellStyle name="Output 2 6 3 5 3" xfId="12898" xr:uid="{00000000-0005-0000-0000-0000D5560000}"/>
    <cellStyle name="Output 2 6 3 5 3 2" xfId="27730" xr:uid="{00000000-0005-0000-0000-0000D6560000}"/>
    <cellStyle name="Output 2 6 3 5 4" xfId="10274" xr:uid="{00000000-0005-0000-0000-0000D7560000}"/>
    <cellStyle name="Output 2 6 3 5 4 2" xfId="25106" xr:uid="{00000000-0005-0000-0000-0000D8560000}"/>
    <cellStyle name="Output 2 6 3 6" xfId="5683" xr:uid="{00000000-0005-0000-0000-0000D9560000}"/>
    <cellStyle name="Output 2 6 3 6 2" xfId="15918" xr:uid="{00000000-0005-0000-0000-0000DA560000}"/>
    <cellStyle name="Output 2 6 3 6 2 2" xfId="30750" xr:uid="{00000000-0005-0000-0000-0000DB560000}"/>
    <cellStyle name="Output 2 6 3 6 3" xfId="18321" xr:uid="{00000000-0005-0000-0000-0000DC560000}"/>
    <cellStyle name="Output 2 6 3 7" xfId="11938" xr:uid="{00000000-0005-0000-0000-0000DD560000}"/>
    <cellStyle name="Output 2 6 3 7 2" xfId="26770" xr:uid="{00000000-0005-0000-0000-0000DE560000}"/>
    <cellStyle name="Output 2 6 3 8" xfId="9596" xr:uid="{00000000-0005-0000-0000-0000DF560000}"/>
    <cellStyle name="Output 2 6 3 8 2" xfId="19898" xr:uid="{00000000-0005-0000-0000-0000E0560000}"/>
    <cellStyle name="Output 2 6 4" xfId="1580" xr:uid="{00000000-0005-0000-0000-0000E1560000}"/>
    <cellStyle name="Output 2 6 4 2" xfId="2077" xr:uid="{00000000-0005-0000-0000-0000E2560000}"/>
    <cellStyle name="Output 2 6 4 2 2" xfId="3530" xr:uid="{00000000-0005-0000-0000-0000E3560000}"/>
    <cellStyle name="Output 2 6 4 2 2 2" xfId="7592" xr:uid="{00000000-0005-0000-0000-0000E4560000}"/>
    <cellStyle name="Output 2 6 4 2 2 2 2" xfId="17237" xr:uid="{00000000-0005-0000-0000-0000E5560000}"/>
    <cellStyle name="Output 2 6 4 2 2 2 2 2" xfId="32069" xr:uid="{00000000-0005-0000-0000-0000E6560000}"/>
    <cellStyle name="Output 2 6 4 2 2 2 3" xfId="19065" xr:uid="{00000000-0005-0000-0000-0000E7560000}"/>
    <cellStyle name="Output 2 6 4 2 2 3" xfId="13867" xr:uid="{00000000-0005-0000-0000-0000E8560000}"/>
    <cellStyle name="Output 2 6 4 2 2 3 2" xfId="28699" xr:uid="{00000000-0005-0000-0000-0000E9560000}"/>
    <cellStyle name="Output 2 6 4 2 2 4" xfId="10855" xr:uid="{00000000-0005-0000-0000-0000EA560000}"/>
    <cellStyle name="Output 2 6 4 2 2 4 2" xfId="25687" xr:uid="{00000000-0005-0000-0000-0000EB560000}"/>
    <cellStyle name="Output 2 6 4 2 3" xfId="5045" xr:uid="{00000000-0005-0000-0000-0000EC560000}"/>
    <cellStyle name="Output 2 6 4 2 3 2" xfId="9084" xr:uid="{00000000-0005-0000-0000-0000ED560000}"/>
    <cellStyle name="Output 2 6 4 2 3 2 2" xfId="18017" xr:uid="{00000000-0005-0000-0000-0000EE560000}"/>
    <cellStyle name="Output 2 6 4 2 3 2 2 2" xfId="32849" xr:uid="{00000000-0005-0000-0000-0000EF560000}"/>
    <cellStyle name="Output 2 6 4 2 3 2 3" xfId="19583" xr:uid="{00000000-0005-0000-0000-0000F0560000}"/>
    <cellStyle name="Output 2 6 4 2 3 3" xfId="15366" xr:uid="{00000000-0005-0000-0000-0000F1560000}"/>
    <cellStyle name="Output 2 6 4 2 3 3 2" xfId="30198" xr:uid="{00000000-0005-0000-0000-0000F2560000}"/>
    <cellStyle name="Output 2 6 4 2 3 4" xfId="11617" xr:uid="{00000000-0005-0000-0000-0000F3560000}"/>
    <cellStyle name="Output 2 6 4 2 3 4 2" xfId="26449" xr:uid="{00000000-0005-0000-0000-0000F4560000}"/>
    <cellStyle name="Output 2 6 4 2 4" xfId="3035" xr:uid="{00000000-0005-0000-0000-0000F5560000}"/>
    <cellStyle name="Output 2 6 4 2 4 2" xfId="7110" xr:uid="{00000000-0005-0000-0000-0000F6560000}"/>
    <cellStyle name="Output 2 6 4 2 4 2 2" xfId="16908" xr:uid="{00000000-0005-0000-0000-0000F7560000}"/>
    <cellStyle name="Output 2 6 4 2 4 2 2 2" xfId="31740" xr:uid="{00000000-0005-0000-0000-0000F8560000}"/>
    <cellStyle name="Output 2 6 4 2 4 2 3" xfId="18876" xr:uid="{00000000-0005-0000-0000-0000F9560000}"/>
    <cellStyle name="Output 2 6 4 2 4 3" xfId="13373" xr:uid="{00000000-0005-0000-0000-0000FA560000}"/>
    <cellStyle name="Output 2 6 4 2 4 3 2" xfId="28205" xr:uid="{00000000-0005-0000-0000-0000FB560000}"/>
    <cellStyle name="Output 2 6 4 2 4 4" xfId="10564" xr:uid="{00000000-0005-0000-0000-0000FC560000}"/>
    <cellStyle name="Output 2 6 4 2 4 4 2" xfId="25396" xr:uid="{00000000-0005-0000-0000-0000FD560000}"/>
    <cellStyle name="Output 2 6 4 2 5" xfId="6202" xr:uid="{00000000-0005-0000-0000-0000FE560000}"/>
    <cellStyle name="Output 2 6 4 2 5 2" xfId="16388" xr:uid="{00000000-0005-0000-0000-0000FF560000}"/>
    <cellStyle name="Output 2 6 4 2 5 2 2" xfId="31220" xr:uid="{00000000-0005-0000-0000-000000570000}"/>
    <cellStyle name="Output 2 6 4 2 5 3" xfId="18517" xr:uid="{00000000-0005-0000-0000-000001570000}"/>
    <cellStyle name="Output 2 6 4 2 6" xfId="12458" xr:uid="{00000000-0005-0000-0000-000002570000}"/>
    <cellStyle name="Output 2 6 4 2 6 2" xfId="27290" xr:uid="{00000000-0005-0000-0000-000003570000}"/>
    <cellStyle name="Output 2 6 4 2 7" xfId="10040" xr:uid="{00000000-0005-0000-0000-000004570000}"/>
    <cellStyle name="Output 2 6 4 2 7 2" xfId="24872" xr:uid="{00000000-0005-0000-0000-000005570000}"/>
    <cellStyle name="Output 2 6 4 3" xfId="3446" xr:uid="{00000000-0005-0000-0000-000006570000}"/>
    <cellStyle name="Output 2 6 4 3 2" xfId="7509" xr:uid="{00000000-0005-0000-0000-000007570000}"/>
    <cellStyle name="Output 2 6 4 3 2 2" xfId="17193" xr:uid="{00000000-0005-0000-0000-000008570000}"/>
    <cellStyle name="Output 2 6 4 3 2 2 2" xfId="32025" xr:uid="{00000000-0005-0000-0000-000009570000}"/>
    <cellStyle name="Output 2 6 4 3 2 3" xfId="19038" xr:uid="{00000000-0005-0000-0000-00000A570000}"/>
    <cellStyle name="Output 2 6 4 3 3" xfId="13783" xr:uid="{00000000-0005-0000-0000-00000B570000}"/>
    <cellStyle name="Output 2 6 4 3 3 2" xfId="28615" xr:uid="{00000000-0005-0000-0000-00000C570000}"/>
    <cellStyle name="Output 2 6 4 3 4" xfId="10812" xr:uid="{00000000-0005-0000-0000-00000D570000}"/>
    <cellStyle name="Output 2 6 4 3 4 2" xfId="25644" xr:uid="{00000000-0005-0000-0000-00000E570000}"/>
    <cellStyle name="Output 2 6 4 4" xfId="4625" xr:uid="{00000000-0005-0000-0000-00000F570000}"/>
    <cellStyle name="Output 2 6 4 4 2" xfId="8664" xr:uid="{00000000-0005-0000-0000-000010570000}"/>
    <cellStyle name="Output 2 6 4 4 2 2" xfId="17777" xr:uid="{00000000-0005-0000-0000-000011570000}"/>
    <cellStyle name="Output 2 6 4 4 2 2 2" xfId="32609" xr:uid="{00000000-0005-0000-0000-000012570000}"/>
    <cellStyle name="Output 2 6 4 4 2 3" xfId="19423" xr:uid="{00000000-0005-0000-0000-000013570000}"/>
    <cellStyle name="Output 2 6 4 4 3" xfId="14951" xr:uid="{00000000-0005-0000-0000-000014570000}"/>
    <cellStyle name="Output 2 6 4 4 3 2" xfId="29783" xr:uid="{00000000-0005-0000-0000-000015570000}"/>
    <cellStyle name="Output 2 6 4 4 4" xfId="11382" xr:uid="{00000000-0005-0000-0000-000016570000}"/>
    <cellStyle name="Output 2 6 4 4 4 2" xfId="26214" xr:uid="{00000000-0005-0000-0000-000017570000}"/>
    <cellStyle name="Output 2 6 4 5" xfId="2615" xr:uid="{00000000-0005-0000-0000-000018570000}"/>
    <cellStyle name="Output 2 6 4 5 2" xfId="6716" xr:uid="{00000000-0005-0000-0000-000019570000}"/>
    <cellStyle name="Output 2 6 4 5 2 2" xfId="16673" xr:uid="{00000000-0005-0000-0000-00001A570000}"/>
    <cellStyle name="Output 2 6 4 5 2 2 2" xfId="31505" xr:uid="{00000000-0005-0000-0000-00001B570000}"/>
    <cellStyle name="Output 2 6 4 5 2 3" xfId="18712" xr:uid="{00000000-0005-0000-0000-00001C570000}"/>
    <cellStyle name="Output 2 6 4 5 3" xfId="12953" xr:uid="{00000000-0005-0000-0000-00001D570000}"/>
    <cellStyle name="Output 2 6 4 5 3 2" xfId="27785" xr:uid="{00000000-0005-0000-0000-00001E570000}"/>
    <cellStyle name="Output 2 6 4 5 4" xfId="10324" xr:uid="{00000000-0005-0000-0000-00001F570000}"/>
    <cellStyle name="Output 2 6 4 5 4 2" xfId="25156" xr:uid="{00000000-0005-0000-0000-000020570000}"/>
    <cellStyle name="Output 2 6 4 6" xfId="5732" xr:uid="{00000000-0005-0000-0000-000021570000}"/>
    <cellStyle name="Output 2 6 4 6 2" xfId="15967" xr:uid="{00000000-0005-0000-0000-000022570000}"/>
    <cellStyle name="Output 2 6 4 6 2 2" xfId="30799" xr:uid="{00000000-0005-0000-0000-000023570000}"/>
    <cellStyle name="Output 2 6 4 6 3" xfId="18353" xr:uid="{00000000-0005-0000-0000-000024570000}"/>
    <cellStyle name="Output 2 6 4 7" xfId="11987" xr:uid="{00000000-0005-0000-0000-000025570000}"/>
    <cellStyle name="Output 2 6 4 7 2" xfId="26819" xr:uid="{00000000-0005-0000-0000-000026570000}"/>
    <cellStyle name="Output 2 6 4 8" xfId="9646" xr:uid="{00000000-0005-0000-0000-000027570000}"/>
    <cellStyle name="Output 2 6 4 8 2" xfId="19947" xr:uid="{00000000-0005-0000-0000-000028570000}"/>
    <cellStyle name="Output 2 6 5" xfId="1630" xr:uid="{00000000-0005-0000-0000-000029570000}"/>
    <cellStyle name="Output 2 6 5 2" xfId="2127" xr:uid="{00000000-0005-0000-0000-00002A570000}"/>
    <cellStyle name="Output 2 6 5 2 2" xfId="3838" xr:uid="{00000000-0005-0000-0000-00002B570000}"/>
    <cellStyle name="Output 2 6 5 2 2 2" xfId="7891" xr:uid="{00000000-0005-0000-0000-00002C570000}"/>
    <cellStyle name="Output 2 6 5 2 2 2 2" xfId="17389" xr:uid="{00000000-0005-0000-0000-00002D570000}"/>
    <cellStyle name="Output 2 6 5 2 2 2 2 2" xfId="32221" xr:uid="{00000000-0005-0000-0000-00002E570000}"/>
    <cellStyle name="Output 2 6 5 2 2 2 3" xfId="19172" xr:uid="{00000000-0005-0000-0000-00002F570000}"/>
    <cellStyle name="Output 2 6 5 2 2 3" xfId="14173" xr:uid="{00000000-0005-0000-0000-000030570000}"/>
    <cellStyle name="Output 2 6 5 2 2 3 2" xfId="29005" xr:uid="{00000000-0005-0000-0000-000031570000}"/>
    <cellStyle name="Output 2 6 5 2 2 4" xfId="11008" xr:uid="{00000000-0005-0000-0000-000032570000}"/>
    <cellStyle name="Output 2 6 5 2 2 4 2" xfId="25840" xr:uid="{00000000-0005-0000-0000-000033570000}"/>
    <cellStyle name="Output 2 6 5 2 3" xfId="5095" xr:uid="{00000000-0005-0000-0000-000034570000}"/>
    <cellStyle name="Output 2 6 5 2 3 2" xfId="9134" xr:uid="{00000000-0005-0000-0000-000035570000}"/>
    <cellStyle name="Output 2 6 5 2 3 2 2" xfId="18062" xr:uid="{00000000-0005-0000-0000-000036570000}"/>
    <cellStyle name="Output 2 6 5 2 3 2 2 2" xfId="32894" xr:uid="{00000000-0005-0000-0000-000037570000}"/>
    <cellStyle name="Output 2 6 5 2 3 2 3" xfId="19615" xr:uid="{00000000-0005-0000-0000-000038570000}"/>
    <cellStyle name="Output 2 6 5 2 3 3" xfId="15415" xr:uid="{00000000-0005-0000-0000-000039570000}"/>
    <cellStyle name="Output 2 6 5 2 3 3 2" xfId="30247" xr:uid="{00000000-0005-0000-0000-00003A570000}"/>
    <cellStyle name="Output 2 6 5 2 3 4" xfId="11661" xr:uid="{00000000-0005-0000-0000-00003B570000}"/>
    <cellStyle name="Output 2 6 5 2 3 4 2" xfId="26493" xr:uid="{00000000-0005-0000-0000-00003C570000}"/>
    <cellStyle name="Output 2 6 5 2 4" xfId="3085" xr:uid="{00000000-0005-0000-0000-00003D570000}"/>
    <cellStyle name="Output 2 6 5 2 4 2" xfId="7155" xr:uid="{00000000-0005-0000-0000-00003E570000}"/>
    <cellStyle name="Output 2 6 5 2 4 2 2" xfId="16952" xr:uid="{00000000-0005-0000-0000-00003F570000}"/>
    <cellStyle name="Output 2 6 5 2 4 2 2 2" xfId="31784" xr:uid="{00000000-0005-0000-0000-000040570000}"/>
    <cellStyle name="Output 2 6 5 2 4 2 3" xfId="18909" xr:uid="{00000000-0005-0000-0000-000041570000}"/>
    <cellStyle name="Output 2 6 5 2 4 3" xfId="13423" xr:uid="{00000000-0005-0000-0000-000042570000}"/>
    <cellStyle name="Output 2 6 5 2 4 3 2" xfId="28255" xr:uid="{00000000-0005-0000-0000-000043570000}"/>
    <cellStyle name="Output 2 6 5 2 4 4" xfId="10609" xr:uid="{00000000-0005-0000-0000-000044570000}"/>
    <cellStyle name="Output 2 6 5 2 4 4 2" xfId="25441" xr:uid="{00000000-0005-0000-0000-000045570000}"/>
    <cellStyle name="Output 2 6 5 2 5" xfId="6247" xr:uid="{00000000-0005-0000-0000-000046570000}"/>
    <cellStyle name="Output 2 6 5 2 5 2" xfId="16432" xr:uid="{00000000-0005-0000-0000-000047570000}"/>
    <cellStyle name="Output 2 6 5 2 5 2 2" xfId="31264" xr:uid="{00000000-0005-0000-0000-000048570000}"/>
    <cellStyle name="Output 2 6 5 2 5 3" xfId="18550" xr:uid="{00000000-0005-0000-0000-000049570000}"/>
    <cellStyle name="Output 2 6 5 2 6" xfId="12502" xr:uid="{00000000-0005-0000-0000-00004A570000}"/>
    <cellStyle name="Output 2 6 5 2 6 2" xfId="27334" xr:uid="{00000000-0005-0000-0000-00004B570000}"/>
    <cellStyle name="Output 2 6 5 2 7" xfId="10084" xr:uid="{00000000-0005-0000-0000-00004C570000}"/>
    <cellStyle name="Output 2 6 5 2 7 2" xfId="24916" xr:uid="{00000000-0005-0000-0000-00004D570000}"/>
    <cellStyle name="Output 2 6 5 3" xfId="3883" xr:uid="{00000000-0005-0000-0000-00004E570000}"/>
    <cellStyle name="Output 2 6 5 3 2" xfId="7934" xr:uid="{00000000-0005-0000-0000-00004F570000}"/>
    <cellStyle name="Output 2 6 5 3 2 2" xfId="17409" xr:uid="{00000000-0005-0000-0000-000050570000}"/>
    <cellStyle name="Output 2 6 5 3 2 2 2" xfId="32241" xr:uid="{00000000-0005-0000-0000-000051570000}"/>
    <cellStyle name="Output 2 6 5 3 2 3" xfId="19185" xr:uid="{00000000-0005-0000-0000-000052570000}"/>
    <cellStyle name="Output 2 6 5 3 3" xfId="14217" xr:uid="{00000000-0005-0000-0000-000053570000}"/>
    <cellStyle name="Output 2 6 5 3 3 2" xfId="29049" xr:uid="{00000000-0005-0000-0000-000054570000}"/>
    <cellStyle name="Output 2 6 5 3 4" xfId="11026" xr:uid="{00000000-0005-0000-0000-000055570000}"/>
    <cellStyle name="Output 2 6 5 3 4 2" xfId="25858" xr:uid="{00000000-0005-0000-0000-000056570000}"/>
    <cellStyle name="Output 2 6 5 4" xfId="4675" xr:uid="{00000000-0005-0000-0000-000057570000}"/>
    <cellStyle name="Output 2 6 5 4 2" xfId="8714" xr:uid="{00000000-0005-0000-0000-000058570000}"/>
    <cellStyle name="Output 2 6 5 4 2 2" xfId="17822" xr:uid="{00000000-0005-0000-0000-000059570000}"/>
    <cellStyle name="Output 2 6 5 4 2 2 2" xfId="32654" xr:uid="{00000000-0005-0000-0000-00005A570000}"/>
    <cellStyle name="Output 2 6 5 4 2 3" xfId="19455" xr:uid="{00000000-0005-0000-0000-00005B570000}"/>
    <cellStyle name="Output 2 6 5 4 3" xfId="15000" xr:uid="{00000000-0005-0000-0000-00005C570000}"/>
    <cellStyle name="Output 2 6 5 4 3 2" xfId="29832" xr:uid="{00000000-0005-0000-0000-00005D570000}"/>
    <cellStyle name="Output 2 6 5 4 4" xfId="11426" xr:uid="{00000000-0005-0000-0000-00005E570000}"/>
    <cellStyle name="Output 2 6 5 4 4 2" xfId="26258" xr:uid="{00000000-0005-0000-0000-00005F570000}"/>
    <cellStyle name="Output 2 6 5 5" xfId="2665" xr:uid="{00000000-0005-0000-0000-000060570000}"/>
    <cellStyle name="Output 2 6 5 5 2" xfId="6761" xr:uid="{00000000-0005-0000-0000-000061570000}"/>
    <cellStyle name="Output 2 6 5 5 2 2" xfId="16717" xr:uid="{00000000-0005-0000-0000-000062570000}"/>
    <cellStyle name="Output 2 6 5 5 2 2 2" xfId="31549" xr:uid="{00000000-0005-0000-0000-000063570000}"/>
    <cellStyle name="Output 2 6 5 5 2 3" xfId="18745" xr:uid="{00000000-0005-0000-0000-000064570000}"/>
    <cellStyle name="Output 2 6 5 5 3" xfId="13003" xr:uid="{00000000-0005-0000-0000-000065570000}"/>
    <cellStyle name="Output 2 6 5 5 3 2" xfId="27835" xr:uid="{00000000-0005-0000-0000-000066570000}"/>
    <cellStyle name="Output 2 6 5 5 4" xfId="10369" xr:uid="{00000000-0005-0000-0000-000067570000}"/>
    <cellStyle name="Output 2 6 5 5 4 2" xfId="25201" xr:uid="{00000000-0005-0000-0000-000068570000}"/>
    <cellStyle name="Output 2 6 5 6" xfId="5777" xr:uid="{00000000-0005-0000-0000-000069570000}"/>
    <cellStyle name="Output 2 6 5 6 2" xfId="16011" xr:uid="{00000000-0005-0000-0000-00006A570000}"/>
    <cellStyle name="Output 2 6 5 6 2 2" xfId="30843" xr:uid="{00000000-0005-0000-0000-00006B570000}"/>
    <cellStyle name="Output 2 6 5 6 3" xfId="18386" xr:uid="{00000000-0005-0000-0000-00006C570000}"/>
    <cellStyle name="Output 2 6 5 7" xfId="12031" xr:uid="{00000000-0005-0000-0000-00006D570000}"/>
    <cellStyle name="Output 2 6 5 7 2" xfId="26863" xr:uid="{00000000-0005-0000-0000-00006E570000}"/>
    <cellStyle name="Output 2 6 5 8" xfId="9691" xr:uid="{00000000-0005-0000-0000-00006F570000}"/>
    <cellStyle name="Output 2 6 5 8 2" xfId="19991" xr:uid="{00000000-0005-0000-0000-000070570000}"/>
    <cellStyle name="Output 2 6 6" xfId="1781" xr:uid="{00000000-0005-0000-0000-000071570000}"/>
    <cellStyle name="Output 2 6 6 2" xfId="3723" xr:uid="{00000000-0005-0000-0000-000072570000}"/>
    <cellStyle name="Output 2 6 6 2 2" xfId="7779" xr:uid="{00000000-0005-0000-0000-000073570000}"/>
    <cellStyle name="Output 2 6 6 2 2 2" xfId="17334" xr:uid="{00000000-0005-0000-0000-000074570000}"/>
    <cellStyle name="Output 2 6 6 2 2 2 2" xfId="32166" xr:uid="{00000000-0005-0000-0000-000075570000}"/>
    <cellStyle name="Output 2 6 6 2 2 3" xfId="19131" xr:uid="{00000000-0005-0000-0000-000076570000}"/>
    <cellStyle name="Output 2 6 6 2 3" xfId="14058" xr:uid="{00000000-0005-0000-0000-000077570000}"/>
    <cellStyle name="Output 2 6 6 2 3 2" xfId="28890" xr:uid="{00000000-0005-0000-0000-000078570000}"/>
    <cellStyle name="Output 2 6 6 2 4" xfId="10950" xr:uid="{00000000-0005-0000-0000-000079570000}"/>
    <cellStyle name="Output 2 6 6 2 4 2" xfId="25782" xr:uid="{00000000-0005-0000-0000-00007A570000}"/>
    <cellStyle name="Output 2 6 6 3" xfId="4759" xr:uid="{00000000-0005-0000-0000-00007B570000}"/>
    <cellStyle name="Output 2 6 6 3 2" xfId="8798" xr:uid="{00000000-0005-0000-0000-00007C570000}"/>
    <cellStyle name="Output 2 6 6 3 2 2" xfId="17870" xr:uid="{00000000-0005-0000-0000-00007D570000}"/>
    <cellStyle name="Output 2 6 6 3 2 2 2" xfId="32702" xr:uid="{00000000-0005-0000-0000-00007E570000}"/>
    <cellStyle name="Output 2 6 6 3 2 3" xfId="19487" xr:uid="{00000000-0005-0000-0000-00007F570000}"/>
    <cellStyle name="Output 2 6 6 3 3" xfId="15083" xr:uid="{00000000-0005-0000-0000-000080570000}"/>
    <cellStyle name="Output 2 6 6 3 3 2" xfId="29915" xr:uid="{00000000-0005-0000-0000-000081570000}"/>
    <cellStyle name="Output 2 6 6 3 4" xfId="11473" xr:uid="{00000000-0005-0000-0000-000082570000}"/>
    <cellStyle name="Output 2 6 6 3 4 2" xfId="26305" xr:uid="{00000000-0005-0000-0000-000083570000}"/>
    <cellStyle name="Output 2 6 6 4" xfId="2749" xr:uid="{00000000-0005-0000-0000-000084570000}"/>
    <cellStyle name="Output 2 6 6 4 2" xfId="6840" xr:uid="{00000000-0005-0000-0000-000085570000}"/>
    <cellStyle name="Output 2 6 6 4 2 2" xfId="16764" xr:uid="{00000000-0005-0000-0000-000086570000}"/>
    <cellStyle name="Output 2 6 6 4 2 2 2" xfId="31596" xr:uid="{00000000-0005-0000-0000-000087570000}"/>
    <cellStyle name="Output 2 6 6 4 2 3" xfId="18778" xr:uid="{00000000-0005-0000-0000-000088570000}"/>
    <cellStyle name="Output 2 6 6 4 3" xfId="13087" xr:uid="{00000000-0005-0000-0000-000089570000}"/>
    <cellStyle name="Output 2 6 6 4 3 2" xfId="27919" xr:uid="{00000000-0005-0000-0000-00008A570000}"/>
    <cellStyle name="Output 2 6 6 4 4" xfId="10417" xr:uid="{00000000-0005-0000-0000-00008B570000}"/>
    <cellStyle name="Output 2 6 6 4 4 2" xfId="25249" xr:uid="{00000000-0005-0000-0000-00008C570000}"/>
    <cellStyle name="Output 2 6 6 5" xfId="5913" xr:uid="{00000000-0005-0000-0000-00008D570000}"/>
    <cellStyle name="Output 2 6 6 5 2" xfId="16105" xr:uid="{00000000-0005-0000-0000-00008E570000}"/>
    <cellStyle name="Output 2 6 6 5 2 2" xfId="30937" xr:uid="{00000000-0005-0000-0000-00008F570000}"/>
    <cellStyle name="Output 2 6 6 5 3" xfId="18420" xr:uid="{00000000-0005-0000-0000-000090570000}"/>
    <cellStyle name="Output 2 6 6 6" xfId="12175" xr:uid="{00000000-0005-0000-0000-000091570000}"/>
    <cellStyle name="Output 2 6 6 6 2" xfId="27007" xr:uid="{00000000-0005-0000-0000-000092570000}"/>
    <cellStyle name="Output 2 6 6 7" xfId="9771" xr:uid="{00000000-0005-0000-0000-000093570000}"/>
    <cellStyle name="Output 2 6 6 7 2" xfId="24728" xr:uid="{00000000-0005-0000-0000-000094570000}"/>
    <cellStyle name="Output 2 6 7" xfId="2185" xr:uid="{00000000-0005-0000-0000-000095570000}"/>
    <cellStyle name="Output 2 6 7 2" xfId="3559" xr:uid="{00000000-0005-0000-0000-000096570000}"/>
    <cellStyle name="Output 2 6 7 2 2" xfId="7621" xr:uid="{00000000-0005-0000-0000-000097570000}"/>
    <cellStyle name="Output 2 6 7 2 2 2" xfId="17257" xr:uid="{00000000-0005-0000-0000-000098570000}"/>
    <cellStyle name="Output 2 6 7 2 2 2 2" xfId="32089" xr:uid="{00000000-0005-0000-0000-000099570000}"/>
    <cellStyle name="Output 2 6 7 2 2 3" xfId="19080" xr:uid="{00000000-0005-0000-0000-00009A570000}"/>
    <cellStyle name="Output 2 6 7 2 3" xfId="13895" xr:uid="{00000000-0005-0000-0000-00009B570000}"/>
    <cellStyle name="Output 2 6 7 2 3 2" xfId="28727" xr:uid="{00000000-0005-0000-0000-00009C570000}"/>
    <cellStyle name="Output 2 6 7 2 4" xfId="10874" xr:uid="{00000000-0005-0000-0000-00009D570000}"/>
    <cellStyle name="Output 2 6 7 2 4 2" xfId="25706" xr:uid="{00000000-0005-0000-0000-00009E570000}"/>
    <cellStyle name="Output 2 6 7 3" xfId="5153" xr:uid="{00000000-0005-0000-0000-00009F570000}"/>
    <cellStyle name="Output 2 6 7 3 2" xfId="9192" xr:uid="{00000000-0005-0000-0000-0000A0570000}"/>
    <cellStyle name="Output 2 6 7 3 2 2" xfId="18115" xr:uid="{00000000-0005-0000-0000-0000A1570000}"/>
    <cellStyle name="Output 2 6 7 3 2 2 2" xfId="32947" xr:uid="{00000000-0005-0000-0000-0000A2570000}"/>
    <cellStyle name="Output 2 6 7 3 2 3" xfId="19666" xr:uid="{00000000-0005-0000-0000-0000A3570000}"/>
    <cellStyle name="Output 2 6 7 3 3" xfId="15471" xr:uid="{00000000-0005-0000-0000-0000A4570000}"/>
    <cellStyle name="Output 2 6 7 3 3 2" xfId="30303" xr:uid="{00000000-0005-0000-0000-0000A5570000}"/>
    <cellStyle name="Output 2 6 7 3 4" xfId="11712" xr:uid="{00000000-0005-0000-0000-0000A6570000}"/>
    <cellStyle name="Output 2 6 7 3 4 2" xfId="26544" xr:uid="{00000000-0005-0000-0000-0000A7570000}"/>
    <cellStyle name="Output 2 6 7 4" xfId="4183" xr:uid="{00000000-0005-0000-0000-0000A8570000}"/>
    <cellStyle name="Output 2 6 7 4 2" xfId="8224" xr:uid="{00000000-0005-0000-0000-0000A9570000}"/>
    <cellStyle name="Output 2 6 7 4 2 2" xfId="17571" xr:uid="{00000000-0005-0000-0000-0000AA570000}"/>
    <cellStyle name="Output 2 6 7 4 2 2 2" xfId="32403" xr:uid="{00000000-0005-0000-0000-0000AB570000}"/>
    <cellStyle name="Output 2 6 7 4 2 3" xfId="19309" xr:uid="{00000000-0005-0000-0000-0000AC570000}"/>
    <cellStyle name="Output 2 6 7 4 3" xfId="14515" xr:uid="{00000000-0005-0000-0000-0000AD570000}"/>
    <cellStyle name="Output 2 6 7 4 3 2" xfId="29347" xr:uid="{00000000-0005-0000-0000-0000AE570000}"/>
    <cellStyle name="Output 2 6 7 4 4" xfId="11191" xr:uid="{00000000-0005-0000-0000-0000AF570000}"/>
    <cellStyle name="Output 2 6 7 4 4 2" xfId="26023" xr:uid="{00000000-0005-0000-0000-0000B0570000}"/>
    <cellStyle name="Output 2 6 7 5" xfId="6299" xr:uid="{00000000-0005-0000-0000-0000B1570000}"/>
    <cellStyle name="Output 2 6 7 5 2" xfId="16483" xr:uid="{00000000-0005-0000-0000-0000B2570000}"/>
    <cellStyle name="Output 2 6 7 5 2 2" xfId="31315" xr:uid="{00000000-0005-0000-0000-0000B3570000}"/>
    <cellStyle name="Output 2 6 7 5 3" xfId="18602" xr:uid="{00000000-0005-0000-0000-0000B4570000}"/>
    <cellStyle name="Output 2 6 7 6" xfId="12553" xr:uid="{00000000-0005-0000-0000-0000B5570000}"/>
    <cellStyle name="Output 2 6 7 6 2" xfId="27385" xr:uid="{00000000-0005-0000-0000-0000B6570000}"/>
    <cellStyle name="Output 2 6 7 7" xfId="10135" xr:uid="{00000000-0005-0000-0000-0000B7570000}"/>
    <cellStyle name="Output 2 6 7 7 2" xfId="24967" xr:uid="{00000000-0005-0000-0000-0000B8570000}"/>
    <cellStyle name="Output 2 6 8" xfId="3160" xr:uid="{00000000-0005-0000-0000-0000B9570000}"/>
    <cellStyle name="Output 2 6 8 2" xfId="7224" xr:uid="{00000000-0005-0000-0000-0000BA570000}"/>
    <cellStyle name="Output 2 6 8 2 2" xfId="17002" xr:uid="{00000000-0005-0000-0000-0000BB570000}"/>
    <cellStyle name="Output 2 6 8 2 2 2" xfId="31834" xr:uid="{00000000-0005-0000-0000-0000BC570000}"/>
    <cellStyle name="Output 2 6 8 2 3" xfId="18946" xr:uid="{00000000-0005-0000-0000-0000BD570000}"/>
    <cellStyle name="Output 2 6 8 3" xfId="13498" xr:uid="{00000000-0005-0000-0000-0000BE570000}"/>
    <cellStyle name="Output 2 6 8 3 2" xfId="28330" xr:uid="{00000000-0005-0000-0000-0000BF570000}"/>
    <cellStyle name="Output 2 6 8 4" xfId="10654" xr:uid="{00000000-0005-0000-0000-0000C0570000}"/>
    <cellStyle name="Output 2 6 8 4 2" xfId="25486" xr:uid="{00000000-0005-0000-0000-0000C1570000}"/>
    <cellStyle name="Output 2 6 9" xfId="3255" xr:uid="{00000000-0005-0000-0000-0000C2570000}"/>
    <cellStyle name="Output 2 6 9 2" xfId="7319" xr:uid="{00000000-0005-0000-0000-0000C3570000}"/>
    <cellStyle name="Output 2 6 9 2 2" xfId="17071" xr:uid="{00000000-0005-0000-0000-0000C4570000}"/>
    <cellStyle name="Output 2 6 9 2 2 2" xfId="31903" xr:uid="{00000000-0005-0000-0000-0000C5570000}"/>
    <cellStyle name="Output 2 6 9 2 3" xfId="18974" xr:uid="{00000000-0005-0000-0000-0000C6570000}"/>
    <cellStyle name="Output 2 6 9 3" xfId="13592" xr:uid="{00000000-0005-0000-0000-0000C7570000}"/>
    <cellStyle name="Output 2 6 9 3 2" xfId="28424" xr:uid="{00000000-0005-0000-0000-0000C8570000}"/>
    <cellStyle name="Output 2 6 9 4" xfId="10701" xr:uid="{00000000-0005-0000-0000-0000C9570000}"/>
    <cellStyle name="Output 2 6 9 4 2" xfId="25533" xr:uid="{00000000-0005-0000-0000-0000CA570000}"/>
    <cellStyle name="Output 2 7" xfId="1237" xr:uid="{00000000-0005-0000-0000-0000CB570000}"/>
    <cellStyle name="Output 2 7 10" xfId="2323" xr:uid="{00000000-0005-0000-0000-0000CC570000}"/>
    <cellStyle name="Output 2 7 10 2" xfId="6435" xr:uid="{00000000-0005-0000-0000-0000CD570000}"/>
    <cellStyle name="Output 2 7 10 2 2" xfId="16528" xr:uid="{00000000-0005-0000-0000-0000CE570000}"/>
    <cellStyle name="Output 2 7 10 2 2 2" xfId="31360" xr:uid="{00000000-0005-0000-0000-0000CF570000}"/>
    <cellStyle name="Output 2 7 10 2 3" xfId="18616" xr:uid="{00000000-0005-0000-0000-0000D0570000}"/>
    <cellStyle name="Output 2 7 10 3" xfId="12663" xr:uid="{00000000-0005-0000-0000-0000D1570000}"/>
    <cellStyle name="Output 2 7 10 3 2" xfId="27495" xr:uid="{00000000-0005-0000-0000-0000D2570000}"/>
    <cellStyle name="Output 2 7 10 4" xfId="10179" xr:uid="{00000000-0005-0000-0000-0000D3570000}"/>
    <cellStyle name="Output 2 7 10 4 2" xfId="25011" xr:uid="{00000000-0005-0000-0000-0000D4570000}"/>
    <cellStyle name="Output 2 7 11" xfId="5286" xr:uid="{00000000-0005-0000-0000-0000D5570000}"/>
    <cellStyle name="Output 2 7 11 2" xfId="9294" xr:uid="{00000000-0005-0000-0000-0000D6570000}"/>
    <cellStyle name="Output 2 7 11 2 2" xfId="18161" xr:uid="{00000000-0005-0000-0000-0000D7570000}"/>
    <cellStyle name="Output 2 7 11 2 2 2" xfId="32993" xr:uid="{00000000-0005-0000-0000-0000D8570000}"/>
    <cellStyle name="Output 2 7 11 2 3" xfId="19680" xr:uid="{00000000-0005-0000-0000-0000D9570000}"/>
    <cellStyle name="Output 2 7 11 3" xfId="15602" xr:uid="{00000000-0005-0000-0000-0000DA570000}"/>
    <cellStyle name="Output 2 7 11 3 2" xfId="30434" xr:uid="{00000000-0005-0000-0000-0000DB570000}"/>
    <cellStyle name="Output 2 7 12" xfId="5444" xr:uid="{00000000-0005-0000-0000-0000DC570000}"/>
    <cellStyle name="Output 2 7 12 2" xfId="15680" xr:uid="{00000000-0005-0000-0000-0000DD570000}"/>
    <cellStyle name="Output 2 7 12 2 2" xfId="30512" xr:uid="{00000000-0005-0000-0000-0000DE570000}"/>
    <cellStyle name="Output 2 7 12 3" xfId="18257" xr:uid="{00000000-0005-0000-0000-0000DF570000}"/>
    <cellStyle name="Output 2 7 13" xfId="9347" xr:uid="{00000000-0005-0000-0000-0000E0570000}"/>
    <cellStyle name="Output 2 7 13 2" xfId="24653" xr:uid="{00000000-0005-0000-0000-0000E1570000}"/>
    <cellStyle name="Output 2 7 14" xfId="5336" xr:uid="{00000000-0005-0000-0000-0000E2570000}"/>
    <cellStyle name="Output 2 7 14 2" xfId="18210" xr:uid="{00000000-0005-0000-0000-0000E3570000}"/>
    <cellStyle name="Output 2 7 2" xfId="1356" xr:uid="{00000000-0005-0000-0000-0000E4570000}"/>
    <cellStyle name="Output 2 7 2 2" xfId="1860" xr:uid="{00000000-0005-0000-0000-0000E5570000}"/>
    <cellStyle name="Output 2 7 2 2 2" xfId="3517" xr:uid="{00000000-0005-0000-0000-0000E6570000}"/>
    <cellStyle name="Output 2 7 2 2 2 2" xfId="7579" xr:uid="{00000000-0005-0000-0000-0000E7570000}"/>
    <cellStyle name="Output 2 7 2 2 2 2 2" xfId="17232" xr:uid="{00000000-0005-0000-0000-0000E8570000}"/>
    <cellStyle name="Output 2 7 2 2 2 2 2 2" xfId="32064" xr:uid="{00000000-0005-0000-0000-0000E9570000}"/>
    <cellStyle name="Output 2 7 2 2 2 2 3" xfId="19061" xr:uid="{00000000-0005-0000-0000-0000EA570000}"/>
    <cellStyle name="Output 2 7 2 2 2 3" xfId="13854" xr:uid="{00000000-0005-0000-0000-0000EB570000}"/>
    <cellStyle name="Output 2 7 2 2 2 3 2" xfId="28686" xr:uid="{00000000-0005-0000-0000-0000EC570000}"/>
    <cellStyle name="Output 2 7 2 2 2 4" xfId="10850" xr:uid="{00000000-0005-0000-0000-0000ED570000}"/>
    <cellStyle name="Output 2 7 2 2 2 4 2" xfId="25682" xr:uid="{00000000-0005-0000-0000-0000EE570000}"/>
    <cellStyle name="Output 2 7 2 2 3" xfId="4838" xr:uid="{00000000-0005-0000-0000-0000EF570000}"/>
    <cellStyle name="Output 2 7 2 2 3 2" xfId="8877" xr:uid="{00000000-0005-0000-0000-0000F0570000}"/>
    <cellStyle name="Output 2 7 2 2 3 2 2" xfId="17918" xr:uid="{00000000-0005-0000-0000-0000F1570000}"/>
    <cellStyle name="Output 2 7 2 2 3 2 2 2" xfId="32750" xr:uid="{00000000-0005-0000-0000-0000F2570000}"/>
    <cellStyle name="Output 2 7 2 2 3 2 3" xfId="19520" xr:uid="{00000000-0005-0000-0000-0000F3570000}"/>
    <cellStyle name="Output 2 7 2 2 3 3" xfId="15162" xr:uid="{00000000-0005-0000-0000-0000F4570000}"/>
    <cellStyle name="Output 2 7 2 2 3 3 2" xfId="29994" xr:uid="{00000000-0005-0000-0000-0000F5570000}"/>
    <cellStyle name="Output 2 7 2 2 3 4" xfId="11521" xr:uid="{00000000-0005-0000-0000-0000F6570000}"/>
    <cellStyle name="Output 2 7 2 2 3 4 2" xfId="26353" xr:uid="{00000000-0005-0000-0000-0000F7570000}"/>
    <cellStyle name="Output 2 7 2 2 4" xfId="2828" xr:uid="{00000000-0005-0000-0000-0000F8570000}"/>
    <cellStyle name="Output 2 7 2 2 4 2" xfId="6919" xr:uid="{00000000-0005-0000-0000-0000F9570000}"/>
    <cellStyle name="Output 2 7 2 2 4 2 2" xfId="16812" xr:uid="{00000000-0005-0000-0000-0000FA570000}"/>
    <cellStyle name="Output 2 7 2 2 4 2 2 2" xfId="31644" xr:uid="{00000000-0005-0000-0000-0000FB570000}"/>
    <cellStyle name="Output 2 7 2 2 4 2 3" xfId="18811" xr:uid="{00000000-0005-0000-0000-0000FC570000}"/>
    <cellStyle name="Output 2 7 2 2 4 3" xfId="13166" xr:uid="{00000000-0005-0000-0000-0000FD570000}"/>
    <cellStyle name="Output 2 7 2 2 4 3 2" xfId="27998" xr:uid="{00000000-0005-0000-0000-0000FE570000}"/>
    <cellStyle name="Output 2 7 2 2 4 4" xfId="10465" xr:uid="{00000000-0005-0000-0000-0000FF570000}"/>
    <cellStyle name="Output 2 7 2 2 4 4 2" xfId="25297" xr:uid="{00000000-0005-0000-0000-000000580000}"/>
    <cellStyle name="Output 2 7 2 2 5" xfId="5992" xr:uid="{00000000-0005-0000-0000-000001580000}"/>
    <cellStyle name="Output 2 7 2 2 5 2" xfId="16184" xr:uid="{00000000-0005-0000-0000-000002580000}"/>
    <cellStyle name="Output 2 7 2 2 5 2 2" xfId="31016" xr:uid="{00000000-0005-0000-0000-000003580000}"/>
    <cellStyle name="Output 2 7 2 2 5 3" xfId="18453" xr:uid="{00000000-0005-0000-0000-000004580000}"/>
    <cellStyle name="Output 2 7 2 2 6" xfId="12254" xr:uid="{00000000-0005-0000-0000-000005580000}"/>
    <cellStyle name="Output 2 7 2 2 6 2" xfId="27086" xr:uid="{00000000-0005-0000-0000-000006580000}"/>
    <cellStyle name="Output 2 7 2 2 7" xfId="9850" xr:uid="{00000000-0005-0000-0000-000007580000}"/>
    <cellStyle name="Output 2 7 2 2 7 2" xfId="24776" xr:uid="{00000000-0005-0000-0000-000008580000}"/>
    <cellStyle name="Output 2 7 2 3" xfId="3921" xr:uid="{00000000-0005-0000-0000-000009580000}"/>
    <cellStyle name="Output 2 7 2 3 2" xfId="7972" xr:uid="{00000000-0005-0000-0000-00000A580000}"/>
    <cellStyle name="Output 2 7 2 3 2 2" xfId="17432" xr:uid="{00000000-0005-0000-0000-00000B580000}"/>
    <cellStyle name="Output 2 7 2 3 2 2 2" xfId="32264" xr:uid="{00000000-0005-0000-0000-00000C580000}"/>
    <cellStyle name="Output 2 7 2 3 2 3" xfId="19203" xr:uid="{00000000-0005-0000-0000-00000D580000}"/>
    <cellStyle name="Output 2 7 2 3 3" xfId="14254" xr:uid="{00000000-0005-0000-0000-00000E580000}"/>
    <cellStyle name="Output 2 7 2 3 3 2" xfId="29086" xr:uid="{00000000-0005-0000-0000-00000F580000}"/>
    <cellStyle name="Output 2 7 2 3 4" xfId="11047" xr:uid="{00000000-0005-0000-0000-000010580000}"/>
    <cellStyle name="Output 2 7 2 3 4 2" xfId="25879" xr:uid="{00000000-0005-0000-0000-000011580000}"/>
    <cellStyle name="Output 2 7 2 4" xfId="4418" xr:uid="{00000000-0005-0000-0000-000012580000}"/>
    <cellStyle name="Output 2 7 2 4 2" xfId="8457" xr:uid="{00000000-0005-0000-0000-000013580000}"/>
    <cellStyle name="Output 2 7 2 4 2 2" xfId="17678" xr:uid="{00000000-0005-0000-0000-000014580000}"/>
    <cellStyle name="Output 2 7 2 4 2 2 2" xfId="32510" xr:uid="{00000000-0005-0000-0000-000015580000}"/>
    <cellStyle name="Output 2 7 2 4 2 3" xfId="19360" xr:uid="{00000000-0005-0000-0000-000016580000}"/>
    <cellStyle name="Output 2 7 2 4 3" xfId="14747" xr:uid="{00000000-0005-0000-0000-000017580000}"/>
    <cellStyle name="Output 2 7 2 4 3 2" xfId="29579" xr:uid="{00000000-0005-0000-0000-000018580000}"/>
    <cellStyle name="Output 2 7 2 4 4" xfId="11286" xr:uid="{00000000-0005-0000-0000-000019580000}"/>
    <cellStyle name="Output 2 7 2 4 4 2" xfId="26118" xr:uid="{00000000-0005-0000-0000-00001A580000}"/>
    <cellStyle name="Output 2 7 2 5" xfId="2408" xr:uid="{00000000-0005-0000-0000-00001B580000}"/>
    <cellStyle name="Output 2 7 2 5 2" xfId="6520" xr:uid="{00000000-0005-0000-0000-00001C580000}"/>
    <cellStyle name="Output 2 7 2 5 2 2" xfId="16576" xr:uid="{00000000-0005-0000-0000-00001D580000}"/>
    <cellStyle name="Output 2 7 2 5 2 2 2" xfId="31408" xr:uid="{00000000-0005-0000-0000-00001E580000}"/>
    <cellStyle name="Output 2 7 2 5 2 3" xfId="18648" xr:uid="{00000000-0005-0000-0000-00001F580000}"/>
    <cellStyle name="Output 2 7 2 5 3" xfId="12747" xr:uid="{00000000-0005-0000-0000-000020580000}"/>
    <cellStyle name="Output 2 7 2 5 3 2" xfId="27579" xr:uid="{00000000-0005-0000-0000-000021580000}"/>
    <cellStyle name="Output 2 7 2 5 4" xfId="10226" xr:uid="{00000000-0005-0000-0000-000022580000}"/>
    <cellStyle name="Output 2 7 2 5 4 2" xfId="25058" xr:uid="{00000000-0005-0000-0000-000023580000}"/>
    <cellStyle name="Output 2 7 2 6" xfId="5533" xr:uid="{00000000-0005-0000-0000-000024580000}"/>
    <cellStyle name="Output 2 7 2 6 2" xfId="15768" xr:uid="{00000000-0005-0000-0000-000025580000}"/>
    <cellStyle name="Output 2 7 2 6 2 2" xfId="30600" xr:uid="{00000000-0005-0000-0000-000026580000}"/>
    <cellStyle name="Output 2 7 2 6 3" xfId="18290" xr:uid="{00000000-0005-0000-0000-000027580000}"/>
    <cellStyle name="Output 2 7 2 7" xfId="11783" xr:uid="{00000000-0005-0000-0000-000028580000}"/>
    <cellStyle name="Output 2 7 2 7 2" xfId="26615" xr:uid="{00000000-0005-0000-0000-000029580000}"/>
    <cellStyle name="Output 2 7 2 8" xfId="9454" xr:uid="{00000000-0005-0000-0000-00002A580000}"/>
    <cellStyle name="Output 2 7 2 8 2" xfId="19758" xr:uid="{00000000-0005-0000-0000-00002B580000}"/>
    <cellStyle name="Output 2 7 3" xfId="1526" xr:uid="{00000000-0005-0000-0000-00002C580000}"/>
    <cellStyle name="Output 2 7 3 2" xfId="2023" xr:uid="{00000000-0005-0000-0000-00002D580000}"/>
    <cellStyle name="Output 2 7 3 2 2" xfId="3725" xr:uid="{00000000-0005-0000-0000-00002E580000}"/>
    <cellStyle name="Output 2 7 3 2 2 2" xfId="7781" xr:uid="{00000000-0005-0000-0000-00002F580000}"/>
    <cellStyle name="Output 2 7 3 2 2 2 2" xfId="17335" xr:uid="{00000000-0005-0000-0000-000030580000}"/>
    <cellStyle name="Output 2 7 3 2 2 2 2 2" xfId="32167" xr:uid="{00000000-0005-0000-0000-000031580000}"/>
    <cellStyle name="Output 2 7 3 2 2 2 3" xfId="19132" xr:uid="{00000000-0005-0000-0000-000032580000}"/>
    <cellStyle name="Output 2 7 3 2 2 3" xfId="14060" xr:uid="{00000000-0005-0000-0000-000033580000}"/>
    <cellStyle name="Output 2 7 3 2 2 3 2" xfId="28892" xr:uid="{00000000-0005-0000-0000-000034580000}"/>
    <cellStyle name="Output 2 7 3 2 2 4" xfId="10951" xr:uid="{00000000-0005-0000-0000-000035580000}"/>
    <cellStyle name="Output 2 7 3 2 2 4 2" xfId="25783" xr:uid="{00000000-0005-0000-0000-000036580000}"/>
    <cellStyle name="Output 2 7 3 2 3" xfId="4991" xr:uid="{00000000-0005-0000-0000-000037580000}"/>
    <cellStyle name="Output 2 7 3 2 3 2" xfId="9030" xr:uid="{00000000-0005-0000-0000-000038580000}"/>
    <cellStyle name="Output 2 7 3 2 3 2 2" xfId="17968" xr:uid="{00000000-0005-0000-0000-000039580000}"/>
    <cellStyle name="Output 2 7 3 2 3 2 2 2" xfId="32800" xr:uid="{00000000-0005-0000-0000-00003A580000}"/>
    <cellStyle name="Output 2 7 3 2 3 2 3" xfId="19552" xr:uid="{00000000-0005-0000-0000-00003B580000}"/>
    <cellStyle name="Output 2 7 3 2 3 3" xfId="15313" xr:uid="{00000000-0005-0000-0000-00003C580000}"/>
    <cellStyle name="Output 2 7 3 2 3 3 2" xfId="30145" xr:uid="{00000000-0005-0000-0000-00003D580000}"/>
    <cellStyle name="Output 2 7 3 2 3 4" xfId="11569" xr:uid="{00000000-0005-0000-0000-00003E580000}"/>
    <cellStyle name="Output 2 7 3 2 3 4 2" xfId="26401" xr:uid="{00000000-0005-0000-0000-00003F580000}"/>
    <cellStyle name="Output 2 7 3 2 4" xfId="2981" xr:uid="{00000000-0005-0000-0000-000040580000}"/>
    <cellStyle name="Output 2 7 3 2 4 2" xfId="7061" xr:uid="{00000000-0005-0000-0000-000041580000}"/>
    <cellStyle name="Output 2 7 3 2 4 2 2" xfId="16860" xr:uid="{00000000-0005-0000-0000-000042580000}"/>
    <cellStyle name="Output 2 7 3 2 4 2 2 2" xfId="31692" xr:uid="{00000000-0005-0000-0000-000043580000}"/>
    <cellStyle name="Output 2 7 3 2 4 2 3" xfId="18844" xr:uid="{00000000-0005-0000-0000-000044580000}"/>
    <cellStyle name="Output 2 7 3 2 4 3" xfId="13319" xr:uid="{00000000-0005-0000-0000-000045580000}"/>
    <cellStyle name="Output 2 7 3 2 4 3 2" xfId="28151" xr:uid="{00000000-0005-0000-0000-000046580000}"/>
    <cellStyle name="Output 2 7 3 2 4 4" xfId="10515" xr:uid="{00000000-0005-0000-0000-000047580000}"/>
    <cellStyle name="Output 2 7 3 2 4 4 2" xfId="25347" xr:uid="{00000000-0005-0000-0000-000048580000}"/>
    <cellStyle name="Output 2 7 3 2 5" xfId="6153" xr:uid="{00000000-0005-0000-0000-000049580000}"/>
    <cellStyle name="Output 2 7 3 2 5 2" xfId="16340" xr:uid="{00000000-0005-0000-0000-00004A580000}"/>
    <cellStyle name="Output 2 7 3 2 5 2 2" xfId="31172" xr:uid="{00000000-0005-0000-0000-00004B580000}"/>
    <cellStyle name="Output 2 7 3 2 5 3" xfId="18485" xr:uid="{00000000-0005-0000-0000-00004C580000}"/>
    <cellStyle name="Output 2 7 3 2 6" xfId="12410" xr:uid="{00000000-0005-0000-0000-00004D580000}"/>
    <cellStyle name="Output 2 7 3 2 6 2" xfId="27242" xr:uid="{00000000-0005-0000-0000-00004E580000}"/>
    <cellStyle name="Output 2 7 3 2 7" xfId="9992" xr:uid="{00000000-0005-0000-0000-00004F580000}"/>
    <cellStyle name="Output 2 7 3 2 7 2" xfId="24824" xr:uid="{00000000-0005-0000-0000-000050580000}"/>
    <cellStyle name="Output 2 7 3 3" xfId="3693" xr:uid="{00000000-0005-0000-0000-000051580000}"/>
    <cellStyle name="Output 2 7 3 3 2" xfId="7749" xr:uid="{00000000-0005-0000-0000-000052580000}"/>
    <cellStyle name="Output 2 7 3 3 2 2" xfId="17318" xr:uid="{00000000-0005-0000-0000-000053580000}"/>
    <cellStyle name="Output 2 7 3 3 2 2 2" xfId="32150" xr:uid="{00000000-0005-0000-0000-000054580000}"/>
    <cellStyle name="Output 2 7 3 3 2 3" xfId="19124" xr:uid="{00000000-0005-0000-0000-000055580000}"/>
    <cellStyle name="Output 2 7 3 3 3" xfId="14028" xr:uid="{00000000-0005-0000-0000-000056580000}"/>
    <cellStyle name="Output 2 7 3 3 3 2" xfId="28860" xr:uid="{00000000-0005-0000-0000-000057580000}"/>
    <cellStyle name="Output 2 7 3 3 4" xfId="10936" xr:uid="{00000000-0005-0000-0000-000058580000}"/>
    <cellStyle name="Output 2 7 3 3 4 2" xfId="25768" xr:uid="{00000000-0005-0000-0000-000059580000}"/>
    <cellStyle name="Output 2 7 3 4" xfId="4571" xr:uid="{00000000-0005-0000-0000-00005A580000}"/>
    <cellStyle name="Output 2 7 3 4 2" xfId="8610" xr:uid="{00000000-0005-0000-0000-00005B580000}"/>
    <cellStyle name="Output 2 7 3 4 2 2" xfId="17728" xr:uid="{00000000-0005-0000-0000-00005C580000}"/>
    <cellStyle name="Output 2 7 3 4 2 2 2" xfId="32560" xr:uid="{00000000-0005-0000-0000-00005D580000}"/>
    <cellStyle name="Output 2 7 3 4 2 3" xfId="19392" xr:uid="{00000000-0005-0000-0000-00005E580000}"/>
    <cellStyle name="Output 2 7 3 4 3" xfId="14898" xr:uid="{00000000-0005-0000-0000-00005F580000}"/>
    <cellStyle name="Output 2 7 3 4 3 2" xfId="29730" xr:uid="{00000000-0005-0000-0000-000060580000}"/>
    <cellStyle name="Output 2 7 3 4 4" xfId="11334" xr:uid="{00000000-0005-0000-0000-000061580000}"/>
    <cellStyle name="Output 2 7 3 4 4 2" xfId="26166" xr:uid="{00000000-0005-0000-0000-000062580000}"/>
    <cellStyle name="Output 2 7 3 5" xfId="2561" xr:uid="{00000000-0005-0000-0000-000063580000}"/>
    <cellStyle name="Output 2 7 3 5 2" xfId="6667" xr:uid="{00000000-0005-0000-0000-000064580000}"/>
    <cellStyle name="Output 2 7 3 5 2 2" xfId="16625" xr:uid="{00000000-0005-0000-0000-000065580000}"/>
    <cellStyle name="Output 2 7 3 5 2 2 2" xfId="31457" xr:uid="{00000000-0005-0000-0000-000066580000}"/>
    <cellStyle name="Output 2 7 3 5 2 3" xfId="18680" xr:uid="{00000000-0005-0000-0000-000067580000}"/>
    <cellStyle name="Output 2 7 3 5 3" xfId="12899" xr:uid="{00000000-0005-0000-0000-000068580000}"/>
    <cellStyle name="Output 2 7 3 5 3 2" xfId="27731" xr:uid="{00000000-0005-0000-0000-000069580000}"/>
    <cellStyle name="Output 2 7 3 5 4" xfId="10275" xr:uid="{00000000-0005-0000-0000-00006A580000}"/>
    <cellStyle name="Output 2 7 3 5 4 2" xfId="25107" xr:uid="{00000000-0005-0000-0000-00006B580000}"/>
    <cellStyle name="Output 2 7 3 6" xfId="5684" xr:uid="{00000000-0005-0000-0000-00006C580000}"/>
    <cellStyle name="Output 2 7 3 6 2" xfId="15919" xr:uid="{00000000-0005-0000-0000-00006D580000}"/>
    <cellStyle name="Output 2 7 3 6 2 2" xfId="30751" xr:uid="{00000000-0005-0000-0000-00006E580000}"/>
    <cellStyle name="Output 2 7 3 6 3" xfId="18322" xr:uid="{00000000-0005-0000-0000-00006F580000}"/>
    <cellStyle name="Output 2 7 3 7" xfId="11939" xr:uid="{00000000-0005-0000-0000-000070580000}"/>
    <cellStyle name="Output 2 7 3 7 2" xfId="26771" xr:uid="{00000000-0005-0000-0000-000071580000}"/>
    <cellStyle name="Output 2 7 3 8" xfId="9597" xr:uid="{00000000-0005-0000-0000-000072580000}"/>
    <cellStyle name="Output 2 7 3 8 2" xfId="19899" xr:uid="{00000000-0005-0000-0000-000073580000}"/>
    <cellStyle name="Output 2 7 4" xfId="1581" xr:uid="{00000000-0005-0000-0000-000074580000}"/>
    <cellStyle name="Output 2 7 4 2" xfId="2078" xr:uid="{00000000-0005-0000-0000-000075580000}"/>
    <cellStyle name="Output 2 7 4 2 2" xfId="4066" xr:uid="{00000000-0005-0000-0000-000076580000}"/>
    <cellStyle name="Output 2 7 4 2 2 2" xfId="8113" xr:uid="{00000000-0005-0000-0000-000077580000}"/>
    <cellStyle name="Output 2 7 4 2 2 2 2" xfId="17502" xr:uid="{00000000-0005-0000-0000-000078580000}"/>
    <cellStyle name="Output 2 7 4 2 2 2 2 2" xfId="32334" xr:uid="{00000000-0005-0000-0000-000079580000}"/>
    <cellStyle name="Output 2 7 4 2 2 2 3" xfId="19254" xr:uid="{00000000-0005-0000-0000-00007A580000}"/>
    <cellStyle name="Output 2 7 4 2 2 3" xfId="14398" xr:uid="{00000000-0005-0000-0000-00007B580000}"/>
    <cellStyle name="Output 2 7 4 2 2 3 2" xfId="29230" xr:uid="{00000000-0005-0000-0000-00007C580000}"/>
    <cellStyle name="Output 2 7 4 2 2 4" xfId="11118" xr:uid="{00000000-0005-0000-0000-00007D580000}"/>
    <cellStyle name="Output 2 7 4 2 2 4 2" xfId="25950" xr:uid="{00000000-0005-0000-0000-00007E580000}"/>
    <cellStyle name="Output 2 7 4 2 3" xfId="5046" xr:uid="{00000000-0005-0000-0000-00007F580000}"/>
    <cellStyle name="Output 2 7 4 2 3 2" xfId="9085" xr:uid="{00000000-0005-0000-0000-000080580000}"/>
    <cellStyle name="Output 2 7 4 2 3 2 2" xfId="18018" xr:uid="{00000000-0005-0000-0000-000081580000}"/>
    <cellStyle name="Output 2 7 4 2 3 2 2 2" xfId="32850" xr:uid="{00000000-0005-0000-0000-000082580000}"/>
    <cellStyle name="Output 2 7 4 2 3 2 3" xfId="19584" xr:uid="{00000000-0005-0000-0000-000083580000}"/>
    <cellStyle name="Output 2 7 4 2 3 3" xfId="15367" xr:uid="{00000000-0005-0000-0000-000084580000}"/>
    <cellStyle name="Output 2 7 4 2 3 3 2" xfId="30199" xr:uid="{00000000-0005-0000-0000-000085580000}"/>
    <cellStyle name="Output 2 7 4 2 3 4" xfId="11618" xr:uid="{00000000-0005-0000-0000-000086580000}"/>
    <cellStyle name="Output 2 7 4 2 3 4 2" xfId="26450" xr:uid="{00000000-0005-0000-0000-000087580000}"/>
    <cellStyle name="Output 2 7 4 2 4" xfId="3036" xr:uid="{00000000-0005-0000-0000-000088580000}"/>
    <cellStyle name="Output 2 7 4 2 4 2" xfId="7111" xr:uid="{00000000-0005-0000-0000-000089580000}"/>
    <cellStyle name="Output 2 7 4 2 4 2 2" xfId="16909" xr:uid="{00000000-0005-0000-0000-00008A580000}"/>
    <cellStyle name="Output 2 7 4 2 4 2 2 2" xfId="31741" xr:uid="{00000000-0005-0000-0000-00008B580000}"/>
    <cellStyle name="Output 2 7 4 2 4 2 3" xfId="18877" xr:uid="{00000000-0005-0000-0000-00008C580000}"/>
    <cellStyle name="Output 2 7 4 2 4 3" xfId="13374" xr:uid="{00000000-0005-0000-0000-00008D580000}"/>
    <cellStyle name="Output 2 7 4 2 4 3 2" xfId="28206" xr:uid="{00000000-0005-0000-0000-00008E580000}"/>
    <cellStyle name="Output 2 7 4 2 4 4" xfId="10565" xr:uid="{00000000-0005-0000-0000-00008F580000}"/>
    <cellStyle name="Output 2 7 4 2 4 4 2" xfId="25397" xr:uid="{00000000-0005-0000-0000-000090580000}"/>
    <cellStyle name="Output 2 7 4 2 5" xfId="6203" xr:uid="{00000000-0005-0000-0000-000091580000}"/>
    <cellStyle name="Output 2 7 4 2 5 2" xfId="16389" xr:uid="{00000000-0005-0000-0000-000092580000}"/>
    <cellStyle name="Output 2 7 4 2 5 2 2" xfId="31221" xr:uid="{00000000-0005-0000-0000-000093580000}"/>
    <cellStyle name="Output 2 7 4 2 5 3" xfId="18518" xr:uid="{00000000-0005-0000-0000-000094580000}"/>
    <cellStyle name="Output 2 7 4 2 6" xfId="12459" xr:uid="{00000000-0005-0000-0000-000095580000}"/>
    <cellStyle name="Output 2 7 4 2 6 2" xfId="27291" xr:uid="{00000000-0005-0000-0000-000096580000}"/>
    <cellStyle name="Output 2 7 4 2 7" xfId="10041" xr:uid="{00000000-0005-0000-0000-000097580000}"/>
    <cellStyle name="Output 2 7 4 2 7 2" xfId="24873" xr:uid="{00000000-0005-0000-0000-000098580000}"/>
    <cellStyle name="Output 2 7 4 3" xfId="3186" xr:uid="{00000000-0005-0000-0000-000099580000}"/>
    <cellStyle name="Output 2 7 4 3 2" xfId="7250" xr:uid="{00000000-0005-0000-0000-00009A580000}"/>
    <cellStyle name="Output 2 7 4 3 2 2" xfId="17020" xr:uid="{00000000-0005-0000-0000-00009B580000}"/>
    <cellStyle name="Output 2 7 4 3 2 2 2" xfId="31852" xr:uid="{00000000-0005-0000-0000-00009C580000}"/>
    <cellStyle name="Output 2 7 4 3 2 3" xfId="18954" xr:uid="{00000000-0005-0000-0000-00009D580000}"/>
    <cellStyle name="Output 2 7 4 3 3" xfId="13524" xr:uid="{00000000-0005-0000-0000-00009E580000}"/>
    <cellStyle name="Output 2 7 4 3 3 2" xfId="28356" xr:uid="{00000000-0005-0000-0000-00009F580000}"/>
    <cellStyle name="Output 2 7 4 3 4" xfId="10668" xr:uid="{00000000-0005-0000-0000-0000A0580000}"/>
    <cellStyle name="Output 2 7 4 3 4 2" xfId="25500" xr:uid="{00000000-0005-0000-0000-0000A1580000}"/>
    <cellStyle name="Output 2 7 4 4" xfId="4626" xr:uid="{00000000-0005-0000-0000-0000A2580000}"/>
    <cellStyle name="Output 2 7 4 4 2" xfId="8665" xr:uid="{00000000-0005-0000-0000-0000A3580000}"/>
    <cellStyle name="Output 2 7 4 4 2 2" xfId="17778" xr:uid="{00000000-0005-0000-0000-0000A4580000}"/>
    <cellStyle name="Output 2 7 4 4 2 2 2" xfId="32610" xr:uid="{00000000-0005-0000-0000-0000A5580000}"/>
    <cellStyle name="Output 2 7 4 4 2 3" xfId="19424" xr:uid="{00000000-0005-0000-0000-0000A6580000}"/>
    <cellStyle name="Output 2 7 4 4 3" xfId="14952" xr:uid="{00000000-0005-0000-0000-0000A7580000}"/>
    <cellStyle name="Output 2 7 4 4 3 2" xfId="29784" xr:uid="{00000000-0005-0000-0000-0000A8580000}"/>
    <cellStyle name="Output 2 7 4 4 4" xfId="11383" xr:uid="{00000000-0005-0000-0000-0000A9580000}"/>
    <cellStyle name="Output 2 7 4 4 4 2" xfId="26215" xr:uid="{00000000-0005-0000-0000-0000AA580000}"/>
    <cellStyle name="Output 2 7 4 5" xfId="2616" xr:uid="{00000000-0005-0000-0000-0000AB580000}"/>
    <cellStyle name="Output 2 7 4 5 2" xfId="6717" xr:uid="{00000000-0005-0000-0000-0000AC580000}"/>
    <cellStyle name="Output 2 7 4 5 2 2" xfId="16674" xr:uid="{00000000-0005-0000-0000-0000AD580000}"/>
    <cellStyle name="Output 2 7 4 5 2 2 2" xfId="31506" xr:uid="{00000000-0005-0000-0000-0000AE580000}"/>
    <cellStyle name="Output 2 7 4 5 2 3" xfId="18713" xr:uid="{00000000-0005-0000-0000-0000AF580000}"/>
    <cellStyle name="Output 2 7 4 5 3" xfId="12954" xr:uid="{00000000-0005-0000-0000-0000B0580000}"/>
    <cellStyle name="Output 2 7 4 5 3 2" xfId="27786" xr:uid="{00000000-0005-0000-0000-0000B1580000}"/>
    <cellStyle name="Output 2 7 4 5 4" xfId="10325" xr:uid="{00000000-0005-0000-0000-0000B2580000}"/>
    <cellStyle name="Output 2 7 4 5 4 2" xfId="25157" xr:uid="{00000000-0005-0000-0000-0000B3580000}"/>
    <cellStyle name="Output 2 7 4 6" xfId="5733" xr:uid="{00000000-0005-0000-0000-0000B4580000}"/>
    <cellStyle name="Output 2 7 4 6 2" xfId="15968" xr:uid="{00000000-0005-0000-0000-0000B5580000}"/>
    <cellStyle name="Output 2 7 4 6 2 2" xfId="30800" xr:uid="{00000000-0005-0000-0000-0000B6580000}"/>
    <cellStyle name="Output 2 7 4 6 3" xfId="18354" xr:uid="{00000000-0005-0000-0000-0000B7580000}"/>
    <cellStyle name="Output 2 7 4 7" xfId="11988" xr:uid="{00000000-0005-0000-0000-0000B8580000}"/>
    <cellStyle name="Output 2 7 4 7 2" xfId="26820" xr:uid="{00000000-0005-0000-0000-0000B9580000}"/>
    <cellStyle name="Output 2 7 4 8" xfId="9647" xr:uid="{00000000-0005-0000-0000-0000BA580000}"/>
    <cellStyle name="Output 2 7 4 8 2" xfId="19948" xr:uid="{00000000-0005-0000-0000-0000BB580000}"/>
    <cellStyle name="Output 2 7 5" xfId="1631" xr:uid="{00000000-0005-0000-0000-0000BC580000}"/>
    <cellStyle name="Output 2 7 5 2" xfId="2128" xr:uid="{00000000-0005-0000-0000-0000BD580000}"/>
    <cellStyle name="Output 2 7 5 2 2" xfId="3492" xr:uid="{00000000-0005-0000-0000-0000BE580000}"/>
    <cellStyle name="Output 2 7 5 2 2 2" xfId="7554" xr:uid="{00000000-0005-0000-0000-0000BF580000}"/>
    <cellStyle name="Output 2 7 5 2 2 2 2" xfId="17215" xr:uid="{00000000-0005-0000-0000-0000C0580000}"/>
    <cellStyle name="Output 2 7 5 2 2 2 2 2" xfId="32047" xr:uid="{00000000-0005-0000-0000-0000C1580000}"/>
    <cellStyle name="Output 2 7 5 2 2 2 3" xfId="19051" xr:uid="{00000000-0005-0000-0000-0000C2580000}"/>
    <cellStyle name="Output 2 7 5 2 2 3" xfId="13829" xr:uid="{00000000-0005-0000-0000-0000C3580000}"/>
    <cellStyle name="Output 2 7 5 2 2 3 2" xfId="28661" xr:uid="{00000000-0005-0000-0000-0000C4580000}"/>
    <cellStyle name="Output 2 7 5 2 2 4" xfId="10833" xr:uid="{00000000-0005-0000-0000-0000C5580000}"/>
    <cellStyle name="Output 2 7 5 2 2 4 2" xfId="25665" xr:uid="{00000000-0005-0000-0000-0000C6580000}"/>
    <cellStyle name="Output 2 7 5 2 3" xfId="5096" xr:uid="{00000000-0005-0000-0000-0000C7580000}"/>
    <cellStyle name="Output 2 7 5 2 3 2" xfId="9135" xr:uid="{00000000-0005-0000-0000-0000C8580000}"/>
    <cellStyle name="Output 2 7 5 2 3 2 2" xfId="18063" xr:uid="{00000000-0005-0000-0000-0000C9580000}"/>
    <cellStyle name="Output 2 7 5 2 3 2 2 2" xfId="32895" xr:uid="{00000000-0005-0000-0000-0000CA580000}"/>
    <cellStyle name="Output 2 7 5 2 3 2 3" xfId="19616" xr:uid="{00000000-0005-0000-0000-0000CB580000}"/>
    <cellStyle name="Output 2 7 5 2 3 3" xfId="15416" xr:uid="{00000000-0005-0000-0000-0000CC580000}"/>
    <cellStyle name="Output 2 7 5 2 3 3 2" xfId="30248" xr:uid="{00000000-0005-0000-0000-0000CD580000}"/>
    <cellStyle name="Output 2 7 5 2 3 4" xfId="11662" xr:uid="{00000000-0005-0000-0000-0000CE580000}"/>
    <cellStyle name="Output 2 7 5 2 3 4 2" xfId="26494" xr:uid="{00000000-0005-0000-0000-0000CF580000}"/>
    <cellStyle name="Output 2 7 5 2 4" xfId="3086" xr:uid="{00000000-0005-0000-0000-0000D0580000}"/>
    <cellStyle name="Output 2 7 5 2 4 2" xfId="7156" xr:uid="{00000000-0005-0000-0000-0000D1580000}"/>
    <cellStyle name="Output 2 7 5 2 4 2 2" xfId="16953" xr:uid="{00000000-0005-0000-0000-0000D2580000}"/>
    <cellStyle name="Output 2 7 5 2 4 2 2 2" xfId="31785" xr:uid="{00000000-0005-0000-0000-0000D3580000}"/>
    <cellStyle name="Output 2 7 5 2 4 2 3" xfId="18910" xr:uid="{00000000-0005-0000-0000-0000D4580000}"/>
    <cellStyle name="Output 2 7 5 2 4 3" xfId="13424" xr:uid="{00000000-0005-0000-0000-0000D5580000}"/>
    <cellStyle name="Output 2 7 5 2 4 3 2" xfId="28256" xr:uid="{00000000-0005-0000-0000-0000D6580000}"/>
    <cellStyle name="Output 2 7 5 2 4 4" xfId="10610" xr:uid="{00000000-0005-0000-0000-0000D7580000}"/>
    <cellStyle name="Output 2 7 5 2 4 4 2" xfId="25442" xr:uid="{00000000-0005-0000-0000-0000D8580000}"/>
    <cellStyle name="Output 2 7 5 2 5" xfId="6248" xr:uid="{00000000-0005-0000-0000-0000D9580000}"/>
    <cellStyle name="Output 2 7 5 2 5 2" xfId="16433" xr:uid="{00000000-0005-0000-0000-0000DA580000}"/>
    <cellStyle name="Output 2 7 5 2 5 2 2" xfId="31265" xr:uid="{00000000-0005-0000-0000-0000DB580000}"/>
    <cellStyle name="Output 2 7 5 2 5 3" xfId="18551" xr:uid="{00000000-0005-0000-0000-0000DC580000}"/>
    <cellStyle name="Output 2 7 5 2 6" xfId="12503" xr:uid="{00000000-0005-0000-0000-0000DD580000}"/>
    <cellStyle name="Output 2 7 5 2 6 2" xfId="27335" xr:uid="{00000000-0005-0000-0000-0000DE580000}"/>
    <cellStyle name="Output 2 7 5 2 7" xfId="10085" xr:uid="{00000000-0005-0000-0000-0000DF580000}"/>
    <cellStyle name="Output 2 7 5 2 7 2" xfId="24917" xr:uid="{00000000-0005-0000-0000-0000E0580000}"/>
    <cellStyle name="Output 2 7 5 3" xfId="3586" xr:uid="{00000000-0005-0000-0000-0000E1580000}"/>
    <cellStyle name="Output 2 7 5 3 2" xfId="7648" xr:uid="{00000000-0005-0000-0000-0000E2580000}"/>
    <cellStyle name="Output 2 7 5 3 2 2" xfId="17272" xr:uid="{00000000-0005-0000-0000-0000E3580000}"/>
    <cellStyle name="Output 2 7 5 3 2 2 2" xfId="32104" xr:uid="{00000000-0005-0000-0000-0000E4580000}"/>
    <cellStyle name="Output 2 7 5 3 2 3" xfId="19092" xr:uid="{00000000-0005-0000-0000-0000E5580000}"/>
    <cellStyle name="Output 2 7 5 3 3" xfId="13922" xr:uid="{00000000-0005-0000-0000-0000E6580000}"/>
    <cellStyle name="Output 2 7 5 3 3 2" xfId="28754" xr:uid="{00000000-0005-0000-0000-0000E7580000}"/>
    <cellStyle name="Output 2 7 5 3 4" xfId="10889" xr:uid="{00000000-0005-0000-0000-0000E8580000}"/>
    <cellStyle name="Output 2 7 5 3 4 2" xfId="25721" xr:uid="{00000000-0005-0000-0000-0000E9580000}"/>
    <cellStyle name="Output 2 7 5 4" xfId="4676" xr:uid="{00000000-0005-0000-0000-0000EA580000}"/>
    <cellStyle name="Output 2 7 5 4 2" xfId="8715" xr:uid="{00000000-0005-0000-0000-0000EB580000}"/>
    <cellStyle name="Output 2 7 5 4 2 2" xfId="17823" xr:uid="{00000000-0005-0000-0000-0000EC580000}"/>
    <cellStyle name="Output 2 7 5 4 2 2 2" xfId="32655" xr:uid="{00000000-0005-0000-0000-0000ED580000}"/>
    <cellStyle name="Output 2 7 5 4 2 3" xfId="19456" xr:uid="{00000000-0005-0000-0000-0000EE580000}"/>
    <cellStyle name="Output 2 7 5 4 3" xfId="15001" xr:uid="{00000000-0005-0000-0000-0000EF580000}"/>
    <cellStyle name="Output 2 7 5 4 3 2" xfId="29833" xr:uid="{00000000-0005-0000-0000-0000F0580000}"/>
    <cellStyle name="Output 2 7 5 4 4" xfId="11427" xr:uid="{00000000-0005-0000-0000-0000F1580000}"/>
    <cellStyle name="Output 2 7 5 4 4 2" xfId="26259" xr:uid="{00000000-0005-0000-0000-0000F2580000}"/>
    <cellStyle name="Output 2 7 5 5" xfId="2666" xr:uid="{00000000-0005-0000-0000-0000F3580000}"/>
    <cellStyle name="Output 2 7 5 5 2" xfId="6762" xr:uid="{00000000-0005-0000-0000-0000F4580000}"/>
    <cellStyle name="Output 2 7 5 5 2 2" xfId="16718" xr:uid="{00000000-0005-0000-0000-0000F5580000}"/>
    <cellStyle name="Output 2 7 5 5 2 2 2" xfId="31550" xr:uid="{00000000-0005-0000-0000-0000F6580000}"/>
    <cellStyle name="Output 2 7 5 5 2 3" xfId="18746" xr:uid="{00000000-0005-0000-0000-0000F7580000}"/>
    <cellStyle name="Output 2 7 5 5 3" xfId="13004" xr:uid="{00000000-0005-0000-0000-0000F8580000}"/>
    <cellStyle name="Output 2 7 5 5 3 2" xfId="27836" xr:uid="{00000000-0005-0000-0000-0000F9580000}"/>
    <cellStyle name="Output 2 7 5 5 4" xfId="10370" xr:uid="{00000000-0005-0000-0000-0000FA580000}"/>
    <cellStyle name="Output 2 7 5 5 4 2" xfId="25202" xr:uid="{00000000-0005-0000-0000-0000FB580000}"/>
    <cellStyle name="Output 2 7 5 6" xfId="5778" xr:uid="{00000000-0005-0000-0000-0000FC580000}"/>
    <cellStyle name="Output 2 7 5 6 2" xfId="16012" xr:uid="{00000000-0005-0000-0000-0000FD580000}"/>
    <cellStyle name="Output 2 7 5 6 2 2" xfId="30844" xr:uid="{00000000-0005-0000-0000-0000FE580000}"/>
    <cellStyle name="Output 2 7 5 6 3" xfId="18387" xr:uid="{00000000-0005-0000-0000-0000FF580000}"/>
    <cellStyle name="Output 2 7 5 7" xfId="12032" xr:uid="{00000000-0005-0000-0000-000000590000}"/>
    <cellStyle name="Output 2 7 5 7 2" xfId="26864" xr:uid="{00000000-0005-0000-0000-000001590000}"/>
    <cellStyle name="Output 2 7 5 8" xfId="9692" xr:uid="{00000000-0005-0000-0000-000002590000}"/>
    <cellStyle name="Output 2 7 5 8 2" xfId="19992" xr:uid="{00000000-0005-0000-0000-000003590000}"/>
    <cellStyle name="Output 2 7 6" xfId="1782" xr:uid="{00000000-0005-0000-0000-000004590000}"/>
    <cellStyle name="Output 2 7 6 2" xfId="3901" xr:uid="{00000000-0005-0000-0000-000005590000}"/>
    <cellStyle name="Output 2 7 6 2 2" xfId="7952" xr:uid="{00000000-0005-0000-0000-000006590000}"/>
    <cellStyle name="Output 2 7 6 2 2 2" xfId="17420" xr:uid="{00000000-0005-0000-0000-000007590000}"/>
    <cellStyle name="Output 2 7 6 2 2 2 2" xfId="32252" xr:uid="{00000000-0005-0000-0000-000008590000}"/>
    <cellStyle name="Output 2 7 6 2 2 3" xfId="19193" xr:uid="{00000000-0005-0000-0000-000009590000}"/>
    <cellStyle name="Output 2 7 6 2 3" xfId="14234" xr:uid="{00000000-0005-0000-0000-00000A590000}"/>
    <cellStyle name="Output 2 7 6 2 3 2" xfId="29066" xr:uid="{00000000-0005-0000-0000-00000B590000}"/>
    <cellStyle name="Output 2 7 6 2 4" xfId="11036" xr:uid="{00000000-0005-0000-0000-00000C590000}"/>
    <cellStyle name="Output 2 7 6 2 4 2" xfId="25868" xr:uid="{00000000-0005-0000-0000-00000D590000}"/>
    <cellStyle name="Output 2 7 6 3" xfId="4760" xr:uid="{00000000-0005-0000-0000-00000E590000}"/>
    <cellStyle name="Output 2 7 6 3 2" xfId="8799" xr:uid="{00000000-0005-0000-0000-00000F590000}"/>
    <cellStyle name="Output 2 7 6 3 2 2" xfId="17871" xr:uid="{00000000-0005-0000-0000-000010590000}"/>
    <cellStyle name="Output 2 7 6 3 2 2 2" xfId="32703" xr:uid="{00000000-0005-0000-0000-000011590000}"/>
    <cellStyle name="Output 2 7 6 3 2 3" xfId="19488" xr:uid="{00000000-0005-0000-0000-000012590000}"/>
    <cellStyle name="Output 2 7 6 3 3" xfId="15084" xr:uid="{00000000-0005-0000-0000-000013590000}"/>
    <cellStyle name="Output 2 7 6 3 3 2" xfId="29916" xr:uid="{00000000-0005-0000-0000-000014590000}"/>
    <cellStyle name="Output 2 7 6 3 4" xfId="11474" xr:uid="{00000000-0005-0000-0000-000015590000}"/>
    <cellStyle name="Output 2 7 6 3 4 2" xfId="26306" xr:uid="{00000000-0005-0000-0000-000016590000}"/>
    <cellStyle name="Output 2 7 6 4" xfId="2750" xr:uid="{00000000-0005-0000-0000-000017590000}"/>
    <cellStyle name="Output 2 7 6 4 2" xfId="6841" xr:uid="{00000000-0005-0000-0000-000018590000}"/>
    <cellStyle name="Output 2 7 6 4 2 2" xfId="16765" xr:uid="{00000000-0005-0000-0000-000019590000}"/>
    <cellStyle name="Output 2 7 6 4 2 2 2" xfId="31597" xr:uid="{00000000-0005-0000-0000-00001A590000}"/>
    <cellStyle name="Output 2 7 6 4 2 3" xfId="18779" xr:uid="{00000000-0005-0000-0000-00001B590000}"/>
    <cellStyle name="Output 2 7 6 4 3" xfId="13088" xr:uid="{00000000-0005-0000-0000-00001C590000}"/>
    <cellStyle name="Output 2 7 6 4 3 2" xfId="27920" xr:uid="{00000000-0005-0000-0000-00001D590000}"/>
    <cellStyle name="Output 2 7 6 4 4" xfId="10418" xr:uid="{00000000-0005-0000-0000-00001E590000}"/>
    <cellStyle name="Output 2 7 6 4 4 2" xfId="25250" xr:uid="{00000000-0005-0000-0000-00001F590000}"/>
    <cellStyle name="Output 2 7 6 5" xfId="5914" xr:uid="{00000000-0005-0000-0000-000020590000}"/>
    <cellStyle name="Output 2 7 6 5 2" xfId="16106" xr:uid="{00000000-0005-0000-0000-000021590000}"/>
    <cellStyle name="Output 2 7 6 5 2 2" xfId="30938" xr:uid="{00000000-0005-0000-0000-000022590000}"/>
    <cellStyle name="Output 2 7 6 5 3" xfId="18421" xr:uid="{00000000-0005-0000-0000-000023590000}"/>
    <cellStyle name="Output 2 7 6 6" xfId="12176" xr:uid="{00000000-0005-0000-0000-000024590000}"/>
    <cellStyle name="Output 2 7 6 6 2" xfId="27008" xr:uid="{00000000-0005-0000-0000-000025590000}"/>
    <cellStyle name="Output 2 7 6 7" xfId="9772" xr:uid="{00000000-0005-0000-0000-000026590000}"/>
    <cellStyle name="Output 2 7 6 7 2" xfId="24729" xr:uid="{00000000-0005-0000-0000-000027590000}"/>
    <cellStyle name="Output 2 7 7" xfId="2184" xr:uid="{00000000-0005-0000-0000-000028590000}"/>
    <cellStyle name="Output 2 7 7 2" xfId="4067" xr:uid="{00000000-0005-0000-0000-000029590000}"/>
    <cellStyle name="Output 2 7 7 2 2" xfId="8114" xr:uid="{00000000-0005-0000-0000-00002A590000}"/>
    <cellStyle name="Output 2 7 7 2 2 2" xfId="17503" xr:uid="{00000000-0005-0000-0000-00002B590000}"/>
    <cellStyle name="Output 2 7 7 2 2 2 2" xfId="32335" xr:uid="{00000000-0005-0000-0000-00002C590000}"/>
    <cellStyle name="Output 2 7 7 2 2 3" xfId="19255" xr:uid="{00000000-0005-0000-0000-00002D590000}"/>
    <cellStyle name="Output 2 7 7 2 3" xfId="14399" xr:uid="{00000000-0005-0000-0000-00002E590000}"/>
    <cellStyle name="Output 2 7 7 2 3 2" xfId="29231" xr:uid="{00000000-0005-0000-0000-00002F590000}"/>
    <cellStyle name="Output 2 7 7 2 4" xfId="11119" xr:uid="{00000000-0005-0000-0000-000030590000}"/>
    <cellStyle name="Output 2 7 7 2 4 2" xfId="25951" xr:uid="{00000000-0005-0000-0000-000031590000}"/>
    <cellStyle name="Output 2 7 7 3" xfId="5152" xr:uid="{00000000-0005-0000-0000-000032590000}"/>
    <cellStyle name="Output 2 7 7 3 2" xfId="9191" xr:uid="{00000000-0005-0000-0000-000033590000}"/>
    <cellStyle name="Output 2 7 7 3 2 2" xfId="18114" xr:uid="{00000000-0005-0000-0000-000034590000}"/>
    <cellStyle name="Output 2 7 7 3 2 2 2" xfId="32946" xr:uid="{00000000-0005-0000-0000-000035590000}"/>
    <cellStyle name="Output 2 7 7 3 2 3" xfId="19665" xr:uid="{00000000-0005-0000-0000-000036590000}"/>
    <cellStyle name="Output 2 7 7 3 3" xfId="15470" xr:uid="{00000000-0005-0000-0000-000037590000}"/>
    <cellStyle name="Output 2 7 7 3 3 2" xfId="30302" xr:uid="{00000000-0005-0000-0000-000038590000}"/>
    <cellStyle name="Output 2 7 7 3 4" xfId="11711" xr:uid="{00000000-0005-0000-0000-000039590000}"/>
    <cellStyle name="Output 2 7 7 3 4 2" xfId="26543" xr:uid="{00000000-0005-0000-0000-00003A590000}"/>
    <cellStyle name="Output 2 7 7 4" xfId="4182" xr:uid="{00000000-0005-0000-0000-00003B590000}"/>
    <cellStyle name="Output 2 7 7 4 2" xfId="8223" xr:uid="{00000000-0005-0000-0000-00003C590000}"/>
    <cellStyle name="Output 2 7 7 4 2 2" xfId="17570" xr:uid="{00000000-0005-0000-0000-00003D590000}"/>
    <cellStyle name="Output 2 7 7 4 2 2 2" xfId="32402" xr:uid="{00000000-0005-0000-0000-00003E590000}"/>
    <cellStyle name="Output 2 7 7 4 2 3" xfId="19308" xr:uid="{00000000-0005-0000-0000-00003F590000}"/>
    <cellStyle name="Output 2 7 7 4 3" xfId="14514" xr:uid="{00000000-0005-0000-0000-000040590000}"/>
    <cellStyle name="Output 2 7 7 4 3 2" xfId="29346" xr:uid="{00000000-0005-0000-0000-000041590000}"/>
    <cellStyle name="Output 2 7 7 4 4" xfId="11190" xr:uid="{00000000-0005-0000-0000-000042590000}"/>
    <cellStyle name="Output 2 7 7 4 4 2" xfId="26022" xr:uid="{00000000-0005-0000-0000-000043590000}"/>
    <cellStyle name="Output 2 7 7 5" xfId="6298" xr:uid="{00000000-0005-0000-0000-000044590000}"/>
    <cellStyle name="Output 2 7 7 5 2" xfId="16482" xr:uid="{00000000-0005-0000-0000-000045590000}"/>
    <cellStyle name="Output 2 7 7 5 2 2" xfId="31314" xr:uid="{00000000-0005-0000-0000-000046590000}"/>
    <cellStyle name="Output 2 7 7 5 3" xfId="18601" xr:uid="{00000000-0005-0000-0000-000047590000}"/>
    <cellStyle name="Output 2 7 7 6" xfId="12552" xr:uid="{00000000-0005-0000-0000-000048590000}"/>
    <cellStyle name="Output 2 7 7 6 2" xfId="27384" xr:uid="{00000000-0005-0000-0000-000049590000}"/>
    <cellStyle name="Output 2 7 7 7" xfId="10134" xr:uid="{00000000-0005-0000-0000-00004A590000}"/>
    <cellStyle name="Output 2 7 7 7 2" xfId="24966" xr:uid="{00000000-0005-0000-0000-00004B590000}"/>
    <cellStyle name="Output 2 7 8" xfId="3277" xr:uid="{00000000-0005-0000-0000-00004C590000}"/>
    <cellStyle name="Output 2 7 8 2" xfId="7341" xr:uid="{00000000-0005-0000-0000-00004D590000}"/>
    <cellStyle name="Output 2 7 8 2 2" xfId="17085" xr:uid="{00000000-0005-0000-0000-00004E590000}"/>
    <cellStyle name="Output 2 7 8 2 2 2" xfId="31917" xr:uid="{00000000-0005-0000-0000-00004F590000}"/>
    <cellStyle name="Output 2 7 8 2 3" xfId="18980" xr:uid="{00000000-0005-0000-0000-000050590000}"/>
    <cellStyle name="Output 2 7 8 3" xfId="13614" xr:uid="{00000000-0005-0000-0000-000051590000}"/>
    <cellStyle name="Output 2 7 8 3 2" xfId="28446" xr:uid="{00000000-0005-0000-0000-000052590000}"/>
    <cellStyle name="Output 2 7 8 4" xfId="10713" xr:uid="{00000000-0005-0000-0000-000053590000}"/>
    <cellStyle name="Output 2 7 8 4 2" xfId="25545" xr:uid="{00000000-0005-0000-0000-000054590000}"/>
    <cellStyle name="Output 2 7 9" xfId="3129" xr:uid="{00000000-0005-0000-0000-000055590000}"/>
    <cellStyle name="Output 2 7 9 2" xfId="7193" xr:uid="{00000000-0005-0000-0000-000056590000}"/>
    <cellStyle name="Output 2 7 9 2 2" xfId="16984" xr:uid="{00000000-0005-0000-0000-000057590000}"/>
    <cellStyle name="Output 2 7 9 2 2 2" xfId="31816" xr:uid="{00000000-0005-0000-0000-000058590000}"/>
    <cellStyle name="Output 2 7 9 2 3" xfId="18938" xr:uid="{00000000-0005-0000-0000-000059590000}"/>
    <cellStyle name="Output 2 7 9 3" xfId="13467" xr:uid="{00000000-0005-0000-0000-00005A590000}"/>
    <cellStyle name="Output 2 7 9 3 2" xfId="28299" xr:uid="{00000000-0005-0000-0000-00005B590000}"/>
    <cellStyle name="Output 2 7 9 4" xfId="10640" xr:uid="{00000000-0005-0000-0000-00005C590000}"/>
    <cellStyle name="Output 2 7 9 4 2" xfId="25472" xr:uid="{00000000-0005-0000-0000-00005D590000}"/>
    <cellStyle name="Output 2 8" xfId="1238" xr:uid="{00000000-0005-0000-0000-00005E590000}"/>
    <cellStyle name="Output 2 8 10" xfId="2324" xr:uid="{00000000-0005-0000-0000-00005F590000}"/>
    <cellStyle name="Output 2 8 10 2" xfId="6436" xr:uid="{00000000-0005-0000-0000-000060590000}"/>
    <cellStyle name="Output 2 8 10 2 2" xfId="16529" xr:uid="{00000000-0005-0000-0000-000061590000}"/>
    <cellStyle name="Output 2 8 10 2 2 2" xfId="31361" xr:uid="{00000000-0005-0000-0000-000062590000}"/>
    <cellStyle name="Output 2 8 10 2 3" xfId="18617" xr:uid="{00000000-0005-0000-0000-000063590000}"/>
    <cellStyle name="Output 2 8 10 3" xfId="12664" xr:uid="{00000000-0005-0000-0000-000064590000}"/>
    <cellStyle name="Output 2 8 10 3 2" xfId="27496" xr:uid="{00000000-0005-0000-0000-000065590000}"/>
    <cellStyle name="Output 2 8 10 4" xfId="10180" xr:uid="{00000000-0005-0000-0000-000066590000}"/>
    <cellStyle name="Output 2 8 10 4 2" xfId="25012" xr:uid="{00000000-0005-0000-0000-000067590000}"/>
    <cellStyle name="Output 2 8 11" xfId="5287" xr:uid="{00000000-0005-0000-0000-000068590000}"/>
    <cellStyle name="Output 2 8 11 2" xfId="9295" xr:uid="{00000000-0005-0000-0000-000069590000}"/>
    <cellStyle name="Output 2 8 11 2 2" xfId="18162" xr:uid="{00000000-0005-0000-0000-00006A590000}"/>
    <cellStyle name="Output 2 8 11 2 2 2" xfId="32994" xr:uid="{00000000-0005-0000-0000-00006B590000}"/>
    <cellStyle name="Output 2 8 11 2 3" xfId="19681" xr:uid="{00000000-0005-0000-0000-00006C590000}"/>
    <cellStyle name="Output 2 8 11 3" xfId="15603" xr:uid="{00000000-0005-0000-0000-00006D590000}"/>
    <cellStyle name="Output 2 8 11 3 2" xfId="30435" xr:uid="{00000000-0005-0000-0000-00006E590000}"/>
    <cellStyle name="Output 2 8 12" xfId="5445" xr:uid="{00000000-0005-0000-0000-00006F590000}"/>
    <cellStyle name="Output 2 8 12 2" xfId="15681" xr:uid="{00000000-0005-0000-0000-000070590000}"/>
    <cellStyle name="Output 2 8 12 2 2" xfId="30513" xr:uid="{00000000-0005-0000-0000-000071590000}"/>
    <cellStyle name="Output 2 8 12 3" xfId="18258" xr:uid="{00000000-0005-0000-0000-000072590000}"/>
    <cellStyle name="Output 2 8 13" xfId="9346" xr:uid="{00000000-0005-0000-0000-000073590000}"/>
    <cellStyle name="Output 2 8 13 2" xfId="24652" xr:uid="{00000000-0005-0000-0000-000074590000}"/>
    <cellStyle name="Output 2 8 14" xfId="5335" xr:uid="{00000000-0005-0000-0000-000075590000}"/>
    <cellStyle name="Output 2 8 14 2" xfId="18209" xr:uid="{00000000-0005-0000-0000-000076590000}"/>
    <cellStyle name="Output 2 8 2" xfId="1357" xr:uid="{00000000-0005-0000-0000-000077590000}"/>
    <cellStyle name="Output 2 8 2 2" xfId="1861" xr:uid="{00000000-0005-0000-0000-000078590000}"/>
    <cellStyle name="Output 2 8 2 2 2" xfId="3909" xr:uid="{00000000-0005-0000-0000-000079590000}"/>
    <cellStyle name="Output 2 8 2 2 2 2" xfId="7960" xr:uid="{00000000-0005-0000-0000-00007A590000}"/>
    <cellStyle name="Output 2 8 2 2 2 2 2" xfId="17425" xr:uid="{00000000-0005-0000-0000-00007B590000}"/>
    <cellStyle name="Output 2 8 2 2 2 2 2 2" xfId="32257" xr:uid="{00000000-0005-0000-0000-00007C590000}"/>
    <cellStyle name="Output 2 8 2 2 2 2 3" xfId="19198" xr:uid="{00000000-0005-0000-0000-00007D590000}"/>
    <cellStyle name="Output 2 8 2 2 2 3" xfId="14242" xr:uid="{00000000-0005-0000-0000-00007E590000}"/>
    <cellStyle name="Output 2 8 2 2 2 3 2" xfId="29074" xr:uid="{00000000-0005-0000-0000-00007F590000}"/>
    <cellStyle name="Output 2 8 2 2 2 4" xfId="11041" xr:uid="{00000000-0005-0000-0000-000080590000}"/>
    <cellStyle name="Output 2 8 2 2 2 4 2" xfId="25873" xr:uid="{00000000-0005-0000-0000-000081590000}"/>
    <cellStyle name="Output 2 8 2 2 3" xfId="4839" xr:uid="{00000000-0005-0000-0000-000082590000}"/>
    <cellStyle name="Output 2 8 2 2 3 2" xfId="8878" xr:uid="{00000000-0005-0000-0000-000083590000}"/>
    <cellStyle name="Output 2 8 2 2 3 2 2" xfId="17919" xr:uid="{00000000-0005-0000-0000-000084590000}"/>
    <cellStyle name="Output 2 8 2 2 3 2 2 2" xfId="32751" xr:uid="{00000000-0005-0000-0000-000085590000}"/>
    <cellStyle name="Output 2 8 2 2 3 2 3" xfId="19521" xr:uid="{00000000-0005-0000-0000-000086590000}"/>
    <cellStyle name="Output 2 8 2 2 3 3" xfId="15163" xr:uid="{00000000-0005-0000-0000-000087590000}"/>
    <cellStyle name="Output 2 8 2 2 3 3 2" xfId="29995" xr:uid="{00000000-0005-0000-0000-000088590000}"/>
    <cellStyle name="Output 2 8 2 2 3 4" xfId="11522" xr:uid="{00000000-0005-0000-0000-000089590000}"/>
    <cellStyle name="Output 2 8 2 2 3 4 2" xfId="26354" xr:uid="{00000000-0005-0000-0000-00008A590000}"/>
    <cellStyle name="Output 2 8 2 2 4" xfId="2829" xr:uid="{00000000-0005-0000-0000-00008B590000}"/>
    <cellStyle name="Output 2 8 2 2 4 2" xfId="6920" xr:uid="{00000000-0005-0000-0000-00008C590000}"/>
    <cellStyle name="Output 2 8 2 2 4 2 2" xfId="16813" xr:uid="{00000000-0005-0000-0000-00008D590000}"/>
    <cellStyle name="Output 2 8 2 2 4 2 2 2" xfId="31645" xr:uid="{00000000-0005-0000-0000-00008E590000}"/>
    <cellStyle name="Output 2 8 2 2 4 2 3" xfId="18812" xr:uid="{00000000-0005-0000-0000-00008F590000}"/>
    <cellStyle name="Output 2 8 2 2 4 3" xfId="13167" xr:uid="{00000000-0005-0000-0000-000090590000}"/>
    <cellStyle name="Output 2 8 2 2 4 3 2" xfId="27999" xr:uid="{00000000-0005-0000-0000-000091590000}"/>
    <cellStyle name="Output 2 8 2 2 4 4" xfId="10466" xr:uid="{00000000-0005-0000-0000-000092590000}"/>
    <cellStyle name="Output 2 8 2 2 4 4 2" xfId="25298" xr:uid="{00000000-0005-0000-0000-000093590000}"/>
    <cellStyle name="Output 2 8 2 2 5" xfId="5993" xr:uid="{00000000-0005-0000-0000-000094590000}"/>
    <cellStyle name="Output 2 8 2 2 5 2" xfId="16185" xr:uid="{00000000-0005-0000-0000-000095590000}"/>
    <cellStyle name="Output 2 8 2 2 5 2 2" xfId="31017" xr:uid="{00000000-0005-0000-0000-000096590000}"/>
    <cellStyle name="Output 2 8 2 2 5 3" xfId="18454" xr:uid="{00000000-0005-0000-0000-000097590000}"/>
    <cellStyle name="Output 2 8 2 2 6" xfId="12255" xr:uid="{00000000-0005-0000-0000-000098590000}"/>
    <cellStyle name="Output 2 8 2 2 6 2" xfId="27087" xr:uid="{00000000-0005-0000-0000-000099590000}"/>
    <cellStyle name="Output 2 8 2 2 7" xfId="9851" xr:uid="{00000000-0005-0000-0000-00009A590000}"/>
    <cellStyle name="Output 2 8 2 2 7 2" xfId="24777" xr:uid="{00000000-0005-0000-0000-00009B590000}"/>
    <cellStyle name="Output 2 8 2 3" xfId="4092" xr:uid="{00000000-0005-0000-0000-00009C590000}"/>
    <cellStyle name="Output 2 8 2 3 2" xfId="8138" xr:uid="{00000000-0005-0000-0000-00009D590000}"/>
    <cellStyle name="Output 2 8 2 3 2 2" xfId="17513" xr:uid="{00000000-0005-0000-0000-00009E590000}"/>
    <cellStyle name="Output 2 8 2 3 2 2 2" xfId="32345" xr:uid="{00000000-0005-0000-0000-00009F590000}"/>
    <cellStyle name="Output 2 8 2 3 2 3" xfId="19263" xr:uid="{00000000-0005-0000-0000-0000A0590000}"/>
    <cellStyle name="Output 2 8 2 3 3" xfId="14424" xr:uid="{00000000-0005-0000-0000-0000A1590000}"/>
    <cellStyle name="Output 2 8 2 3 3 2" xfId="29256" xr:uid="{00000000-0005-0000-0000-0000A2590000}"/>
    <cellStyle name="Output 2 8 2 3 4" xfId="11130" xr:uid="{00000000-0005-0000-0000-0000A3590000}"/>
    <cellStyle name="Output 2 8 2 3 4 2" xfId="25962" xr:uid="{00000000-0005-0000-0000-0000A4590000}"/>
    <cellStyle name="Output 2 8 2 4" xfId="4419" xr:uid="{00000000-0005-0000-0000-0000A5590000}"/>
    <cellStyle name="Output 2 8 2 4 2" xfId="8458" xr:uid="{00000000-0005-0000-0000-0000A6590000}"/>
    <cellStyle name="Output 2 8 2 4 2 2" xfId="17679" xr:uid="{00000000-0005-0000-0000-0000A7590000}"/>
    <cellStyle name="Output 2 8 2 4 2 2 2" xfId="32511" xr:uid="{00000000-0005-0000-0000-0000A8590000}"/>
    <cellStyle name="Output 2 8 2 4 2 3" xfId="19361" xr:uid="{00000000-0005-0000-0000-0000A9590000}"/>
    <cellStyle name="Output 2 8 2 4 3" xfId="14748" xr:uid="{00000000-0005-0000-0000-0000AA590000}"/>
    <cellStyle name="Output 2 8 2 4 3 2" xfId="29580" xr:uid="{00000000-0005-0000-0000-0000AB590000}"/>
    <cellStyle name="Output 2 8 2 4 4" xfId="11287" xr:uid="{00000000-0005-0000-0000-0000AC590000}"/>
    <cellStyle name="Output 2 8 2 4 4 2" xfId="26119" xr:uid="{00000000-0005-0000-0000-0000AD590000}"/>
    <cellStyle name="Output 2 8 2 5" xfId="2409" xr:uid="{00000000-0005-0000-0000-0000AE590000}"/>
    <cellStyle name="Output 2 8 2 5 2" xfId="6521" xr:uid="{00000000-0005-0000-0000-0000AF590000}"/>
    <cellStyle name="Output 2 8 2 5 2 2" xfId="16577" xr:uid="{00000000-0005-0000-0000-0000B0590000}"/>
    <cellStyle name="Output 2 8 2 5 2 2 2" xfId="31409" xr:uid="{00000000-0005-0000-0000-0000B1590000}"/>
    <cellStyle name="Output 2 8 2 5 2 3" xfId="18649" xr:uid="{00000000-0005-0000-0000-0000B2590000}"/>
    <cellStyle name="Output 2 8 2 5 3" xfId="12748" xr:uid="{00000000-0005-0000-0000-0000B3590000}"/>
    <cellStyle name="Output 2 8 2 5 3 2" xfId="27580" xr:uid="{00000000-0005-0000-0000-0000B4590000}"/>
    <cellStyle name="Output 2 8 2 5 4" xfId="10227" xr:uid="{00000000-0005-0000-0000-0000B5590000}"/>
    <cellStyle name="Output 2 8 2 5 4 2" xfId="25059" xr:uid="{00000000-0005-0000-0000-0000B6590000}"/>
    <cellStyle name="Output 2 8 2 6" xfId="5534" xr:uid="{00000000-0005-0000-0000-0000B7590000}"/>
    <cellStyle name="Output 2 8 2 6 2" xfId="15769" xr:uid="{00000000-0005-0000-0000-0000B8590000}"/>
    <cellStyle name="Output 2 8 2 6 2 2" xfId="30601" xr:uid="{00000000-0005-0000-0000-0000B9590000}"/>
    <cellStyle name="Output 2 8 2 6 3" xfId="18291" xr:uid="{00000000-0005-0000-0000-0000BA590000}"/>
    <cellStyle name="Output 2 8 2 7" xfId="11784" xr:uid="{00000000-0005-0000-0000-0000BB590000}"/>
    <cellStyle name="Output 2 8 2 7 2" xfId="26616" xr:uid="{00000000-0005-0000-0000-0000BC590000}"/>
    <cellStyle name="Output 2 8 2 8" xfId="9455" xr:uid="{00000000-0005-0000-0000-0000BD590000}"/>
    <cellStyle name="Output 2 8 2 8 2" xfId="19759" xr:uid="{00000000-0005-0000-0000-0000BE590000}"/>
    <cellStyle name="Output 2 8 3" xfId="1527" xr:uid="{00000000-0005-0000-0000-0000BF590000}"/>
    <cellStyle name="Output 2 8 3 2" xfId="2024" xr:uid="{00000000-0005-0000-0000-0000C0590000}"/>
    <cellStyle name="Output 2 8 3 2 2" xfId="3903" xr:uid="{00000000-0005-0000-0000-0000C1590000}"/>
    <cellStyle name="Output 2 8 3 2 2 2" xfId="7954" xr:uid="{00000000-0005-0000-0000-0000C2590000}"/>
    <cellStyle name="Output 2 8 3 2 2 2 2" xfId="17421" xr:uid="{00000000-0005-0000-0000-0000C3590000}"/>
    <cellStyle name="Output 2 8 3 2 2 2 2 2" xfId="32253" xr:uid="{00000000-0005-0000-0000-0000C4590000}"/>
    <cellStyle name="Output 2 8 3 2 2 2 3" xfId="19194" xr:uid="{00000000-0005-0000-0000-0000C5590000}"/>
    <cellStyle name="Output 2 8 3 2 2 3" xfId="14236" xr:uid="{00000000-0005-0000-0000-0000C6590000}"/>
    <cellStyle name="Output 2 8 3 2 2 3 2" xfId="29068" xr:uid="{00000000-0005-0000-0000-0000C7590000}"/>
    <cellStyle name="Output 2 8 3 2 2 4" xfId="11037" xr:uid="{00000000-0005-0000-0000-0000C8590000}"/>
    <cellStyle name="Output 2 8 3 2 2 4 2" xfId="25869" xr:uid="{00000000-0005-0000-0000-0000C9590000}"/>
    <cellStyle name="Output 2 8 3 2 3" xfId="4992" xr:uid="{00000000-0005-0000-0000-0000CA590000}"/>
    <cellStyle name="Output 2 8 3 2 3 2" xfId="9031" xr:uid="{00000000-0005-0000-0000-0000CB590000}"/>
    <cellStyle name="Output 2 8 3 2 3 2 2" xfId="17969" xr:uid="{00000000-0005-0000-0000-0000CC590000}"/>
    <cellStyle name="Output 2 8 3 2 3 2 2 2" xfId="32801" xr:uid="{00000000-0005-0000-0000-0000CD590000}"/>
    <cellStyle name="Output 2 8 3 2 3 2 3" xfId="19553" xr:uid="{00000000-0005-0000-0000-0000CE590000}"/>
    <cellStyle name="Output 2 8 3 2 3 3" xfId="15314" xr:uid="{00000000-0005-0000-0000-0000CF590000}"/>
    <cellStyle name="Output 2 8 3 2 3 3 2" xfId="30146" xr:uid="{00000000-0005-0000-0000-0000D0590000}"/>
    <cellStyle name="Output 2 8 3 2 3 4" xfId="11570" xr:uid="{00000000-0005-0000-0000-0000D1590000}"/>
    <cellStyle name="Output 2 8 3 2 3 4 2" xfId="26402" xr:uid="{00000000-0005-0000-0000-0000D2590000}"/>
    <cellStyle name="Output 2 8 3 2 4" xfId="2982" xr:uid="{00000000-0005-0000-0000-0000D3590000}"/>
    <cellStyle name="Output 2 8 3 2 4 2" xfId="7062" xr:uid="{00000000-0005-0000-0000-0000D4590000}"/>
    <cellStyle name="Output 2 8 3 2 4 2 2" xfId="16861" xr:uid="{00000000-0005-0000-0000-0000D5590000}"/>
    <cellStyle name="Output 2 8 3 2 4 2 2 2" xfId="31693" xr:uid="{00000000-0005-0000-0000-0000D6590000}"/>
    <cellStyle name="Output 2 8 3 2 4 2 3" xfId="18845" xr:uid="{00000000-0005-0000-0000-0000D7590000}"/>
    <cellStyle name="Output 2 8 3 2 4 3" xfId="13320" xr:uid="{00000000-0005-0000-0000-0000D8590000}"/>
    <cellStyle name="Output 2 8 3 2 4 3 2" xfId="28152" xr:uid="{00000000-0005-0000-0000-0000D9590000}"/>
    <cellStyle name="Output 2 8 3 2 4 4" xfId="10516" xr:uid="{00000000-0005-0000-0000-0000DA590000}"/>
    <cellStyle name="Output 2 8 3 2 4 4 2" xfId="25348" xr:uid="{00000000-0005-0000-0000-0000DB590000}"/>
    <cellStyle name="Output 2 8 3 2 5" xfId="6154" xr:uid="{00000000-0005-0000-0000-0000DC590000}"/>
    <cellStyle name="Output 2 8 3 2 5 2" xfId="16341" xr:uid="{00000000-0005-0000-0000-0000DD590000}"/>
    <cellStyle name="Output 2 8 3 2 5 2 2" xfId="31173" xr:uid="{00000000-0005-0000-0000-0000DE590000}"/>
    <cellStyle name="Output 2 8 3 2 5 3" xfId="18486" xr:uid="{00000000-0005-0000-0000-0000DF590000}"/>
    <cellStyle name="Output 2 8 3 2 6" xfId="12411" xr:uid="{00000000-0005-0000-0000-0000E0590000}"/>
    <cellStyle name="Output 2 8 3 2 6 2" xfId="27243" xr:uid="{00000000-0005-0000-0000-0000E1590000}"/>
    <cellStyle name="Output 2 8 3 2 7" xfId="9993" xr:uid="{00000000-0005-0000-0000-0000E2590000}"/>
    <cellStyle name="Output 2 8 3 2 7 2" xfId="24825" xr:uid="{00000000-0005-0000-0000-0000E3590000}"/>
    <cellStyle name="Output 2 8 3 3" xfId="4302" xr:uid="{00000000-0005-0000-0000-0000E4590000}"/>
    <cellStyle name="Output 2 8 3 3 2" xfId="8341" xr:uid="{00000000-0005-0000-0000-0000E5590000}"/>
    <cellStyle name="Output 2 8 3 3 2 2" xfId="17620" xr:uid="{00000000-0005-0000-0000-0000E6590000}"/>
    <cellStyle name="Output 2 8 3 3 2 2 2" xfId="32452" xr:uid="{00000000-0005-0000-0000-0000E7590000}"/>
    <cellStyle name="Output 2 8 3 3 2 3" xfId="19326" xr:uid="{00000000-0005-0000-0000-0000E8590000}"/>
    <cellStyle name="Output 2 8 3 3 3" xfId="14633" xr:uid="{00000000-0005-0000-0000-0000E9590000}"/>
    <cellStyle name="Output 2 8 3 3 3 2" xfId="29465" xr:uid="{00000000-0005-0000-0000-0000EA590000}"/>
    <cellStyle name="Output 2 8 3 3 4" xfId="11232" xr:uid="{00000000-0005-0000-0000-0000EB590000}"/>
    <cellStyle name="Output 2 8 3 3 4 2" xfId="26064" xr:uid="{00000000-0005-0000-0000-0000EC590000}"/>
    <cellStyle name="Output 2 8 3 4" xfId="4572" xr:uid="{00000000-0005-0000-0000-0000ED590000}"/>
    <cellStyle name="Output 2 8 3 4 2" xfId="8611" xr:uid="{00000000-0005-0000-0000-0000EE590000}"/>
    <cellStyle name="Output 2 8 3 4 2 2" xfId="17729" xr:uid="{00000000-0005-0000-0000-0000EF590000}"/>
    <cellStyle name="Output 2 8 3 4 2 2 2" xfId="32561" xr:uid="{00000000-0005-0000-0000-0000F0590000}"/>
    <cellStyle name="Output 2 8 3 4 2 3" xfId="19393" xr:uid="{00000000-0005-0000-0000-0000F1590000}"/>
    <cellStyle name="Output 2 8 3 4 3" xfId="14899" xr:uid="{00000000-0005-0000-0000-0000F2590000}"/>
    <cellStyle name="Output 2 8 3 4 3 2" xfId="29731" xr:uid="{00000000-0005-0000-0000-0000F3590000}"/>
    <cellStyle name="Output 2 8 3 4 4" xfId="11335" xr:uid="{00000000-0005-0000-0000-0000F4590000}"/>
    <cellStyle name="Output 2 8 3 4 4 2" xfId="26167" xr:uid="{00000000-0005-0000-0000-0000F5590000}"/>
    <cellStyle name="Output 2 8 3 5" xfId="2562" xr:uid="{00000000-0005-0000-0000-0000F6590000}"/>
    <cellStyle name="Output 2 8 3 5 2" xfId="6668" xr:uid="{00000000-0005-0000-0000-0000F7590000}"/>
    <cellStyle name="Output 2 8 3 5 2 2" xfId="16626" xr:uid="{00000000-0005-0000-0000-0000F8590000}"/>
    <cellStyle name="Output 2 8 3 5 2 2 2" xfId="31458" xr:uid="{00000000-0005-0000-0000-0000F9590000}"/>
    <cellStyle name="Output 2 8 3 5 2 3" xfId="18681" xr:uid="{00000000-0005-0000-0000-0000FA590000}"/>
    <cellStyle name="Output 2 8 3 5 3" xfId="12900" xr:uid="{00000000-0005-0000-0000-0000FB590000}"/>
    <cellStyle name="Output 2 8 3 5 3 2" xfId="27732" xr:uid="{00000000-0005-0000-0000-0000FC590000}"/>
    <cellStyle name="Output 2 8 3 5 4" xfId="10276" xr:uid="{00000000-0005-0000-0000-0000FD590000}"/>
    <cellStyle name="Output 2 8 3 5 4 2" xfId="25108" xr:uid="{00000000-0005-0000-0000-0000FE590000}"/>
    <cellStyle name="Output 2 8 3 6" xfId="5685" xr:uid="{00000000-0005-0000-0000-0000FF590000}"/>
    <cellStyle name="Output 2 8 3 6 2" xfId="15920" xr:uid="{00000000-0005-0000-0000-0000005A0000}"/>
    <cellStyle name="Output 2 8 3 6 2 2" xfId="30752" xr:uid="{00000000-0005-0000-0000-0000015A0000}"/>
    <cellStyle name="Output 2 8 3 6 3" xfId="18323" xr:uid="{00000000-0005-0000-0000-0000025A0000}"/>
    <cellStyle name="Output 2 8 3 7" xfId="11940" xr:uid="{00000000-0005-0000-0000-0000035A0000}"/>
    <cellStyle name="Output 2 8 3 7 2" xfId="26772" xr:uid="{00000000-0005-0000-0000-0000045A0000}"/>
    <cellStyle name="Output 2 8 3 8" xfId="9598" xr:uid="{00000000-0005-0000-0000-0000055A0000}"/>
    <cellStyle name="Output 2 8 3 8 2" xfId="19900" xr:uid="{00000000-0005-0000-0000-0000065A0000}"/>
    <cellStyle name="Output 2 8 4" xfId="1582" xr:uid="{00000000-0005-0000-0000-0000075A0000}"/>
    <cellStyle name="Output 2 8 4 2" xfId="2079" xr:uid="{00000000-0005-0000-0000-0000085A0000}"/>
    <cellStyle name="Output 2 8 4 2 2" xfId="3936" xr:uid="{00000000-0005-0000-0000-0000095A0000}"/>
    <cellStyle name="Output 2 8 4 2 2 2" xfId="7986" xr:uid="{00000000-0005-0000-0000-00000A5A0000}"/>
    <cellStyle name="Output 2 8 4 2 2 2 2" xfId="17440" xr:uid="{00000000-0005-0000-0000-00000B5A0000}"/>
    <cellStyle name="Output 2 8 4 2 2 2 2 2" xfId="32272" xr:uid="{00000000-0005-0000-0000-00000C5A0000}"/>
    <cellStyle name="Output 2 8 4 2 2 2 3" xfId="19209" xr:uid="{00000000-0005-0000-0000-00000D5A0000}"/>
    <cellStyle name="Output 2 8 4 2 2 3" xfId="14269" xr:uid="{00000000-0005-0000-0000-00000E5A0000}"/>
    <cellStyle name="Output 2 8 4 2 2 3 2" xfId="29101" xr:uid="{00000000-0005-0000-0000-00000F5A0000}"/>
    <cellStyle name="Output 2 8 4 2 2 4" xfId="11055" xr:uid="{00000000-0005-0000-0000-0000105A0000}"/>
    <cellStyle name="Output 2 8 4 2 2 4 2" xfId="25887" xr:uid="{00000000-0005-0000-0000-0000115A0000}"/>
    <cellStyle name="Output 2 8 4 2 3" xfId="5047" xr:uid="{00000000-0005-0000-0000-0000125A0000}"/>
    <cellStyle name="Output 2 8 4 2 3 2" xfId="9086" xr:uid="{00000000-0005-0000-0000-0000135A0000}"/>
    <cellStyle name="Output 2 8 4 2 3 2 2" xfId="18019" xr:uid="{00000000-0005-0000-0000-0000145A0000}"/>
    <cellStyle name="Output 2 8 4 2 3 2 2 2" xfId="32851" xr:uid="{00000000-0005-0000-0000-0000155A0000}"/>
    <cellStyle name="Output 2 8 4 2 3 2 3" xfId="19585" xr:uid="{00000000-0005-0000-0000-0000165A0000}"/>
    <cellStyle name="Output 2 8 4 2 3 3" xfId="15368" xr:uid="{00000000-0005-0000-0000-0000175A0000}"/>
    <cellStyle name="Output 2 8 4 2 3 3 2" xfId="30200" xr:uid="{00000000-0005-0000-0000-0000185A0000}"/>
    <cellStyle name="Output 2 8 4 2 3 4" xfId="11619" xr:uid="{00000000-0005-0000-0000-0000195A0000}"/>
    <cellStyle name="Output 2 8 4 2 3 4 2" xfId="26451" xr:uid="{00000000-0005-0000-0000-00001A5A0000}"/>
    <cellStyle name="Output 2 8 4 2 4" xfId="3037" xr:uid="{00000000-0005-0000-0000-00001B5A0000}"/>
    <cellStyle name="Output 2 8 4 2 4 2" xfId="7112" xr:uid="{00000000-0005-0000-0000-00001C5A0000}"/>
    <cellStyle name="Output 2 8 4 2 4 2 2" xfId="16910" xr:uid="{00000000-0005-0000-0000-00001D5A0000}"/>
    <cellStyle name="Output 2 8 4 2 4 2 2 2" xfId="31742" xr:uid="{00000000-0005-0000-0000-00001E5A0000}"/>
    <cellStyle name="Output 2 8 4 2 4 2 3" xfId="18878" xr:uid="{00000000-0005-0000-0000-00001F5A0000}"/>
    <cellStyle name="Output 2 8 4 2 4 3" xfId="13375" xr:uid="{00000000-0005-0000-0000-0000205A0000}"/>
    <cellStyle name="Output 2 8 4 2 4 3 2" xfId="28207" xr:uid="{00000000-0005-0000-0000-0000215A0000}"/>
    <cellStyle name="Output 2 8 4 2 4 4" xfId="10566" xr:uid="{00000000-0005-0000-0000-0000225A0000}"/>
    <cellStyle name="Output 2 8 4 2 4 4 2" xfId="25398" xr:uid="{00000000-0005-0000-0000-0000235A0000}"/>
    <cellStyle name="Output 2 8 4 2 5" xfId="6204" xr:uid="{00000000-0005-0000-0000-0000245A0000}"/>
    <cellStyle name="Output 2 8 4 2 5 2" xfId="16390" xr:uid="{00000000-0005-0000-0000-0000255A0000}"/>
    <cellStyle name="Output 2 8 4 2 5 2 2" xfId="31222" xr:uid="{00000000-0005-0000-0000-0000265A0000}"/>
    <cellStyle name="Output 2 8 4 2 5 3" xfId="18519" xr:uid="{00000000-0005-0000-0000-0000275A0000}"/>
    <cellStyle name="Output 2 8 4 2 6" xfId="12460" xr:uid="{00000000-0005-0000-0000-0000285A0000}"/>
    <cellStyle name="Output 2 8 4 2 6 2" xfId="27292" xr:uid="{00000000-0005-0000-0000-0000295A0000}"/>
    <cellStyle name="Output 2 8 4 2 7" xfId="10042" xr:uid="{00000000-0005-0000-0000-00002A5A0000}"/>
    <cellStyle name="Output 2 8 4 2 7 2" xfId="24874" xr:uid="{00000000-0005-0000-0000-00002B5A0000}"/>
    <cellStyle name="Output 2 8 4 3" xfId="4329" xr:uid="{00000000-0005-0000-0000-00002C5A0000}"/>
    <cellStyle name="Output 2 8 4 3 2" xfId="8368" xr:uid="{00000000-0005-0000-0000-00002D5A0000}"/>
    <cellStyle name="Output 2 8 4 3 2 2" xfId="17646" xr:uid="{00000000-0005-0000-0000-00002E5A0000}"/>
    <cellStyle name="Output 2 8 4 3 2 2 2" xfId="32478" xr:uid="{00000000-0005-0000-0000-00002F5A0000}"/>
    <cellStyle name="Output 2 8 4 3 2 3" xfId="19346" xr:uid="{00000000-0005-0000-0000-0000305A0000}"/>
    <cellStyle name="Output 2 8 4 3 3" xfId="14660" xr:uid="{00000000-0005-0000-0000-0000315A0000}"/>
    <cellStyle name="Output 2 8 4 3 3 2" xfId="29492" xr:uid="{00000000-0005-0000-0000-0000325A0000}"/>
    <cellStyle name="Output 2 8 4 3 4" xfId="11256" xr:uid="{00000000-0005-0000-0000-0000335A0000}"/>
    <cellStyle name="Output 2 8 4 3 4 2" xfId="26088" xr:uid="{00000000-0005-0000-0000-0000345A0000}"/>
    <cellStyle name="Output 2 8 4 4" xfId="4627" xr:uid="{00000000-0005-0000-0000-0000355A0000}"/>
    <cellStyle name="Output 2 8 4 4 2" xfId="8666" xr:uid="{00000000-0005-0000-0000-0000365A0000}"/>
    <cellStyle name="Output 2 8 4 4 2 2" xfId="17779" xr:uid="{00000000-0005-0000-0000-0000375A0000}"/>
    <cellStyle name="Output 2 8 4 4 2 2 2" xfId="32611" xr:uid="{00000000-0005-0000-0000-0000385A0000}"/>
    <cellStyle name="Output 2 8 4 4 2 3" xfId="19425" xr:uid="{00000000-0005-0000-0000-0000395A0000}"/>
    <cellStyle name="Output 2 8 4 4 3" xfId="14953" xr:uid="{00000000-0005-0000-0000-00003A5A0000}"/>
    <cellStyle name="Output 2 8 4 4 3 2" xfId="29785" xr:uid="{00000000-0005-0000-0000-00003B5A0000}"/>
    <cellStyle name="Output 2 8 4 4 4" xfId="11384" xr:uid="{00000000-0005-0000-0000-00003C5A0000}"/>
    <cellStyle name="Output 2 8 4 4 4 2" xfId="26216" xr:uid="{00000000-0005-0000-0000-00003D5A0000}"/>
    <cellStyle name="Output 2 8 4 5" xfId="2617" xr:uid="{00000000-0005-0000-0000-00003E5A0000}"/>
    <cellStyle name="Output 2 8 4 5 2" xfId="6718" xr:uid="{00000000-0005-0000-0000-00003F5A0000}"/>
    <cellStyle name="Output 2 8 4 5 2 2" xfId="16675" xr:uid="{00000000-0005-0000-0000-0000405A0000}"/>
    <cellStyle name="Output 2 8 4 5 2 2 2" xfId="31507" xr:uid="{00000000-0005-0000-0000-0000415A0000}"/>
    <cellStyle name="Output 2 8 4 5 2 3" xfId="18714" xr:uid="{00000000-0005-0000-0000-0000425A0000}"/>
    <cellStyle name="Output 2 8 4 5 3" xfId="12955" xr:uid="{00000000-0005-0000-0000-0000435A0000}"/>
    <cellStyle name="Output 2 8 4 5 3 2" xfId="27787" xr:uid="{00000000-0005-0000-0000-0000445A0000}"/>
    <cellStyle name="Output 2 8 4 5 4" xfId="10326" xr:uid="{00000000-0005-0000-0000-0000455A0000}"/>
    <cellStyle name="Output 2 8 4 5 4 2" xfId="25158" xr:uid="{00000000-0005-0000-0000-0000465A0000}"/>
    <cellStyle name="Output 2 8 4 6" xfId="5734" xr:uid="{00000000-0005-0000-0000-0000475A0000}"/>
    <cellStyle name="Output 2 8 4 6 2" xfId="15969" xr:uid="{00000000-0005-0000-0000-0000485A0000}"/>
    <cellStyle name="Output 2 8 4 6 2 2" xfId="30801" xr:uid="{00000000-0005-0000-0000-0000495A0000}"/>
    <cellStyle name="Output 2 8 4 6 3" xfId="18355" xr:uid="{00000000-0005-0000-0000-00004A5A0000}"/>
    <cellStyle name="Output 2 8 4 7" xfId="11989" xr:uid="{00000000-0005-0000-0000-00004B5A0000}"/>
    <cellStyle name="Output 2 8 4 7 2" xfId="26821" xr:uid="{00000000-0005-0000-0000-00004C5A0000}"/>
    <cellStyle name="Output 2 8 4 8" xfId="9648" xr:uid="{00000000-0005-0000-0000-00004D5A0000}"/>
    <cellStyle name="Output 2 8 4 8 2" xfId="19949" xr:uid="{00000000-0005-0000-0000-00004E5A0000}"/>
    <cellStyle name="Output 2 8 5" xfId="1632" xr:uid="{00000000-0005-0000-0000-00004F5A0000}"/>
    <cellStyle name="Output 2 8 5 2" xfId="2129" xr:uid="{00000000-0005-0000-0000-0000505A0000}"/>
    <cellStyle name="Output 2 8 5 2 2" xfId="3907" xr:uid="{00000000-0005-0000-0000-0000515A0000}"/>
    <cellStyle name="Output 2 8 5 2 2 2" xfId="7958" xr:uid="{00000000-0005-0000-0000-0000525A0000}"/>
    <cellStyle name="Output 2 8 5 2 2 2 2" xfId="17424" xr:uid="{00000000-0005-0000-0000-0000535A0000}"/>
    <cellStyle name="Output 2 8 5 2 2 2 2 2" xfId="32256" xr:uid="{00000000-0005-0000-0000-0000545A0000}"/>
    <cellStyle name="Output 2 8 5 2 2 2 3" xfId="19197" xr:uid="{00000000-0005-0000-0000-0000555A0000}"/>
    <cellStyle name="Output 2 8 5 2 2 3" xfId="14240" xr:uid="{00000000-0005-0000-0000-0000565A0000}"/>
    <cellStyle name="Output 2 8 5 2 2 3 2" xfId="29072" xr:uid="{00000000-0005-0000-0000-0000575A0000}"/>
    <cellStyle name="Output 2 8 5 2 2 4" xfId="11040" xr:uid="{00000000-0005-0000-0000-0000585A0000}"/>
    <cellStyle name="Output 2 8 5 2 2 4 2" xfId="25872" xr:uid="{00000000-0005-0000-0000-0000595A0000}"/>
    <cellStyle name="Output 2 8 5 2 3" xfId="5097" xr:uid="{00000000-0005-0000-0000-00005A5A0000}"/>
    <cellStyle name="Output 2 8 5 2 3 2" xfId="9136" xr:uid="{00000000-0005-0000-0000-00005B5A0000}"/>
    <cellStyle name="Output 2 8 5 2 3 2 2" xfId="18064" xr:uid="{00000000-0005-0000-0000-00005C5A0000}"/>
    <cellStyle name="Output 2 8 5 2 3 2 2 2" xfId="32896" xr:uid="{00000000-0005-0000-0000-00005D5A0000}"/>
    <cellStyle name="Output 2 8 5 2 3 2 3" xfId="19617" xr:uid="{00000000-0005-0000-0000-00005E5A0000}"/>
    <cellStyle name="Output 2 8 5 2 3 3" xfId="15417" xr:uid="{00000000-0005-0000-0000-00005F5A0000}"/>
    <cellStyle name="Output 2 8 5 2 3 3 2" xfId="30249" xr:uid="{00000000-0005-0000-0000-0000605A0000}"/>
    <cellStyle name="Output 2 8 5 2 3 4" xfId="11663" xr:uid="{00000000-0005-0000-0000-0000615A0000}"/>
    <cellStyle name="Output 2 8 5 2 3 4 2" xfId="26495" xr:uid="{00000000-0005-0000-0000-0000625A0000}"/>
    <cellStyle name="Output 2 8 5 2 4" xfId="3087" xr:uid="{00000000-0005-0000-0000-0000635A0000}"/>
    <cellStyle name="Output 2 8 5 2 4 2" xfId="7157" xr:uid="{00000000-0005-0000-0000-0000645A0000}"/>
    <cellStyle name="Output 2 8 5 2 4 2 2" xfId="16954" xr:uid="{00000000-0005-0000-0000-0000655A0000}"/>
    <cellStyle name="Output 2 8 5 2 4 2 2 2" xfId="31786" xr:uid="{00000000-0005-0000-0000-0000665A0000}"/>
    <cellStyle name="Output 2 8 5 2 4 2 3" xfId="18911" xr:uid="{00000000-0005-0000-0000-0000675A0000}"/>
    <cellStyle name="Output 2 8 5 2 4 3" xfId="13425" xr:uid="{00000000-0005-0000-0000-0000685A0000}"/>
    <cellStyle name="Output 2 8 5 2 4 3 2" xfId="28257" xr:uid="{00000000-0005-0000-0000-0000695A0000}"/>
    <cellStyle name="Output 2 8 5 2 4 4" xfId="10611" xr:uid="{00000000-0005-0000-0000-00006A5A0000}"/>
    <cellStyle name="Output 2 8 5 2 4 4 2" xfId="25443" xr:uid="{00000000-0005-0000-0000-00006B5A0000}"/>
    <cellStyle name="Output 2 8 5 2 5" xfId="6249" xr:uid="{00000000-0005-0000-0000-00006C5A0000}"/>
    <cellStyle name="Output 2 8 5 2 5 2" xfId="16434" xr:uid="{00000000-0005-0000-0000-00006D5A0000}"/>
    <cellStyle name="Output 2 8 5 2 5 2 2" xfId="31266" xr:uid="{00000000-0005-0000-0000-00006E5A0000}"/>
    <cellStyle name="Output 2 8 5 2 5 3" xfId="18552" xr:uid="{00000000-0005-0000-0000-00006F5A0000}"/>
    <cellStyle name="Output 2 8 5 2 6" xfId="12504" xr:uid="{00000000-0005-0000-0000-0000705A0000}"/>
    <cellStyle name="Output 2 8 5 2 6 2" xfId="27336" xr:uid="{00000000-0005-0000-0000-0000715A0000}"/>
    <cellStyle name="Output 2 8 5 2 7" xfId="10086" xr:uid="{00000000-0005-0000-0000-0000725A0000}"/>
    <cellStyle name="Output 2 8 5 2 7 2" xfId="24918" xr:uid="{00000000-0005-0000-0000-0000735A0000}"/>
    <cellStyle name="Output 2 8 5 3" xfId="3453" xr:uid="{00000000-0005-0000-0000-0000745A0000}"/>
    <cellStyle name="Output 2 8 5 3 2" xfId="7516" xr:uid="{00000000-0005-0000-0000-0000755A0000}"/>
    <cellStyle name="Output 2 8 5 3 2 2" xfId="17197" xr:uid="{00000000-0005-0000-0000-0000765A0000}"/>
    <cellStyle name="Output 2 8 5 3 2 2 2" xfId="32029" xr:uid="{00000000-0005-0000-0000-0000775A0000}"/>
    <cellStyle name="Output 2 8 5 3 2 3" xfId="19040" xr:uid="{00000000-0005-0000-0000-0000785A0000}"/>
    <cellStyle name="Output 2 8 5 3 3" xfId="13790" xr:uid="{00000000-0005-0000-0000-0000795A0000}"/>
    <cellStyle name="Output 2 8 5 3 3 2" xfId="28622" xr:uid="{00000000-0005-0000-0000-00007A5A0000}"/>
    <cellStyle name="Output 2 8 5 3 4" xfId="10816" xr:uid="{00000000-0005-0000-0000-00007B5A0000}"/>
    <cellStyle name="Output 2 8 5 3 4 2" xfId="25648" xr:uid="{00000000-0005-0000-0000-00007C5A0000}"/>
    <cellStyle name="Output 2 8 5 4" xfId="4677" xr:uid="{00000000-0005-0000-0000-00007D5A0000}"/>
    <cellStyle name="Output 2 8 5 4 2" xfId="8716" xr:uid="{00000000-0005-0000-0000-00007E5A0000}"/>
    <cellStyle name="Output 2 8 5 4 2 2" xfId="17824" xr:uid="{00000000-0005-0000-0000-00007F5A0000}"/>
    <cellStyle name="Output 2 8 5 4 2 2 2" xfId="32656" xr:uid="{00000000-0005-0000-0000-0000805A0000}"/>
    <cellStyle name="Output 2 8 5 4 2 3" xfId="19457" xr:uid="{00000000-0005-0000-0000-0000815A0000}"/>
    <cellStyle name="Output 2 8 5 4 3" xfId="15002" xr:uid="{00000000-0005-0000-0000-0000825A0000}"/>
    <cellStyle name="Output 2 8 5 4 3 2" xfId="29834" xr:uid="{00000000-0005-0000-0000-0000835A0000}"/>
    <cellStyle name="Output 2 8 5 4 4" xfId="11428" xr:uid="{00000000-0005-0000-0000-0000845A0000}"/>
    <cellStyle name="Output 2 8 5 4 4 2" xfId="26260" xr:uid="{00000000-0005-0000-0000-0000855A0000}"/>
    <cellStyle name="Output 2 8 5 5" xfId="2667" xr:uid="{00000000-0005-0000-0000-0000865A0000}"/>
    <cellStyle name="Output 2 8 5 5 2" xfId="6763" xr:uid="{00000000-0005-0000-0000-0000875A0000}"/>
    <cellStyle name="Output 2 8 5 5 2 2" xfId="16719" xr:uid="{00000000-0005-0000-0000-0000885A0000}"/>
    <cellStyle name="Output 2 8 5 5 2 2 2" xfId="31551" xr:uid="{00000000-0005-0000-0000-0000895A0000}"/>
    <cellStyle name="Output 2 8 5 5 2 3" xfId="18747" xr:uid="{00000000-0005-0000-0000-00008A5A0000}"/>
    <cellStyle name="Output 2 8 5 5 3" xfId="13005" xr:uid="{00000000-0005-0000-0000-00008B5A0000}"/>
    <cellStyle name="Output 2 8 5 5 3 2" xfId="27837" xr:uid="{00000000-0005-0000-0000-00008C5A0000}"/>
    <cellStyle name="Output 2 8 5 5 4" xfId="10371" xr:uid="{00000000-0005-0000-0000-00008D5A0000}"/>
    <cellStyle name="Output 2 8 5 5 4 2" xfId="25203" xr:uid="{00000000-0005-0000-0000-00008E5A0000}"/>
    <cellStyle name="Output 2 8 5 6" xfId="5779" xr:uid="{00000000-0005-0000-0000-00008F5A0000}"/>
    <cellStyle name="Output 2 8 5 6 2" xfId="16013" xr:uid="{00000000-0005-0000-0000-0000905A0000}"/>
    <cellStyle name="Output 2 8 5 6 2 2" xfId="30845" xr:uid="{00000000-0005-0000-0000-0000915A0000}"/>
    <cellStyle name="Output 2 8 5 6 3" xfId="18388" xr:uid="{00000000-0005-0000-0000-0000925A0000}"/>
    <cellStyle name="Output 2 8 5 7" xfId="12033" xr:uid="{00000000-0005-0000-0000-0000935A0000}"/>
    <cellStyle name="Output 2 8 5 7 2" xfId="26865" xr:uid="{00000000-0005-0000-0000-0000945A0000}"/>
    <cellStyle name="Output 2 8 5 8" xfId="9693" xr:uid="{00000000-0005-0000-0000-0000955A0000}"/>
    <cellStyle name="Output 2 8 5 8 2" xfId="19993" xr:uid="{00000000-0005-0000-0000-0000965A0000}"/>
    <cellStyle name="Output 2 8 6" xfId="1783" xr:uid="{00000000-0005-0000-0000-0000975A0000}"/>
    <cellStyle name="Output 2 8 6 2" xfId="4028" xr:uid="{00000000-0005-0000-0000-0000985A0000}"/>
    <cellStyle name="Output 2 8 6 2 2" xfId="8075" xr:uid="{00000000-0005-0000-0000-0000995A0000}"/>
    <cellStyle name="Output 2 8 6 2 2 2" xfId="17485" xr:uid="{00000000-0005-0000-0000-00009A5A0000}"/>
    <cellStyle name="Output 2 8 6 2 2 2 2" xfId="32317" xr:uid="{00000000-0005-0000-0000-00009B5A0000}"/>
    <cellStyle name="Output 2 8 6 2 2 3" xfId="19241" xr:uid="{00000000-0005-0000-0000-00009C5A0000}"/>
    <cellStyle name="Output 2 8 6 2 3" xfId="14360" xr:uid="{00000000-0005-0000-0000-00009D5A0000}"/>
    <cellStyle name="Output 2 8 6 2 3 2" xfId="29192" xr:uid="{00000000-0005-0000-0000-00009E5A0000}"/>
    <cellStyle name="Output 2 8 6 2 4" xfId="11101" xr:uid="{00000000-0005-0000-0000-00009F5A0000}"/>
    <cellStyle name="Output 2 8 6 2 4 2" xfId="25933" xr:uid="{00000000-0005-0000-0000-0000A05A0000}"/>
    <cellStyle name="Output 2 8 6 3" xfId="4761" xr:uid="{00000000-0005-0000-0000-0000A15A0000}"/>
    <cellStyle name="Output 2 8 6 3 2" xfId="8800" xr:uid="{00000000-0005-0000-0000-0000A25A0000}"/>
    <cellStyle name="Output 2 8 6 3 2 2" xfId="17872" xr:uid="{00000000-0005-0000-0000-0000A35A0000}"/>
    <cellStyle name="Output 2 8 6 3 2 2 2" xfId="32704" xr:uid="{00000000-0005-0000-0000-0000A45A0000}"/>
    <cellStyle name="Output 2 8 6 3 2 3" xfId="19489" xr:uid="{00000000-0005-0000-0000-0000A55A0000}"/>
    <cellStyle name="Output 2 8 6 3 3" xfId="15085" xr:uid="{00000000-0005-0000-0000-0000A65A0000}"/>
    <cellStyle name="Output 2 8 6 3 3 2" xfId="29917" xr:uid="{00000000-0005-0000-0000-0000A75A0000}"/>
    <cellStyle name="Output 2 8 6 3 4" xfId="11475" xr:uid="{00000000-0005-0000-0000-0000A85A0000}"/>
    <cellStyle name="Output 2 8 6 3 4 2" xfId="26307" xr:uid="{00000000-0005-0000-0000-0000A95A0000}"/>
    <cellStyle name="Output 2 8 6 4" xfId="2751" xr:uid="{00000000-0005-0000-0000-0000AA5A0000}"/>
    <cellStyle name="Output 2 8 6 4 2" xfId="6842" xr:uid="{00000000-0005-0000-0000-0000AB5A0000}"/>
    <cellStyle name="Output 2 8 6 4 2 2" xfId="16766" xr:uid="{00000000-0005-0000-0000-0000AC5A0000}"/>
    <cellStyle name="Output 2 8 6 4 2 2 2" xfId="31598" xr:uid="{00000000-0005-0000-0000-0000AD5A0000}"/>
    <cellStyle name="Output 2 8 6 4 2 3" xfId="18780" xr:uid="{00000000-0005-0000-0000-0000AE5A0000}"/>
    <cellStyle name="Output 2 8 6 4 3" xfId="13089" xr:uid="{00000000-0005-0000-0000-0000AF5A0000}"/>
    <cellStyle name="Output 2 8 6 4 3 2" xfId="27921" xr:uid="{00000000-0005-0000-0000-0000B05A0000}"/>
    <cellStyle name="Output 2 8 6 4 4" xfId="10419" xr:uid="{00000000-0005-0000-0000-0000B15A0000}"/>
    <cellStyle name="Output 2 8 6 4 4 2" xfId="25251" xr:uid="{00000000-0005-0000-0000-0000B25A0000}"/>
    <cellStyle name="Output 2 8 6 5" xfId="5915" xr:uid="{00000000-0005-0000-0000-0000B35A0000}"/>
    <cellStyle name="Output 2 8 6 5 2" xfId="16107" xr:uid="{00000000-0005-0000-0000-0000B45A0000}"/>
    <cellStyle name="Output 2 8 6 5 2 2" xfId="30939" xr:uid="{00000000-0005-0000-0000-0000B55A0000}"/>
    <cellStyle name="Output 2 8 6 5 3" xfId="18422" xr:uid="{00000000-0005-0000-0000-0000B65A0000}"/>
    <cellStyle name="Output 2 8 6 6" xfId="12177" xr:uid="{00000000-0005-0000-0000-0000B75A0000}"/>
    <cellStyle name="Output 2 8 6 6 2" xfId="27009" xr:uid="{00000000-0005-0000-0000-0000B85A0000}"/>
    <cellStyle name="Output 2 8 6 7" xfId="9773" xr:uid="{00000000-0005-0000-0000-0000B95A0000}"/>
    <cellStyle name="Output 2 8 6 7 2" xfId="24730" xr:uid="{00000000-0005-0000-0000-0000BA5A0000}"/>
    <cellStyle name="Output 2 8 7" xfId="2183" xr:uid="{00000000-0005-0000-0000-0000BB5A0000}"/>
    <cellStyle name="Output 2 8 7 2" xfId="3540" xr:uid="{00000000-0005-0000-0000-0000BC5A0000}"/>
    <cellStyle name="Output 2 8 7 2 2" xfId="7602" xr:uid="{00000000-0005-0000-0000-0000BD5A0000}"/>
    <cellStyle name="Output 2 8 7 2 2 2" xfId="17246" xr:uid="{00000000-0005-0000-0000-0000BE5A0000}"/>
    <cellStyle name="Output 2 8 7 2 2 2 2" xfId="32078" xr:uid="{00000000-0005-0000-0000-0000BF5A0000}"/>
    <cellStyle name="Output 2 8 7 2 2 3" xfId="19072" xr:uid="{00000000-0005-0000-0000-0000C05A0000}"/>
    <cellStyle name="Output 2 8 7 2 3" xfId="13876" xr:uid="{00000000-0005-0000-0000-0000C15A0000}"/>
    <cellStyle name="Output 2 8 7 2 3 2" xfId="28708" xr:uid="{00000000-0005-0000-0000-0000C25A0000}"/>
    <cellStyle name="Output 2 8 7 2 4" xfId="10863" xr:uid="{00000000-0005-0000-0000-0000C35A0000}"/>
    <cellStyle name="Output 2 8 7 2 4 2" xfId="25695" xr:uid="{00000000-0005-0000-0000-0000C45A0000}"/>
    <cellStyle name="Output 2 8 7 3" xfId="5151" xr:uid="{00000000-0005-0000-0000-0000C55A0000}"/>
    <cellStyle name="Output 2 8 7 3 2" xfId="9190" xr:uid="{00000000-0005-0000-0000-0000C65A0000}"/>
    <cellStyle name="Output 2 8 7 3 2 2" xfId="18113" xr:uid="{00000000-0005-0000-0000-0000C75A0000}"/>
    <cellStyle name="Output 2 8 7 3 2 2 2" xfId="32945" xr:uid="{00000000-0005-0000-0000-0000C85A0000}"/>
    <cellStyle name="Output 2 8 7 3 2 3" xfId="19664" xr:uid="{00000000-0005-0000-0000-0000C95A0000}"/>
    <cellStyle name="Output 2 8 7 3 3" xfId="15469" xr:uid="{00000000-0005-0000-0000-0000CA5A0000}"/>
    <cellStyle name="Output 2 8 7 3 3 2" xfId="30301" xr:uid="{00000000-0005-0000-0000-0000CB5A0000}"/>
    <cellStyle name="Output 2 8 7 3 4" xfId="11710" xr:uid="{00000000-0005-0000-0000-0000CC5A0000}"/>
    <cellStyle name="Output 2 8 7 3 4 2" xfId="26542" xr:uid="{00000000-0005-0000-0000-0000CD5A0000}"/>
    <cellStyle name="Output 2 8 7 4" xfId="4181" xr:uid="{00000000-0005-0000-0000-0000CE5A0000}"/>
    <cellStyle name="Output 2 8 7 4 2" xfId="8222" xr:uid="{00000000-0005-0000-0000-0000CF5A0000}"/>
    <cellStyle name="Output 2 8 7 4 2 2" xfId="17569" xr:uid="{00000000-0005-0000-0000-0000D05A0000}"/>
    <cellStyle name="Output 2 8 7 4 2 2 2" xfId="32401" xr:uid="{00000000-0005-0000-0000-0000D15A0000}"/>
    <cellStyle name="Output 2 8 7 4 2 3" xfId="19307" xr:uid="{00000000-0005-0000-0000-0000D25A0000}"/>
    <cellStyle name="Output 2 8 7 4 3" xfId="14513" xr:uid="{00000000-0005-0000-0000-0000D35A0000}"/>
    <cellStyle name="Output 2 8 7 4 3 2" xfId="29345" xr:uid="{00000000-0005-0000-0000-0000D45A0000}"/>
    <cellStyle name="Output 2 8 7 4 4" xfId="11189" xr:uid="{00000000-0005-0000-0000-0000D55A0000}"/>
    <cellStyle name="Output 2 8 7 4 4 2" xfId="26021" xr:uid="{00000000-0005-0000-0000-0000D65A0000}"/>
    <cellStyle name="Output 2 8 7 5" xfId="6297" xr:uid="{00000000-0005-0000-0000-0000D75A0000}"/>
    <cellStyle name="Output 2 8 7 5 2" xfId="16481" xr:uid="{00000000-0005-0000-0000-0000D85A0000}"/>
    <cellStyle name="Output 2 8 7 5 2 2" xfId="31313" xr:uid="{00000000-0005-0000-0000-0000D95A0000}"/>
    <cellStyle name="Output 2 8 7 5 3" xfId="18600" xr:uid="{00000000-0005-0000-0000-0000DA5A0000}"/>
    <cellStyle name="Output 2 8 7 6" xfId="12551" xr:uid="{00000000-0005-0000-0000-0000DB5A0000}"/>
    <cellStyle name="Output 2 8 7 6 2" xfId="27383" xr:uid="{00000000-0005-0000-0000-0000DC5A0000}"/>
    <cellStyle name="Output 2 8 7 7" xfId="10133" xr:uid="{00000000-0005-0000-0000-0000DD5A0000}"/>
    <cellStyle name="Output 2 8 7 7 2" xfId="24965" xr:uid="{00000000-0005-0000-0000-0000DE5A0000}"/>
    <cellStyle name="Output 2 8 8" xfId="4295" xr:uid="{00000000-0005-0000-0000-0000DF5A0000}"/>
    <cellStyle name="Output 2 8 8 2" xfId="8334" xr:uid="{00000000-0005-0000-0000-0000E05A0000}"/>
    <cellStyle name="Output 2 8 8 2 2" xfId="17614" xr:uid="{00000000-0005-0000-0000-0000E15A0000}"/>
    <cellStyle name="Output 2 8 8 2 2 2" xfId="32446" xr:uid="{00000000-0005-0000-0000-0000E25A0000}"/>
    <cellStyle name="Output 2 8 8 2 3" xfId="19323" xr:uid="{00000000-0005-0000-0000-0000E35A0000}"/>
    <cellStyle name="Output 2 8 8 3" xfId="14626" xr:uid="{00000000-0005-0000-0000-0000E45A0000}"/>
    <cellStyle name="Output 2 8 8 3 2" xfId="29458" xr:uid="{00000000-0005-0000-0000-0000E55A0000}"/>
    <cellStyle name="Output 2 8 8 4" xfId="11227" xr:uid="{00000000-0005-0000-0000-0000E65A0000}"/>
    <cellStyle name="Output 2 8 8 4 2" xfId="26059" xr:uid="{00000000-0005-0000-0000-0000E75A0000}"/>
    <cellStyle name="Output 2 8 9" xfId="3243" xr:uid="{00000000-0005-0000-0000-0000E85A0000}"/>
    <cellStyle name="Output 2 8 9 2" xfId="7307" xr:uid="{00000000-0005-0000-0000-0000E95A0000}"/>
    <cellStyle name="Output 2 8 9 2 2" xfId="17063" xr:uid="{00000000-0005-0000-0000-0000EA5A0000}"/>
    <cellStyle name="Output 2 8 9 2 2 2" xfId="31895" xr:uid="{00000000-0005-0000-0000-0000EB5A0000}"/>
    <cellStyle name="Output 2 8 9 2 3" xfId="18971" xr:uid="{00000000-0005-0000-0000-0000EC5A0000}"/>
    <cellStyle name="Output 2 8 9 3" xfId="13580" xr:uid="{00000000-0005-0000-0000-0000ED5A0000}"/>
    <cellStyle name="Output 2 8 9 3 2" xfId="28412" xr:uid="{00000000-0005-0000-0000-0000EE5A0000}"/>
    <cellStyle name="Output 2 8 9 4" xfId="10697" xr:uid="{00000000-0005-0000-0000-0000EF5A0000}"/>
    <cellStyle name="Output 2 8 9 4 2" xfId="25529" xr:uid="{00000000-0005-0000-0000-0000F05A0000}"/>
    <cellStyle name="Output 2 9" xfId="1350" xr:uid="{00000000-0005-0000-0000-0000F15A0000}"/>
    <cellStyle name="Output 2 9 2" xfId="1854" xr:uid="{00000000-0005-0000-0000-0000F25A0000}"/>
    <cellStyle name="Output 2 9 2 2" xfId="3605" xr:uid="{00000000-0005-0000-0000-0000F35A0000}"/>
    <cellStyle name="Output 2 9 2 2 2" xfId="7666" xr:uid="{00000000-0005-0000-0000-0000F45A0000}"/>
    <cellStyle name="Output 2 9 2 2 2 2" xfId="17281" xr:uid="{00000000-0005-0000-0000-0000F55A0000}"/>
    <cellStyle name="Output 2 9 2 2 2 2 2" xfId="32113" xr:uid="{00000000-0005-0000-0000-0000F65A0000}"/>
    <cellStyle name="Output 2 9 2 2 2 3" xfId="19100" xr:uid="{00000000-0005-0000-0000-0000F75A0000}"/>
    <cellStyle name="Output 2 9 2 2 3" xfId="13941" xr:uid="{00000000-0005-0000-0000-0000F85A0000}"/>
    <cellStyle name="Output 2 9 2 2 3 2" xfId="28773" xr:uid="{00000000-0005-0000-0000-0000F95A0000}"/>
    <cellStyle name="Output 2 9 2 2 4" xfId="10898" xr:uid="{00000000-0005-0000-0000-0000FA5A0000}"/>
    <cellStyle name="Output 2 9 2 2 4 2" xfId="25730" xr:uid="{00000000-0005-0000-0000-0000FB5A0000}"/>
    <cellStyle name="Output 2 9 2 3" xfId="4832" xr:uid="{00000000-0005-0000-0000-0000FC5A0000}"/>
    <cellStyle name="Output 2 9 2 3 2" xfId="8871" xr:uid="{00000000-0005-0000-0000-0000FD5A0000}"/>
    <cellStyle name="Output 2 9 2 3 2 2" xfId="17912" xr:uid="{00000000-0005-0000-0000-0000FE5A0000}"/>
    <cellStyle name="Output 2 9 2 3 2 2 2" xfId="32744" xr:uid="{00000000-0005-0000-0000-0000FF5A0000}"/>
    <cellStyle name="Output 2 9 2 3 2 3" xfId="19514" xr:uid="{00000000-0005-0000-0000-0000005B0000}"/>
    <cellStyle name="Output 2 9 2 3 3" xfId="15156" xr:uid="{00000000-0005-0000-0000-0000015B0000}"/>
    <cellStyle name="Output 2 9 2 3 3 2" xfId="29988" xr:uid="{00000000-0005-0000-0000-0000025B0000}"/>
    <cellStyle name="Output 2 9 2 3 4" xfId="11515" xr:uid="{00000000-0005-0000-0000-0000035B0000}"/>
    <cellStyle name="Output 2 9 2 3 4 2" xfId="26347" xr:uid="{00000000-0005-0000-0000-0000045B0000}"/>
    <cellStyle name="Output 2 9 2 4" xfId="2822" xr:uid="{00000000-0005-0000-0000-0000055B0000}"/>
    <cellStyle name="Output 2 9 2 4 2" xfId="6913" xr:uid="{00000000-0005-0000-0000-0000065B0000}"/>
    <cellStyle name="Output 2 9 2 4 2 2" xfId="16806" xr:uid="{00000000-0005-0000-0000-0000075B0000}"/>
    <cellStyle name="Output 2 9 2 4 2 2 2" xfId="31638" xr:uid="{00000000-0005-0000-0000-0000085B0000}"/>
    <cellStyle name="Output 2 9 2 4 2 3" xfId="18805" xr:uid="{00000000-0005-0000-0000-0000095B0000}"/>
    <cellStyle name="Output 2 9 2 4 3" xfId="13160" xr:uid="{00000000-0005-0000-0000-00000A5B0000}"/>
    <cellStyle name="Output 2 9 2 4 3 2" xfId="27992" xr:uid="{00000000-0005-0000-0000-00000B5B0000}"/>
    <cellStyle name="Output 2 9 2 4 4" xfId="10459" xr:uid="{00000000-0005-0000-0000-00000C5B0000}"/>
    <cellStyle name="Output 2 9 2 4 4 2" xfId="25291" xr:uid="{00000000-0005-0000-0000-00000D5B0000}"/>
    <cellStyle name="Output 2 9 2 5" xfId="5986" xr:uid="{00000000-0005-0000-0000-00000E5B0000}"/>
    <cellStyle name="Output 2 9 2 5 2" xfId="16178" xr:uid="{00000000-0005-0000-0000-00000F5B0000}"/>
    <cellStyle name="Output 2 9 2 5 2 2" xfId="31010" xr:uid="{00000000-0005-0000-0000-0000105B0000}"/>
    <cellStyle name="Output 2 9 2 5 3" xfId="18447" xr:uid="{00000000-0005-0000-0000-0000115B0000}"/>
    <cellStyle name="Output 2 9 2 6" xfId="12248" xr:uid="{00000000-0005-0000-0000-0000125B0000}"/>
    <cellStyle name="Output 2 9 2 6 2" xfId="27080" xr:uid="{00000000-0005-0000-0000-0000135B0000}"/>
    <cellStyle name="Output 2 9 2 7" xfId="9844" xr:uid="{00000000-0005-0000-0000-0000145B0000}"/>
    <cellStyle name="Output 2 9 2 7 2" xfId="24770" xr:uid="{00000000-0005-0000-0000-0000155B0000}"/>
    <cellStyle name="Output 2 9 3" xfId="3831" xr:uid="{00000000-0005-0000-0000-0000165B0000}"/>
    <cellStyle name="Output 2 9 3 2" xfId="7884" xr:uid="{00000000-0005-0000-0000-0000175B0000}"/>
    <cellStyle name="Output 2 9 3 2 2" xfId="17385" xr:uid="{00000000-0005-0000-0000-0000185B0000}"/>
    <cellStyle name="Output 2 9 3 2 2 2" xfId="32217" xr:uid="{00000000-0005-0000-0000-0000195B0000}"/>
    <cellStyle name="Output 2 9 3 2 3" xfId="19169" xr:uid="{00000000-0005-0000-0000-00001A5B0000}"/>
    <cellStyle name="Output 2 9 3 3" xfId="14166" xr:uid="{00000000-0005-0000-0000-00001B5B0000}"/>
    <cellStyle name="Output 2 9 3 3 2" xfId="28998" xr:uid="{00000000-0005-0000-0000-00001C5B0000}"/>
    <cellStyle name="Output 2 9 3 4" xfId="11004" xr:uid="{00000000-0005-0000-0000-00001D5B0000}"/>
    <cellStyle name="Output 2 9 3 4 2" xfId="25836" xr:uid="{00000000-0005-0000-0000-00001E5B0000}"/>
    <cellStyle name="Output 2 9 4" xfId="4412" xr:uid="{00000000-0005-0000-0000-00001F5B0000}"/>
    <cellStyle name="Output 2 9 4 2" xfId="8451" xr:uid="{00000000-0005-0000-0000-0000205B0000}"/>
    <cellStyle name="Output 2 9 4 2 2" xfId="17672" xr:uid="{00000000-0005-0000-0000-0000215B0000}"/>
    <cellStyle name="Output 2 9 4 2 2 2" xfId="32504" xr:uid="{00000000-0005-0000-0000-0000225B0000}"/>
    <cellStyle name="Output 2 9 4 2 3" xfId="19354" xr:uid="{00000000-0005-0000-0000-0000235B0000}"/>
    <cellStyle name="Output 2 9 4 3" xfId="14741" xr:uid="{00000000-0005-0000-0000-0000245B0000}"/>
    <cellStyle name="Output 2 9 4 3 2" xfId="29573" xr:uid="{00000000-0005-0000-0000-0000255B0000}"/>
    <cellStyle name="Output 2 9 4 4" xfId="11280" xr:uid="{00000000-0005-0000-0000-0000265B0000}"/>
    <cellStyle name="Output 2 9 4 4 2" xfId="26112" xr:uid="{00000000-0005-0000-0000-0000275B0000}"/>
    <cellStyle name="Output 2 9 5" xfId="2402" xr:uid="{00000000-0005-0000-0000-0000285B0000}"/>
    <cellStyle name="Output 2 9 5 2" xfId="6514" xr:uid="{00000000-0005-0000-0000-0000295B0000}"/>
    <cellStyle name="Output 2 9 5 2 2" xfId="16570" xr:uid="{00000000-0005-0000-0000-00002A5B0000}"/>
    <cellStyle name="Output 2 9 5 2 2 2" xfId="31402" xr:uid="{00000000-0005-0000-0000-00002B5B0000}"/>
    <cellStyle name="Output 2 9 5 2 3" xfId="18642" xr:uid="{00000000-0005-0000-0000-00002C5B0000}"/>
    <cellStyle name="Output 2 9 5 3" xfId="12741" xr:uid="{00000000-0005-0000-0000-00002D5B0000}"/>
    <cellStyle name="Output 2 9 5 3 2" xfId="27573" xr:uid="{00000000-0005-0000-0000-00002E5B0000}"/>
    <cellStyle name="Output 2 9 5 4" xfId="10220" xr:uid="{00000000-0005-0000-0000-00002F5B0000}"/>
    <cellStyle name="Output 2 9 5 4 2" xfId="25052" xr:uid="{00000000-0005-0000-0000-0000305B0000}"/>
    <cellStyle name="Output 2 9 6" xfId="5527" xr:uid="{00000000-0005-0000-0000-0000315B0000}"/>
    <cellStyle name="Output 2 9 6 2" xfId="15762" xr:uid="{00000000-0005-0000-0000-0000325B0000}"/>
    <cellStyle name="Output 2 9 6 2 2" xfId="30594" xr:uid="{00000000-0005-0000-0000-0000335B0000}"/>
    <cellStyle name="Output 2 9 6 3" xfId="18284" xr:uid="{00000000-0005-0000-0000-0000345B0000}"/>
    <cellStyle name="Output 2 9 7" xfId="11777" xr:uid="{00000000-0005-0000-0000-0000355B0000}"/>
    <cellStyle name="Output 2 9 7 2" xfId="26609" xr:uid="{00000000-0005-0000-0000-0000365B0000}"/>
    <cellStyle name="Output 2 9 8" xfId="9448" xr:uid="{00000000-0005-0000-0000-0000375B0000}"/>
    <cellStyle name="Output 2 9 8 2" xfId="19752" xr:uid="{00000000-0005-0000-0000-0000385B0000}"/>
    <cellStyle name="Output 3" xfId="1239" xr:uid="{00000000-0005-0000-0000-0000395B0000}"/>
    <cellStyle name="Output 3 10" xfId="2325" xr:uid="{00000000-0005-0000-0000-00003A5B0000}"/>
    <cellStyle name="Output 3 10 2" xfId="6437" xr:uid="{00000000-0005-0000-0000-00003B5B0000}"/>
    <cellStyle name="Output 3 10 2 2" xfId="16530" xr:uid="{00000000-0005-0000-0000-00003C5B0000}"/>
    <cellStyle name="Output 3 10 2 2 2" xfId="31362" xr:uid="{00000000-0005-0000-0000-00003D5B0000}"/>
    <cellStyle name="Output 3 10 2 3" xfId="18618" xr:uid="{00000000-0005-0000-0000-00003E5B0000}"/>
    <cellStyle name="Output 3 10 3" xfId="12665" xr:uid="{00000000-0005-0000-0000-00003F5B0000}"/>
    <cellStyle name="Output 3 10 3 2" xfId="27497" xr:uid="{00000000-0005-0000-0000-0000405B0000}"/>
    <cellStyle name="Output 3 10 4" xfId="10181" xr:uid="{00000000-0005-0000-0000-0000415B0000}"/>
    <cellStyle name="Output 3 10 4 2" xfId="25013" xr:uid="{00000000-0005-0000-0000-0000425B0000}"/>
    <cellStyle name="Output 3 11" xfId="5288" xr:uid="{00000000-0005-0000-0000-0000435B0000}"/>
    <cellStyle name="Output 3 11 2" xfId="9296" xr:uid="{00000000-0005-0000-0000-0000445B0000}"/>
    <cellStyle name="Output 3 11 2 2" xfId="18163" xr:uid="{00000000-0005-0000-0000-0000455B0000}"/>
    <cellStyle name="Output 3 11 2 2 2" xfId="32995" xr:uid="{00000000-0005-0000-0000-0000465B0000}"/>
    <cellStyle name="Output 3 11 2 3" xfId="19682" xr:uid="{00000000-0005-0000-0000-0000475B0000}"/>
    <cellStyle name="Output 3 11 3" xfId="15604" xr:uid="{00000000-0005-0000-0000-0000485B0000}"/>
    <cellStyle name="Output 3 11 3 2" xfId="30436" xr:uid="{00000000-0005-0000-0000-0000495B0000}"/>
    <cellStyle name="Output 3 12" xfId="5446" xr:uid="{00000000-0005-0000-0000-00004A5B0000}"/>
    <cellStyle name="Output 3 12 2" xfId="15682" xr:uid="{00000000-0005-0000-0000-00004B5B0000}"/>
    <cellStyle name="Output 3 12 2 2" xfId="30514" xr:uid="{00000000-0005-0000-0000-00004C5B0000}"/>
    <cellStyle name="Output 3 12 3" xfId="18259" xr:uid="{00000000-0005-0000-0000-00004D5B0000}"/>
    <cellStyle name="Output 3 13" xfId="9345" xr:uid="{00000000-0005-0000-0000-00004E5B0000}"/>
    <cellStyle name="Output 3 13 2" xfId="24651" xr:uid="{00000000-0005-0000-0000-00004F5B0000}"/>
    <cellStyle name="Output 3 14" xfId="5334" xr:uid="{00000000-0005-0000-0000-0000505B0000}"/>
    <cellStyle name="Output 3 14 2" xfId="18208" xr:uid="{00000000-0005-0000-0000-0000515B0000}"/>
    <cellStyle name="Output 3 2" xfId="1358" xr:uid="{00000000-0005-0000-0000-0000525B0000}"/>
    <cellStyle name="Output 3 2 2" xfId="1862" xr:uid="{00000000-0005-0000-0000-0000535B0000}"/>
    <cellStyle name="Output 3 2 2 2" xfId="3821" xr:uid="{00000000-0005-0000-0000-0000545B0000}"/>
    <cellStyle name="Output 3 2 2 2 2" xfId="7874" xr:uid="{00000000-0005-0000-0000-0000555B0000}"/>
    <cellStyle name="Output 3 2 2 2 2 2" xfId="17380" xr:uid="{00000000-0005-0000-0000-0000565B0000}"/>
    <cellStyle name="Output 3 2 2 2 2 2 2" xfId="32212" xr:uid="{00000000-0005-0000-0000-0000575B0000}"/>
    <cellStyle name="Output 3 2 2 2 2 3" xfId="19164" xr:uid="{00000000-0005-0000-0000-0000585B0000}"/>
    <cellStyle name="Output 3 2 2 2 3" xfId="14156" xr:uid="{00000000-0005-0000-0000-0000595B0000}"/>
    <cellStyle name="Output 3 2 2 2 3 2" xfId="28988" xr:uid="{00000000-0005-0000-0000-00005A5B0000}"/>
    <cellStyle name="Output 3 2 2 2 4" xfId="10999" xr:uid="{00000000-0005-0000-0000-00005B5B0000}"/>
    <cellStyle name="Output 3 2 2 2 4 2" xfId="25831" xr:uid="{00000000-0005-0000-0000-00005C5B0000}"/>
    <cellStyle name="Output 3 2 2 3" xfId="4840" xr:uid="{00000000-0005-0000-0000-00005D5B0000}"/>
    <cellStyle name="Output 3 2 2 3 2" xfId="8879" xr:uid="{00000000-0005-0000-0000-00005E5B0000}"/>
    <cellStyle name="Output 3 2 2 3 2 2" xfId="17920" xr:uid="{00000000-0005-0000-0000-00005F5B0000}"/>
    <cellStyle name="Output 3 2 2 3 2 2 2" xfId="32752" xr:uid="{00000000-0005-0000-0000-0000605B0000}"/>
    <cellStyle name="Output 3 2 2 3 2 3" xfId="19522" xr:uid="{00000000-0005-0000-0000-0000615B0000}"/>
    <cellStyle name="Output 3 2 2 3 3" xfId="15164" xr:uid="{00000000-0005-0000-0000-0000625B0000}"/>
    <cellStyle name="Output 3 2 2 3 3 2" xfId="29996" xr:uid="{00000000-0005-0000-0000-0000635B0000}"/>
    <cellStyle name="Output 3 2 2 3 4" xfId="11523" xr:uid="{00000000-0005-0000-0000-0000645B0000}"/>
    <cellStyle name="Output 3 2 2 3 4 2" xfId="26355" xr:uid="{00000000-0005-0000-0000-0000655B0000}"/>
    <cellStyle name="Output 3 2 2 4" xfId="2830" xr:uid="{00000000-0005-0000-0000-0000665B0000}"/>
    <cellStyle name="Output 3 2 2 4 2" xfId="6921" xr:uid="{00000000-0005-0000-0000-0000675B0000}"/>
    <cellStyle name="Output 3 2 2 4 2 2" xfId="16814" xr:uid="{00000000-0005-0000-0000-0000685B0000}"/>
    <cellStyle name="Output 3 2 2 4 2 2 2" xfId="31646" xr:uid="{00000000-0005-0000-0000-0000695B0000}"/>
    <cellStyle name="Output 3 2 2 4 2 3" xfId="18813" xr:uid="{00000000-0005-0000-0000-00006A5B0000}"/>
    <cellStyle name="Output 3 2 2 4 3" xfId="13168" xr:uid="{00000000-0005-0000-0000-00006B5B0000}"/>
    <cellStyle name="Output 3 2 2 4 3 2" xfId="28000" xr:uid="{00000000-0005-0000-0000-00006C5B0000}"/>
    <cellStyle name="Output 3 2 2 4 4" xfId="10467" xr:uid="{00000000-0005-0000-0000-00006D5B0000}"/>
    <cellStyle name="Output 3 2 2 4 4 2" xfId="25299" xr:uid="{00000000-0005-0000-0000-00006E5B0000}"/>
    <cellStyle name="Output 3 2 2 5" xfId="5994" xr:uid="{00000000-0005-0000-0000-00006F5B0000}"/>
    <cellStyle name="Output 3 2 2 5 2" xfId="16186" xr:uid="{00000000-0005-0000-0000-0000705B0000}"/>
    <cellStyle name="Output 3 2 2 5 2 2" xfId="31018" xr:uid="{00000000-0005-0000-0000-0000715B0000}"/>
    <cellStyle name="Output 3 2 2 5 3" xfId="18455" xr:uid="{00000000-0005-0000-0000-0000725B0000}"/>
    <cellStyle name="Output 3 2 2 6" xfId="12256" xr:uid="{00000000-0005-0000-0000-0000735B0000}"/>
    <cellStyle name="Output 3 2 2 6 2" xfId="27088" xr:uid="{00000000-0005-0000-0000-0000745B0000}"/>
    <cellStyle name="Output 3 2 2 7" xfId="9852" xr:uid="{00000000-0005-0000-0000-0000755B0000}"/>
    <cellStyle name="Output 3 2 2 7 2" xfId="24778" xr:uid="{00000000-0005-0000-0000-0000765B0000}"/>
    <cellStyle name="Output 3 2 3" xfId="3462" xr:uid="{00000000-0005-0000-0000-0000775B0000}"/>
    <cellStyle name="Output 3 2 3 2" xfId="7525" xr:uid="{00000000-0005-0000-0000-0000785B0000}"/>
    <cellStyle name="Output 3 2 3 2 2" xfId="17201" xr:uid="{00000000-0005-0000-0000-0000795B0000}"/>
    <cellStyle name="Output 3 2 3 2 2 2" xfId="32033" xr:uid="{00000000-0005-0000-0000-00007A5B0000}"/>
    <cellStyle name="Output 3 2 3 2 3" xfId="19043" xr:uid="{00000000-0005-0000-0000-00007B5B0000}"/>
    <cellStyle name="Output 3 2 3 3" xfId="13799" xr:uid="{00000000-0005-0000-0000-00007C5B0000}"/>
    <cellStyle name="Output 3 2 3 3 2" xfId="28631" xr:uid="{00000000-0005-0000-0000-00007D5B0000}"/>
    <cellStyle name="Output 3 2 3 4" xfId="10820" xr:uid="{00000000-0005-0000-0000-00007E5B0000}"/>
    <cellStyle name="Output 3 2 3 4 2" xfId="25652" xr:uid="{00000000-0005-0000-0000-00007F5B0000}"/>
    <cellStyle name="Output 3 2 4" xfId="4420" xr:uid="{00000000-0005-0000-0000-0000805B0000}"/>
    <cellStyle name="Output 3 2 4 2" xfId="8459" xr:uid="{00000000-0005-0000-0000-0000815B0000}"/>
    <cellStyle name="Output 3 2 4 2 2" xfId="17680" xr:uid="{00000000-0005-0000-0000-0000825B0000}"/>
    <cellStyle name="Output 3 2 4 2 2 2" xfId="32512" xr:uid="{00000000-0005-0000-0000-0000835B0000}"/>
    <cellStyle name="Output 3 2 4 2 3" xfId="19362" xr:uid="{00000000-0005-0000-0000-0000845B0000}"/>
    <cellStyle name="Output 3 2 4 3" xfId="14749" xr:uid="{00000000-0005-0000-0000-0000855B0000}"/>
    <cellStyle name="Output 3 2 4 3 2" xfId="29581" xr:uid="{00000000-0005-0000-0000-0000865B0000}"/>
    <cellStyle name="Output 3 2 4 4" xfId="11288" xr:uid="{00000000-0005-0000-0000-0000875B0000}"/>
    <cellStyle name="Output 3 2 4 4 2" xfId="26120" xr:uid="{00000000-0005-0000-0000-0000885B0000}"/>
    <cellStyle name="Output 3 2 5" xfId="2410" xr:uid="{00000000-0005-0000-0000-0000895B0000}"/>
    <cellStyle name="Output 3 2 5 2" xfId="6522" xr:uid="{00000000-0005-0000-0000-00008A5B0000}"/>
    <cellStyle name="Output 3 2 5 2 2" xfId="16578" xr:uid="{00000000-0005-0000-0000-00008B5B0000}"/>
    <cellStyle name="Output 3 2 5 2 2 2" xfId="31410" xr:uid="{00000000-0005-0000-0000-00008C5B0000}"/>
    <cellStyle name="Output 3 2 5 2 3" xfId="18650" xr:uid="{00000000-0005-0000-0000-00008D5B0000}"/>
    <cellStyle name="Output 3 2 5 3" xfId="12749" xr:uid="{00000000-0005-0000-0000-00008E5B0000}"/>
    <cellStyle name="Output 3 2 5 3 2" xfId="27581" xr:uid="{00000000-0005-0000-0000-00008F5B0000}"/>
    <cellStyle name="Output 3 2 5 4" xfId="10228" xr:uid="{00000000-0005-0000-0000-0000905B0000}"/>
    <cellStyle name="Output 3 2 5 4 2" xfId="25060" xr:uid="{00000000-0005-0000-0000-0000915B0000}"/>
    <cellStyle name="Output 3 2 6" xfId="5535" xr:uid="{00000000-0005-0000-0000-0000925B0000}"/>
    <cellStyle name="Output 3 2 6 2" xfId="15770" xr:uid="{00000000-0005-0000-0000-0000935B0000}"/>
    <cellStyle name="Output 3 2 6 2 2" xfId="30602" xr:uid="{00000000-0005-0000-0000-0000945B0000}"/>
    <cellStyle name="Output 3 2 6 3" xfId="18292" xr:uid="{00000000-0005-0000-0000-0000955B0000}"/>
    <cellStyle name="Output 3 2 7" xfId="11785" xr:uid="{00000000-0005-0000-0000-0000965B0000}"/>
    <cellStyle name="Output 3 2 7 2" xfId="26617" xr:uid="{00000000-0005-0000-0000-0000975B0000}"/>
    <cellStyle name="Output 3 2 8" xfId="9456" xr:uid="{00000000-0005-0000-0000-0000985B0000}"/>
    <cellStyle name="Output 3 2 8 2" xfId="19760" xr:uid="{00000000-0005-0000-0000-0000995B0000}"/>
    <cellStyle name="Output 3 3" xfId="1528" xr:uid="{00000000-0005-0000-0000-00009A5B0000}"/>
    <cellStyle name="Output 3 3 2" xfId="2025" xr:uid="{00000000-0005-0000-0000-00009B5B0000}"/>
    <cellStyle name="Output 3 3 2 2" xfId="3486" xr:uid="{00000000-0005-0000-0000-00009C5B0000}"/>
    <cellStyle name="Output 3 3 2 2 2" xfId="7548" xr:uid="{00000000-0005-0000-0000-00009D5B0000}"/>
    <cellStyle name="Output 3 3 2 2 2 2" xfId="17210" xr:uid="{00000000-0005-0000-0000-00009E5B0000}"/>
    <cellStyle name="Output 3 3 2 2 2 2 2" xfId="32042" xr:uid="{00000000-0005-0000-0000-00009F5B0000}"/>
    <cellStyle name="Output 3 3 2 2 2 3" xfId="19047" xr:uid="{00000000-0005-0000-0000-0000A05B0000}"/>
    <cellStyle name="Output 3 3 2 2 3" xfId="13823" xr:uid="{00000000-0005-0000-0000-0000A15B0000}"/>
    <cellStyle name="Output 3 3 2 2 3 2" xfId="28655" xr:uid="{00000000-0005-0000-0000-0000A25B0000}"/>
    <cellStyle name="Output 3 3 2 2 4" xfId="10828" xr:uid="{00000000-0005-0000-0000-0000A35B0000}"/>
    <cellStyle name="Output 3 3 2 2 4 2" xfId="25660" xr:uid="{00000000-0005-0000-0000-0000A45B0000}"/>
    <cellStyle name="Output 3 3 2 3" xfId="4993" xr:uid="{00000000-0005-0000-0000-0000A55B0000}"/>
    <cellStyle name="Output 3 3 2 3 2" xfId="9032" xr:uid="{00000000-0005-0000-0000-0000A65B0000}"/>
    <cellStyle name="Output 3 3 2 3 2 2" xfId="17970" xr:uid="{00000000-0005-0000-0000-0000A75B0000}"/>
    <cellStyle name="Output 3 3 2 3 2 2 2" xfId="32802" xr:uid="{00000000-0005-0000-0000-0000A85B0000}"/>
    <cellStyle name="Output 3 3 2 3 2 3" xfId="19554" xr:uid="{00000000-0005-0000-0000-0000A95B0000}"/>
    <cellStyle name="Output 3 3 2 3 3" xfId="15315" xr:uid="{00000000-0005-0000-0000-0000AA5B0000}"/>
    <cellStyle name="Output 3 3 2 3 3 2" xfId="30147" xr:uid="{00000000-0005-0000-0000-0000AB5B0000}"/>
    <cellStyle name="Output 3 3 2 3 4" xfId="11571" xr:uid="{00000000-0005-0000-0000-0000AC5B0000}"/>
    <cellStyle name="Output 3 3 2 3 4 2" xfId="26403" xr:uid="{00000000-0005-0000-0000-0000AD5B0000}"/>
    <cellStyle name="Output 3 3 2 4" xfId="2983" xr:uid="{00000000-0005-0000-0000-0000AE5B0000}"/>
    <cellStyle name="Output 3 3 2 4 2" xfId="7063" xr:uid="{00000000-0005-0000-0000-0000AF5B0000}"/>
    <cellStyle name="Output 3 3 2 4 2 2" xfId="16862" xr:uid="{00000000-0005-0000-0000-0000B05B0000}"/>
    <cellStyle name="Output 3 3 2 4 2 2 2" xfId="31694" xr:uid="{00000000-0005-0000-0000-0000B15B0000}"/>
    <cellStyle name="Output 3 3 2 4 2 3" xfId="18846" xr:uid="{00000000-0005-0000-0000-0000B25B0000}"/>
    <cellStyle name="Output 3 3 2 4 3" xfId="13321" xr:uid="{00000000-0005-0000-0000-0000B35B0000}"/>
    <cellStyle name="Output 3 3 2 4 3 2" xfId="28153" xr:uid="{00000000-0005-0000-0000-0000B45B0000}"/>
    <cellStyle name="Output 3 3 2 4 4" xfId="10517" xr:uid="{00000000-0005-0000-0000-0000B55B0000}"/>
    <cellStyle name="Output 3 3 2 4 4 2" xfId="25349" xr:uid="{00000000-0005-0000-0000-0000B65B0000}"/>
    <cellStyle name="Output 3 3 2 5" xfId="6155" xr:uid="{00000000-0005-0000-0000-0000B75B0000}"/>
    <cellStyle name="Output 3 3 2 5 2" xfId="16342" xr:uid="{00000000-0005-0000-0000-0000B85B0000}"/>
    <cellStyle name="Output 3 3 2 5 2 2" xfId="31174" xr:uid="{00000000-0005-0000-0000-0000B95B0000}"/>
    <cellStyle name="Output 3 3 2 5 3" xfId="18487" xr:uid="{00000000-0005-0000-0000-0000BA5B0000}"/>
    <cellStyle name="Output 3 3 2 6" xfId="12412" xr:uid="{00000000-0005-0000-0000-0000BB5B0000}"/>
    <cellStyle name="Output 3 3 2 6 2" xfId="27244" xr:uid="{00000000-0005-0000-0000-0000BC5B0000}"/>
    <cellStyle name="Output 3 3 2 7" xfId="9994" xr:uid="{00000000-0005-0000-0000-0000BD5B0000}"/>
    <cellStyle name="Output 3 3 2 7 2" xfId="24826" xr:uid="{00000000-0005-0000-0000-0000BE5B0000}"/>
    <cellStyle name="Output 3 3 3" xfId="3227" xr:uid="{00000000-0005-0000-0000-0000BF5B0000}"/>
    <cellStyle name="Output 3 3 3 2" xfId="7291" xr:uid="{00000000-0005-0000-0000-0000C05B0000}"/>
    <cellStyle name="Output 3 3 3 2 2" xfId="17051" xr:uid="{00000000-0005-0000-0000-0000C15B0000}"/>
    <cellStyle name="Output 3 3 3 2 2 2" xfId="31883" xr:uid="{00000000-0005-0000-0000-0000C25B0000}"/>
    <cellStyle name="Output 3 3 3 2 3" xfId="18968" xr:uid="{00000000-0005-0000-0000-0000C35B0000}"/>
    <cellStyle name="Output 3 3 3 3" xfId="13565" xr:uid="{00000000-0005-0000-0000-0000C45B0000}"/>
    <cellStyle name="Output 3 3 3 3 2" xfId="28397" xr:uid="{00000000-0005-0000-0000-0000C55B0000}"/>
    <cellStyle name="Output 3 3 3 4" xfId="10691" xr:uid="{00000000-0005-0000-0000-0000C65B0000}"/>
    <cellStyle name="Output 3 3 3 4 2" xfId="25523" xr:uid="{00000000-0005-0000-0000-0000C75B0000}"/>
    <cellStyle name="Output 3 3 4" xfId="4573" xr:uid="{00000000-0005-0000-0000-0000C85B0000}"/>
    <cellStyle name="Output 3 3 4 2" xfId="8612" xr:uid="{00000000-0005-0000-0000-0000C95B0000}"/>
    <cellStyle name="Output 3 3 4 2 2" xfId="17730" xr:uid="{00000000-0005-0000-0000-0000CA5B0000}"/>
    <cellStyle name="Output 3 3 4 2 2 2" xfId="32562" xr:uid="{00000000-0005-0000-0000-0000CB5B0000}"/>
    <cellStyle name="Output 3 3 4 2 3" xfId="19394" xr:uid="{00000000-0005-0000-0000-0000CC5B0000}"/>
    <cellStyle name="Output 3 3 4 3" xfId="14900" xr:uid="{00000000-0005-0000-0000-0000CD5B0000}"/>
    <cellStyle name="Output 3 3 4 3 2" xfId="29732" xr:uid="{00000000-0005-0000-0000-0000CE5B0000}"/>
    <cellStyle name="Output 3 3 4 4" xfId="11336" xr:uid="{00000000-0005-0000-0000-0000CF5B0000}"/>
    <cellStyle name="Output 3 3 4 4 2" xfId="26168" xr:uid="{00000000-0005-0000-0000-0000D05B0000}"/>
    <cellStyle name="Output 3 3 5" xfId="2563" xr:uid="{00000000-0005-0000-0000-0000D15B0000}"/>
    <cellStyle name="Output 3 3 5 2" xfId="6669" xr:uid="{00000000-0005-0000-0000-0000D25B0000}"/>
    <cellStyle name="Output 3 3 5 2 2" xfId="16627" xr:uid="{00000000-0005-0000-0000-0000D35B0000}"/>
    <cellStyle name="Output 3 3 5 2 2 2" xfId="31459" xr:uid="{00000000-0005-0000-0000-0000D45B0000}"/>
    <cellStyle name="Output 3 3 5 2 3" xfId="18682" xr:uid="{00000000-0005-0000-0000-0000D55B0000}"/>
    <cellStyle name="Output 3 3 5 3" xfId="12901" xr:uid="{00000000-0005-0000-0000-0000D65B0000}"/>
    <cellStyle name="Output 3 3 5 3 2" xfId="27733" xr:uid="{00000000-0005-0000-0000-0000D75B0000}"/>
    <cellStyle name="Output 3 3 5 4" xfId="10277" xr:uid="{00000000-0005-0000-0000-0000D85B0000}"/>
    <cellStyle name="Output 3 3 5 4 2" xfId="25109" xr:uid="{00000000-0005-0000-0000-0000D95B0000}"/>
    <cellStyle name="Output 3 3 6" xfId="5686" xr:uid="{00000000-0005-0000-0000-0000DA5B0000}"/>
    <cellStyle name="Output 3 3 6 2" xfId="15921" xr:uid="{00000000-0005-0000-0000-0000DB5B0000}"/>
    <cellStyle name="Output 3 3 6 2 2" xfId="30753" xr:uid="{00000000-0005-0000-0000-0000DC5B0000}"/>
    <cellStyle name="Output 3 3 6 3" xfId="18324" xr:uid="{00000000-0005-0000-0000-0000DD5B0000}"/>
    <cellStyle name="Output 3 3 7" xfId="11941" xr:uid="{00000000-0005-0000-0000-0000DE5B0000}"/>
    <cellStyle name="Output 3 3 7 2" xfId="26773" xr:uid="{00000000-0005-0000-0000-0000DF5B0000}"/>
    <cellStyle name="Output 3 3 8" xfId="9599" xr:uid="{00000000-0005-0000-0000-0000E05B0000}"/>
    <cellStyle name="Output 3 3 8 2" xfId="19901" xr:uid="{00000000-0005-0000-0000-0000E15B0000}"/>
    <cellStyle name="Output 3 4" xfId="1583" xr:uid="{00000000-0005-0000-0000-0000E25B0000}"/>
    <cellStyle name="Output 3 4 2" xfId="2080" xr:uid="{00000000-0005-0000-0000-0000E35B0000}"/>
    <cellStyle name="Output 3 4 2 2" xfId="4069" xr:uid="{00000000-0005-0000-0000-0000E45B0000}"/>
    <cellStyle name="Output 3 4 2 2 2" xfId="8116" xr:uid="{00000000-0005-0000-0000-0000E55B0000}"/>
    <cellStyle name="Output 3 4 2 2 2 2" xfId="17505" xr:uid="{00000000-0005-0000-0000-0000E65B0000}"/>
    <cellStyle name="Output 3 4 2 2 2 2 2" xfId="32337" xr:uid="{00000000-0005-0000-0000-0000E75B0000}"/>
    <cellStyle name="Output 3 4 2 2 2 3" xfId="19257" xr:uid="{00000000-0005-0000-0000-0000E85B0000}"/>
    <cellStyle name="Output 3 4 2 2 3" xfId="14401" xr:uid="{00000000-0005-0000-0000-0000E95B0000}"/>
    <cellStyle name="Output 3 4 2 2 3 2" xfId="29233" xr:uid="{00000000-0005-0000-0000-0000EA5B0000}"/>
    <cellStyle name="Output 3 4 2 2 4" xfId="11121" xr:uid="{00000000-0005-0000-0000-0000EB5B0000}"/>
    <cellStyle name="Output 3 4 2 2 4 2" xfId="25953" xr:uid="{00000000-0005-0000-0000-0000EC5B0000}"/>
    <cellStyle name="Output 3 4 2 3" xfId="5048" xr:uid="{00000000-0005-0000-0000-0000ED5B0000}"/>
    <cellStyle name="Output 3 4 2 3 2" xfId="9087" xr:uid="{00000000-0005-0000-0000-0000EE5B0000}"/>
    <cellStyle name="Output 3 4 2 3 2 2" xfId="18020" xr:uid="{00000000-0005-0000-0000-0000EF5B0000}"/>
    <cellStyle name="Output 3 4 2 3 2 2 2" xfId="32852" xr:uid="{00000000-0005-0000-0000-0000F05B0000}"/>
    <cellStyle name="Output 3 4 2 3 2 3" xfId="19586" xr:uid="{00000000-0005-0000-0000-0000F15B0000}"/>
    <cellStyle name="Output 3 4 2 3 3" xfId="15369" xr:uid="{00000000-0005-0000-0000-0000F25B0000}"/>
    <cellStyle name="Output 3 4 2 3 3 2" xfId="30201" xr:uid="{00000000-0005-0000-0000-0000F35B0000}"/>
    <cellStyle name="Output 3 4 2 3 4" xfId="11620" xr:uid="{00000000-0005-0000-0000-0000F45B0000}"/>
    <cellStyle name="Output 3 4 2 3 4 2" xfId="26452" xr:uid="{00000000-0005-0000-0000-0000F55B0000}"/>
    <cellStyle name="Output 3 4 2 4" xfId="3038" xr:uid="{00000000-0005-0000-0000-0000F65B0000}"/>
    <cellStyle name="Output 3 4 2 4 2" xfId="7113" xr:uid="{00000000-0005-0000-0000-0000F75B0000}"/>
    <cellStyle name="Output 3 4 2 4 2 2" xfId="16911" xr:uid="{00000000-0005-0000-0000-0000F85B0000}"/>
    <cellStyle name="Output 3 4 2 4 2 2 2" xfId="31743" xr:uid="{00000000-0005-0000-0000-0000F95B0000}"/>
    <cellStyle name="Output 3 4 2 4 2 3" xfId="18879" xr:uid="{00000000-0005-0000-0000-0000FA5B0000}"/>
    <cellStyle name="Output 3 4 2 4 3" xfId="13376" xr:uid="{00000000-0005-0000-0000-0000FB5B0000}"/>
    <cellStyle name="Output 3 4 2 4 3 2" xfId="28208" xr:uid="{00000000-0005-0000-0000-0000FC5B0000}"/>
    <cellStyle name="Output 3 4 2 4 4" xfId="10567" xr:uid="{00000000-0005-0000-0000-0000FD5B0000}"/>
    <cellStyle name="Output 3 4 2 4 4 2" xfId="25399" xr:uid="{00000000-0005-0000-0000-0000FE5B0000}"/>
    <cellStyle name="Output 3 4 2 5" xfId="6205" xr:uid="{00000000-0005-0000-0000-0000FF5B0000}"/>
    <cellStyle name="Output 3 4 2 5 2" xfId="16391" xr:uid="{00000000-0005-0000-0000-0000005C0000}"/>
    <cellStyle name="Output 3 4 2 5 2 2" xfId="31223" xr:uid="{00000000-0005-0000-0000-0000015C0000}"/>
    <cellStyle name="Output 3 4 2 5 3" xfId="18520" xr:uid="{00000000-0005-0000-0000-0000025C0000}"/>
    <cellStyle name="Output 3 4 2 6" xfId="12461" xr:uid="{00000000-0005-0000-0000-0000035C0000}"/>
    <cellStyle name="Output 3 4 2 6 2" xfId="27293" xr:uid="{00000000-0005-0000-0000-0000045C0000}"/>
    <cellStyle name="Output 3 4 2 7" xfId="10043" xr:uid="{00000000-0005-0000-0000-0000055C0000}"/>
    <cellStyle name="Output 3 4 2 7 2" xfId="24875" xr:uid="{00000000-0005-0000-0000-0000065C0000}"/>
    <cellStyle name="Output 3 4 3" xfId="4022" xr:uid="{00000000-0005-0000-0000-0000075C0000}"/>
    <cellStyle name="Output 3 4 3 2" xfId="8069" xr:uid="{00000000-0005-0000-0000-0000085C0000}"/>
    <cellStyle name="Output 3 4 3 2 2" xfId="17480" xr:uid="{00000000-0005-0000-0000-0000095C0000}"/>
    <cellStyle name="Output 3 4 3 2 2 2" xfId="32312" xr:uid="{00000000-0005-0000-0000-00000A5C0000}"/>
    <cellStyle name="Output 3 4 3 2 3" xfId="19238" xr:uid="{00000000-0005-0000-0000-00000B5C0000}"/>
    <cellStyle name="Output 3 4 3 3" xfId="14354" xr:uid="{00000000-0005-0000-0000-00000C5C0000}"/>
    <cellStyle name="Output 3 4 3 3 2" xfId="29186" xr:uid="{00000000-0005-0000-0000-00000D5C0000}"/>
    <cellStyle name="Output 3 4 3 4" xfId="11096" xr:uid="{00000000-0005-0000-0000-00000E5C0000}"/>
    <cellStyle name="Output 3 4 3 4 2" xfId="25928" xr:uid="{00000000-0005-0000-0000-00000F5C0000}"/>
    <cellStyle name="Output 3 4 4" xfId="4628" xr:uid="{00000000-0005-0000-0000-0000105C0000}"/>
    <cellStyle name="Output 3 4 4 2" xfId="8667" xr:uid="{00000000-0005-0000-0000-0000115C0000}"/>
    <cellStyle name="Output 3 4 4 2 2" xfId="17780" xr:uid="{00000000-0005-0000-0000-0000125C0000}"/>
    <cellStyle name="Output 3 4 4 2 2 2" xfId="32612" xr:uid="{00000000-0005-0000-0000-0000135C0000}"/>
    <cellStyle name="Output 3 4 4 2 3" xfId="19426" xr:uid="{00000000-0005-0000-0000-0000145C0000}"/>
    <cellStyle name="Output 3 4 4 3" xfId="14954" xr:uid="{00000000-0005-0000-0000-0000155C0000}"/>
    <cellStyle name="Output 3 4 4 3 2" xfId="29786" xr:uid="{00000000-0005-0000-0000-0000165C0000}"/>
    <cellStyle name="Output 3 4 4 4" xfId="11385" xr:uid="{00000000-0005-0000-0000-0000175C0000}"/>
    <cellStyle name="Output 3 4 4 4 2" xfId="26217" xr:uid="{00000000-0005-0000-0000-0000185C0000}"/>
    <cellStyle name="Output 3 4 5" xfId="2618" xr:uid="{00000000-0005-0000-0000-0000195C0000}"/>
    <cellStyle name="Output 3 4 5 2" xfId="6719" xr:uid="{00000000-0005-0000-0000-00001A5C0000}"/>
    <cellStyle name="Output 3 4 5 2 2" xfId="16676" xr:uid="{00000000-0005-0000-0000-00001B5C0000}"/>
    <cellStyle name="Output 3 4 5 2 2 2" xfId="31508" xr:uid="{00000000-0005-0000-0000-00001C5C0000}"/>
    <cellStyle name="Output 3 4 5 2 3" xfId="18715" xr:uid="{00000000-0005-0000-0000-00001D5C0000}"/>
    <cellStyle name="Output 3 4 5 3" xfId="12956" xr:uid="{00000000-0005-0000-0000-00001E5C0000}"/>
    <cellStyle name="Output 3 4 5 3 2" xfId="27788" xr:uid="{00000000-0005-0000-0000-00001F5C0000}"/>
    <cellStyle name="Output 3 4 5 4" xfId="10327" xr:uid="{00000000-0005-0000-0000-0000205C0000}"/>
    <cellStyle name="Output 3 4 5 4 2" xfId="25159" xr:uid="{00000000-0005-0000-0000-0000215C0000}"/>
    <cellStyle name="Output 3 4 6" xfId="5735" xr:uid="{00000000-0005-0000-0000-0000225C0000}"/>
    <cellStyle name="Output 3 4 6 2" xfId="15970" xr:uid="{00000000-0005-0000-0000-0000235C0000}"/>
    <cellStyle name="Output 3 4 6 2 2" xfId="30802" xr:uid="{00000000-0005-0000-0000-0000245C0000}"/>
    <cellStyle name="Output 3 4 6 3" xfId="18356" xr:uid="{00000000-0005-0000-0000-0000255C0000}"/>
    <cellStyle name="Output 3 4 7" xfId="11990" xr:uid="{00000000-0005-0000-0000-0000265C0000}"/>
    <cellStyle name="Output 3 4 7 2" xfId="26822" xr:uid="{00000000-0005-0000-0000-0000275C0000}"/>
    <cellStyle name="Output 3 4 8" xfId="9649" xr:uid="{00000000-0005-0000-0000-0000285C0000}"/>
    <cellStyle name="Output 3 4 8 2" xfId="19950" xr:uid="{00000000-0005-0000-0000-0000295C0000}"/>
    <cellStyle name="Output 3 5" xfId="1633" xr:uid="{00000000-0005-0000-0000-00002A5C0000}"/>
    <cellStyle name="Output 3 5 2" xfId="2130" xr:uid="{00000000-0005-0000-0000-00002B5C0000}"/>
    <cellStyle name="Output 3 5 2 2" xfId="3535" xr:uid="{00000000-0005-0000-0000-00002C5C0000}"/>
    <cellStyle name="Output 3 5 2 2 2" xfId="7597" xr:uid="{00000000-0005-0000-0000-00002D5C0000}"/>
    <cellStyle name="Output 3 5 2 2 2 2" xfId="17241" xr:uid="{00000000-0005-0000-0000-00002E5C0000}"/>
    <cellStyle name="Output 3 5 2 2 2 2 2" xfId="32073" xr:uid="{00000000-0005-0000-0000-00002F5C0000}"/>
    <cellStyle name="Output 3 5 2 2 2 3" xfId="19068" xr:uid="{00000000-0005-0000-0000-0000305C0000}"/>
    <cellStyle name="Output 3 5 2 2 3" xfId="13872" xr:uid="{00000000-0005-0000-0000-0000315C0000}"/>
    <cellStyle name="Output 3 5 2 2 3 2" xfId="28704" xr:uid="{00000000-0005-0000-0000-0000325C0000}"/>
    <cellStyle name="Output 3 5 2 2 4" xfId="10859" xr:uid="{00000000-0005-0000-0000-0000335C0000}"/>
    <cellStyle name="Output 3 5 2 2 4 2" xfId="25691" xr:uid="{00000000-0005-0000-0000-0000345C0000}"/>
    <cellStyle name="Output 3 5 2 3" xfId="5098" xr:uid="{00000000-0005-0000-0000-0000355C0000}"/>
    <cellStyle name="Output 3 5 2 3 2" xfId="9137" xr:uid="{00000000-0005-0000-0000-0000365C0000}"/>
    <cellStyle name="Output 3 5 2 3 2 2" xfId="18065" xr:uid="{00000000-0005-0000-0000-0000375C0000}"/>
    <cellStyle name="Output 3 5 2 3 2 2 2" xfId="32897" xr:uid="{00000000-0005-0000-0000-0000385C0000}"/>
    <cellStyle name="Output 3 5 2 3 2 3" xfId="19618" xr:uid="{00000000-0005-0000-0000-0000395C0000}"/>
    <cellStyle name="Output 3 5 2 3 3" xfId="15418" xr:uid="{00000000-0005-0000-0000-00003A5C0000}"/>
    <cellStyle name="Output 3 5 2 3 3 2" xfId="30250" xr:uid="{00000000-0005-0000-0000-00003B5C0000}"/>
    <cellStyle name="Output 3 5 2 3 4" xfId="11664" xr:uid="{00000000-0005-0000-0000-00003C5C0000}"/>
    <cellStyle name="Output 3 5 2 3 4 2" xfId="26496" xr:uid="{00000000-0005-0000-0000-00003D5C0000}"/>
    <cellStyle name="Output 3 5 2 4" xfId="3088" xr:uid="{00000000-0005-0000-0000-00003E5C0000}"/>
    <cellStyle name="Output 3 5 2 4 2" xfId="7158" xr:uid="{00000000-0005-0000-0000-00003F5C0000}"/>
    <cellStyle name="Output 3 5 2 4 2 2" xfId="16955" xr:uid="{00000000-0005-0000-0000-0000405C0000}"/>
    <cellStyle name="Output 3 5 2 4 2 2 2" xfId="31787" xr:uid="{00000000-0005-0000-0000-0000415C0000}"/>
    <cellStyle name="Output 3 5 2 4 2 3" xfId="18912" xr:uid="{00000000-0005-0000-0000-0000425C0000}"/>
    <cellStyle name="Output 3 5 2 4 3" xfId="13426" xr:uid="{00000000-0005-0000-0000-0000435C0000}"/>
    <cellStyle name="Output 3 5 2 4 3 2" xfId="28258" xr:uid="{00000000-0005-0000-0000-0000445C0000}"/>
    <cellStyle name="Output 3 5 2 4 4" xfId="10612" xr:uid="{00000000-0005-0000-0000-0000455C0000}"/>
    <cellStyle name="Output 3 5 2 4 4 2" xfId="25444" xr:uid="{00000000-0005-0000-0000-0000465C0000}"/>
    <cellStyle name="Output 3 5 2 5" xfId="6250" xr:uid="{00000000-0005-0000-0000-0000475C0000}"/>
    <cellStyle name="Output 3 5 2 5 2" xfId="16435" xr:uid="{00000000-0005-0000-0000-0000485C0000}"/>
    <cellStyle name="Output 3 5 2 5 2 2" xfId="31267" xr:uid="{00000000-0005-0000-0000-0000495C0000}"/>
    <cellStyle name="Output 3 5 2 5 3" xfId="18553" xr:uid="{00000000-0005-0000-0000-00004A5C0000}"/>
    <cellStyle name="Output 3 5 2 6" xfId="12505" xr:uid="{00000000-0005-0000-0000-00004B5C0000}"/>
    <cellStyle name="Output 3 5 2 6 2" xfId="27337" xr:uid="{00000000-0005-0000-0000-00004C5C0000}"/>
    <cellStyle name="Output 3 5 2 7" xfId="10087" xr:uid="{00000000-0005-0000-0000-00004D5C0000}"/>
    <cellStyle name="Output 3 5 2 7 2" xfId="24919" xr:uid="{00000000-0005-0000-0000-00004E5C0000}"/>
    <cellStyle name="Output 3 5 3" xfId="3829" xr:uid="{00000000-0005-0000-0000-00004F5C0000}"/>
    <cellStyle name="Output 3 5 3 2" xfId="7882" xr:uid="{00000000-0005-0000-0000-0000505C0000}"/>
    <cellStyle name="Output 3 5 3 2 2" xfId="17384" xr:uid="{00000000-0005-0000-0000-0000515C0000}"/>
    <cellStyle name="Output 3 5 3 2 2 2" xfId="32216" xr:uid="{00000000-0005-0000-0000-0000525C0000}"/>
    <cellStyle name="Output 3 5 3 2 3" xfId="19168" xr:uid="{00000000-0005-0000-0000-0000535C0000}"/>
    <cellStyle name="Output 3 5 3 3" xfId="14164" xr:uid="{00000000-0005-0000-0000-0000545C0000}"/>
    <cellStyle name="Output 3 5 3 3 2" xfId="28996" xr:uid="{00000000-0005-0000-0000-0000555C0000}"/>
    <cellStyle name="Output 3 5 3 4" xfId="11003" xr:uid="{00000000-0005-0000-0000-0000565C0000}"/>
    <cellStyle name="Output 3 5 3 4 2" xfId="25835" xr:uid="{00000000-0005-0000-0000-0000575C0000}"/>
    <cellStyle name="Output 3 5 4" xfId="4678" xr:uid="{00000000-0005-0000-0000-0000585C0000}"/>
    <cellStyle name="Output 3 5 4 2" xfId="8717" xr:uid="{00000000-0005-0000-0000-0000595C0000}"/>
    <cellStyle name="Output 3 5 4 2 2" xfId="17825" xr:uid="{00000000-0005-0000-0000-00005A5C0000}"/>
    <cellStyle name="Output 3 5 4 2 2 2" xfId="32657" xr:uid="{00000000-0005-0000-0000-00005B5C0000}"/>
    <cellStyle name="Output 3 5 4 2 3" xfId="19458" xr:uid="{00000000-0005-0000-0000-00005C5C0000}"/>
    <cellStyle name="Output 3 5 4 3" xfId="15003" xr:uid="{00000000-0005-0000-0000-00005D5C0000}"/>
    <cellStyle name="Output 3 5 4 3 2" xfId="29835" xr:uid="{00000000-0005-0000-0000-00005E5C0000}"/>
    <cellStyle name="Output 3 5 4 4" xfId="11429" xr:uid="{00000000-0005-0000-0000-00005F5C0000}"/>
    <cellStyle name="Output 3 5 4 4 2" xfId="26261" xr:uid="{00000000-0005-0000-0000-0000605C0000}"/>
    <cellStyle name="Output 3 5 5" xfId="2668" xr:uid="{00000000-0005-0000-0000-0000615C0000}"/>
    <cellStyle name="Output 3 5 5 2" xfId="6764" xr:uid="{00000000-0005-0000-0000-0000625C0000}"/>
    <cellStyle name="Output 3 5 5 2 2" xfId="16720" xr:uid="{00000000-0005-0000-0000-0000635C0000}"/>
    <cellStyle name="Output 3 5 5 2 2 2" xfId="31552" xr:uid="{00000000-0005-0000-0000-0000645C0000}"/>
    <cellStyle name="Output 3 5 5 2 3" xfId="18748" xr:uid="{00000000-0005-0000-0000-0000655C0000}"/>
    <cellStyle name="Output 3 5 5 3" xfId="13006" xr:uid="{00000000-0005-0000-0000-0000665C0000}"/>
    <cellStyle name="Output 3 5 5 3 2" xfId="27838" xr:uid="{00000000-0005-0000-0000-0000675C0000}"/>
    <cellStyle name="Output 3 5 5 4" xfId="10372" xr:uid="{00000000-0005-0000-0000-0000685C0000}"/>
    <cellStyle name="Output 3 5 5 4 2" xfId="25204" xr:uid="{00000000-0005-0000-0000-0000695C0000}"/>
    <cellStyle name="Output 3 5 6" xfId="5780" xr:uid="{00000000-0005-0000-0000-00006A5C0000}"/>
    <cellStyle name="Output 3 5 6 2" xfId="16014" xr:uid="{00000000-0005-0000-0000-00006B5C0000}"/>
    <cellStyle name="Output 3 5 6 2 2" xfId="30846" xr:uid="{00000000-0005-0000-0000-00006C5C0000}"/>
    <cellStyle name="Output 3 5 6 3" xfId="18389" xr:uid="{00000000-0005-0000-0000-00006D5C0000}"/>
    <cellStyle name="Output 3 5 7" xfId="12034" xr:uid="{00000000-0005-0000-0000-00006E5C0000}"/>
    <cellStyle name="Output 3 5 7 2" xfId="26866" xr:uid="{00000000-0005-0000-0000-00006F5C0000}"/>
    <cellStyle name="Output 3 5 8" xfId="9694" xr:uid="{00000000-0005-0000-0000-0000705C0000}"/>
    <cellStyle name="Output 3 5 8 2" xfId="19994" xr:uid="{00000000-0005-0000-0000-0000715C0000}"/>
    <cellStyle name="Output 3 6" xfId="1784" xr:uid="{00000000-0005-0000-0000-0000725C0000}"/>
    <cellStyle name="Output 3 6 2" xfId="3651" xr:uid="{00000000-0005-0000-0000-0000735C0000}"/>
    <cellStyle name="Output 3 6 2 2" xfId="7710" xr:uid="{00000000-0005-0000-0000-0000745C0000}"/>
    <cellStyle name="Output 3 6 2 2 2" xfId="17301" xr:uid="{00000000-0005-0000-0000-0000755C0000}"/>
    <cellStyle name="Output 3 6 2 2 2 2" xfId="32133" xr:uid="{00000000-0005-0000-0000-0000765C0000}"/>
    <cellStyle name="Output 3 6 2 2 3" xfId="19112" xr:uid="{00000000-0005-0000-0000-0000775C0000}"/>
    <cellStyle name="Output 3 6 2 3" xfId="13986" xr:uid="{00000000-0005-0000-0000-0000785C0000}"/>
    <cellStyle name="Output 3 6 2 3 2" xfId="28818" xr:uid="{00000000-0005-0000-0000-0000795C0000}"/>
    <cellStyle name="Output 3 6 2 4" xfId="10917" xr:uid="{00000000-0005-0000-0000-00007A5C0000}"/>
    <cellStyle name="Output 3 6 2 4 2" xfId="25749" xr:uid="{00000000-0005-0000-0000-00007B5C0000}"/>
    <cellStyle name="Output 3 6 3" xfId="4762" xr:uid="{00000000-0005-0000-0000-00007C5C0000}"/>
    <cellStyle name="Output 3 6 3 2" xfId="8801" xr:uid="{00000000-0005-0000-0000-00007D5C0000}"/>
    <cellStyle name="Output 3 6 3 2 2" xfId="17873" xr:uid="{00000000-0005-0000-0000-00007E5C0000}"/>
    <cellStyle name="Output 3 6 3 2 2 2" xfId="32705" xr:uid="{00000000-0005-0000-0000-00007F5C0000}"/>
    <cellStyle name="Output 3 6 3 2 3" xfId="19490" xr:uid="{00000000-0005-0000-0000-0000805C0000}"/>
    <cellStyle name="Output 3 6 3 3" xfId="15086" xr:uid="{00000000-0005-0000-0000-0000815C0000}"/>
    <cellStyle name="Output 3 6 3 3 2" xfId="29918" xr:uid="{00000000-0005-0000-0000-0000825C0000}"/>
    <cellStyle name="Output 3 6 3 4" xfId="11476" xr:uid="{00000000-0005-0000-0000-0000835C0000}"/>
    <cellStyle name="Output 3 6 3 4 2" xfId="26308" xr:uid="{00000000-0005-0000-0000-0000845C0000}"/>
    <cellStyle name="Output 3 6 4" xfId="2752" xr:uid="{00000000-0005-0000-0000-0000855C0000}"/>
    <cellStyle name="Output 3 6 4 2" xfId="6843" xr:uid="{00000000-0005-0000-0000-0000865C0000}"/>
    <cellStyle name="Output 3 6 4 2 2" xfId="16767" xr:uid="{00000000-0005-0000-0000-0000875C0000}"/>
    <cellStyle name="Output 3 6 4 2 2 2" xfId="31599" xr:uid="{00000000-0005-0000-0000-0000885C0000}"/>
    <cellStyle name="Output 3 6 4 2 3" xfId="18781" xr:uid="{00000000-0005-0000-0000-0000895C0000}"/>
    <cellStyle name="Output 3 6 4 3" xfId="13090" xr:uid="{00000000-0005-0000-0000-00008A5C0000}"/>
    <cellStyle name="Output 3 6 4 3 2" xfId="27922" xr:uid="{00000000-0005-0000-0000-00008B5C0000}"/>
    <cellStyle name="Output 3 6 4 4" xfId="10420" xr:uid="{00000000-0005-0000-0000-00008C5C0000}"/>
    <cellStyle name="Output 3 6 4 4 2" xfId="25252" xr:uid="{00000000-0005-0000-0000-00008D5C0000}"/>
    <cellStyle name="Output 3 6 5" xfId="5916" xr:uid="{00000000-0005-0000-0000-00008E5C0000}"/>
    <cellStyle name="Output 3 6 5 2" xfId="16108" xr:uid="{00000000-0005-0000-0000-00008F5C0000}"/>
    <cellStyle name="Output 3 6 5 2 2" xfId="30940" xr:uid="{00000000-0005-0000-0000-0000905C0000}"/>
    <cellStyle name="Output 3 6 5 3" xfId="18423" xr:uid="{00000000-0005-0000-0000-0000915C0000}"/>
    <cellStyle name="Output 3 6 6" xfId="12178" xr:uid="{00000000-0005-0000-0000-0000925C0000}"/>
    <cellStyle name="Output 3 6 6 2" xfId="27010" xr:uid="{00000000-0005-0000-0000-0000935C0000}"/>
    <cellStyle name="Output 3 6 7" xfId="9774" xr:uid="{00000000-0005-0000-0000-0000945C0000}"/>
    <cellStyle name="Output 3 6 7 2" xfId="24731" xr:uid="{00000000-0005-0000-0000-0000955C0000}"/>
    <cellStyle name="Output 3 7" xfId="2182" xr:uid="{00000000-0005-0000-0000-0000965C0000}"/>
    <cellStyle name="Output 3 7 2" xfId="4062" xr:uid="{00000000-0005-0000-0000-0000975C0000}"/>
    <cellStyle name="Output 3 7 2 2" xfId="8109" xr:uid="{00000000-0005-0000-0000-0000985C0000}"/>
    <cellStyle name="Output 3 7 2 2 2" xfId="17499" xr:uid="{00000000-0005-0000-0000-0000995C0000}"/>
    <cellStyle name="Output 3 7 2 2 2 2" xfId="32331" xr:uid="{00000000-0005-0000-0000-00009A5C0000}"/>
    <cellStyle name="Output 3 7 2 2 3" xfId="19252" xr:uid="{00000000-0005-0000-0000-00009B5C0000}"/>
    <cellStyle name="Output 3 7 2 3" xfId="14394" xr:uid="{00000000-0005-0000-0000-00009C5C0000}"/>
    <cellStyle name="Output 3 7 2 3 2" xfId="29226" xr:uid="{00000000-0005-0000-0000-00009D5C0000}"/>
    <cellStyle name="Output 3 7 2 4" xfId="11115" xr:uid="{00000000-0005-0000-0000-00009E5C0000}"/>
    <cellStyle name="Output 3 7 2 4 2" xfId="25947" xr:uid="{00000000-0005-0000-0000-00009F5C0000}"/>
    <cellStyle name="Output 3 7 3" xfId="5150" xr:uid="{00000000-0005-0000-0000-0000A05C0000}"/>
    <cellStyle name="Output 3 7 3 2" xfId="9189" xr:uid="{00000000-0005-0000-0000-0000A15C0000}"/>
    <cellStyle name="Output 3 7 3 2 2" xfId="18112" xr:uid="{00000000-0005-0000-0000-0000A25C0000}"/>
    <cellStyle name="Output 3 7 3 2 2 2" xfId="32944" xr:uid="{00000000-0005-0000-0000-0000A35C0000}"/>
    <cellStyle name="Output 3 7 3 2 3" xfId="19663" xr:uid="{00000000-0005-0000-0000-0000A45C0000}"/>
    <cellStyle name="Output 3 7 3 3" xfId="15468" xr:uid="{00000000-0005-0000-0000-0000A55C0000}"/>
    <cellStyle name="Output 3 7 3 3 2" xfId="30300" xr:uid="{00000000-0005-0000-0000-0000A65C0000}"/>
    <cellStyle name="Output 3 7 3 4" xfId="11709" xr:uid="{00000000-0005-0000-0000-0000A75C0000}"/>
    <cellStyle name="Output 3 7 3 4 2" xfId="26541" xr:uid="{00000000-0005-0000-0000-0000A85C0000}"/>
    <cellStyle name="Output 3 7 4" xfId="4180" xr:uid="{00000000-0005-0000-0000-0000A95C0000}"/>
    <cellStyle name="Output 3 7 4 2" xfId="8221" xr:uid="{00000000-0005-0000-0000-0000AA5C0000}"/>
    <cellStyle name="Output 3 7 4 2 2" xfId="17568" xr:uid="{00000000-0005-0000-0000-0000AB5C0000}"/>
    <cellStyle name="Output 3 7 4 2 2 2" xfId="32400" xr:uid="{00000000-0005-0000-0000-0000AC5C0000}"/>
    <cellStyle name="Output 3 7 4 2 3" xfId="19306" xr:uid="{00000000-0005-0000-0000-0000AD5C0000}"/>
    <cellStyle name="Output 3 7 4 3" xfId="14512" xr:uid="{00000000-0005-0000-0000-0000AE5C0000}"/>
    <cellStyle name="Output 3 7 4 3 2" xfId="29344" xr:uid="{00000000-0005-0000-0000-0000AF5C0000}"/>
    <cellStyle name="Output 3 7 4 4" xfId="11188" xr:uid="{00000000-0005-0000-0000-0000B05C0000}"/>
    <cellStyle name="Output 3 7 4 4 2" xfId="26020" xr:uid="{00000000-0005-0000-0000-0000B15C0000}"/>
    <cellStyle name="Output 3 7 5" xfId="6296" xr:uid="{00000000-0005-0000-0000-0000B25C0000}"/>
    <cellStyle name="Output 3 7 5 2" xfId="16480" xr:uid="{00000000-0005-0000-0000-0000B35C0000}"/>
    <cellStyle name="Output 3 7 5 2 2" xfId="31312" xr:uid="{00000000-0005-0000-0000-0000B45C0000}"/>
    <cellStyle name="Output 3 7 5 3" xfId="18599" xr:uid="{00000000-0005-0000-0000-0000B55C0000}"/>
    <cellStyle name="Output 3 7 6" xfId="12550" xr:uid="{00000000-0005-0000-0000-0000B65C0000}"/>
    <cellStyle name="Output 3 7 6 2" xfId="27382" xr:uid="{00000000-0005-0000-0000-0000B75C0000}"/>
    <cellStyle name="Output 3 7 7" xfId="10132" xr:uid="{00000000-0005-0000-0000-0000B85C0000}"/>
    <cellStyle name="Output 3 7 7 2" xfId="24964" xr:uid="{00000000-0005-0000-0000-0000B95C0000}"/>
    <cellStyle name="Output 3 8" xfId="3634" xr:uid="{00000000-0005-0000-0000-0000BA5C0000}"/>
    <cellStyle name="Output 3 8 2" xfId="7693" xr:uid="{00000000-0005-0000-0000-0000BB5C0000}"/>
    <cellStyle name="Output 3 8 2 2" xfId="17292" xr:uid="{00000000-0005-0000-0000-0000BC5C0000}"/>
    <cellStyle name="Output 3 8 2 2 2" xfId="32124" xr:uid="{00000000-0005-0000-0000-0000BD5C0000}"/>
    <cellStyle name="Output 3 8 2 3" xfId="19106" xr:uid="{00000000-0005-0000-0000-0000BE5C0000}"/>
    <cellStyle name="Output 3 8 3" xfId="13969" xr:uid="{00000000-0005-0000-0000-0000BF5C0000}"/>
    <cellStyle name="Output 3 8 3 2" xfId="28801" xr:uid="{00000000-0005-0000-0000-0000C05C0000}"/>
    <cellStyle name="Output 3 8 4" xfId="10908" xr:uid="{00000000-0005-0000-0000-0000C15C0000}"/>
    <cellStyle name="Output 3 8 4 2" xfId="25740" xr:uid="{00000000-0005-0000-0000-0000C25C0000}"/>
    <cellStyle name="Output 3 9" xfId="3314" xr:uid="{00000000-0005-0000-0000-0000C35C0000}"/>
    <cellStyle name="Output 3 9 2" xfId="7377" xr:uid="{00000000-0005-0000-0000-0000C45C0000}"/>
    <cellStyle name="Output 3 9 2 2" xfId="17112" xr:uid="{00000000-0005-0000-0000-0000C55C0000}"/>
    <cellStyle name="Output 3 9 2 2 2" xfId="31944" xr:uid="{00000000-0005-0000-0000-0000C65C0000}"/>
    <cellStyle name="Output 3 9 2 3" xfId="18993" xr:uid="{00000000-0005-0000-0000-0000C75C0000}"/>
    <cellStyle name="Output 3 9 3" xfId="13651" xr:uid="{00000000-0005-0000-0000-0000C85C0000}"/>
    <cellStyle name="Output 3 9 3 2" xfId="28483" xr:uid="{00000000-0005-0000-0000-0000C95C0000}"/>
    <cellStyle name="Output 3 9 4" xfId="10734" xr:uid="{00000000-0005-0000-0000-0000CA5C0000}"/>
    <cellStyle name="Output 3 9 4 2" xfId="25566" xr:uid="{00000000-0005-0000-0000-0000CB5C0000}"/>
    <cellStyle name="Output 4" xfId="1240" xr:uid="{00000000-0005-0000-0000-0000CC5C0000}"/>
    <cellStyle name="Output 4 10" xfId="2326" xr:uid="{00000000-0005-0000-0000-0000CD5C0000}"/>
    <cellStyle name="Output 4 10 2" xfId="6438" xr:uid="{00000000-0005-0000-0000-0000CE5C0000}"/>
    <cellStyle name="Output 4 10 2 2" xfId="16531" xr:uid="{00000000-0005-0000-0000-0000CF5C0000}"/>
    <cellStyle name="Output 4 10 2 2 2" xfId="31363" xr:uid="{00000000-0005-0000-0000-0000D05C0000}"/>
    <cellStyle name="Output 4 10 2 3" xfId="18619" xr:uid="{00000000-0005-0000-0000-0000D15C0000}"/>
    <cellStyle name="Output 4 10 3" xfId="12666" xr:uid="{00000000-0005-0000-0000-0000D25C0000}"/>
    <cellStyle name="Output 4 10 3 2" xfId="27498" xr:uid="{00000000-0005-0000-0000-0000D35C0000}"/>
    <cellStyle name="Output 4 10 4" xfId="10182" xr:uid="{00000000-0005-0000-0000-0000D45C0000}"/>
    <cellStyle name="Output 4 10 4 2" xfId="25014" xr:uid="{00000000-0005-0000-0000-0000D55C0000}"/>
    <cellStyle name="Output 4 11" xfId="5289" xr:uid="{00000000-0005-0000-0000-0000D65C0000}"/>
    <cellStyle name="Output 4 11 2" xfId="9297" xr:uid="{00000000-0005-0000-0000-0000D75C0000}"/>
    <cellStyle name="Output 4 11 2 2" xfId="18164" xr:uid="{00000000-0005-0000-0000-0000D85C0000}"/>
    <cellStyle name="Output 4 11 2 2 2" xfId="32996" xr:uid="{00000000-0005-0000-0000-0000D95C0000}"/>
    <cellStyle name="Output 4 11 2 3" xfId="19683" xr:uid="{00000000-0005-0000-0000-0000DA5C0000}"/>
    <cellStyle name="Output 4 11 3" xfId="15605" xr:uid="{00000000-0005-0000-0000-0000DB5C0000}"/>
    <cellStyle name="Output 4 11 3 2" xfId="30437" xr:uid="{00000000-0005-0000-0000-0000DC5C0000}"/>
    <cellStyle name="Output 4 12" xfId="5447" xr:uid="{00000000-0005-0000-0000-0000DD5C0000}"/>
    <cellStyle name="Output 4 12 2" xfId="15683" xr:uid="{00000000-0005-0000-0000-0000DE5C0000}"/>
    <cellStyle name="Output 4 12 2 2" xfId="30515" xr:uid="{00000000-0005-0000-0000-0000DF5C0000}"/>
    <cellStyle name="Output 4 12 3" xfId="18260" xr:uid="{00000000-0005-0000-0000-0000E05C0000}"/>
    <cellStyle name="Output 4 13" xfId="9344" xr:uid="{00000000-0005-0000-0000-0000E15C0000}"/>
    <cellStyle name="Output 4 13 2" xfId="24650" xr:uid="{00000000-0005-0000-0000-0000E25C0000}"/>
    <cellStyle name="Output 4 14" xfId="5333" xr:uid="{00000000-0005-0000-0000-0000E35C0000}"/>
    <cellStyle name="Output 4 14 2" xfId="18207" xr:uid="{00000000-0005-0000-0000-0000E45C0000}"/>
    <cellStyle name="Output 4 2" xfId="1359" xr:uid="{00000000-0005-0000-0000-0000E55C0000}"/>
    <cellStyle name="Output 4 2 2" xfId="1863" xr:uid="{00000000-0005-0000-0000-0000E65C0000}"/>
    <cellStyle name="Output 4 2 2 2" xfId="3914" xr:uid="{00000000-0005-0000-0000-0000E75C0000}"/>
    <cellStyle name="Output 4 2 2 2 2" xfId="7965" xr:uid="{00000000-0005-0000-0000-0000E85C0000}"/>
    <cellStyle name="Output 4 2 2 2 2 2" xfId="17428" xr:uid="{00000000-0005-0000-0000-0000E95C0000}"/>
    <cellStyle name="Output 4 2 2 2 2 2 2" xfId="32260" xr:uid="{00000000-0005-0000-0000-0000EA5C0000}"/>
    <cellStyle name="Output 4 2 2 2 2 3" xfId="19201" xr:uid="{00000000-0005-0000-0000-0000EB5C0000}"/>
    <cellStyle name="Output 4 2 2 2 3" xfId="14247" xr:uid="{00000000-0005-0000-0000-0000EC5C0000}"/>
    <cellStyle name="Output 4 2 2 2 3 2" xfId="29079" xr:uid="{00000000-0005-0000-0000-0000ED5C0000}"/>
    <cellStyle name="Output 4 2 2 2 4" xfId="11044" xr:uid="{00000000-0005-0000-0000-0000EE5C0000}"/>
    <cellStyle name="Output 4 2 2 2 4 2" xfId="25876" xr:uid="{00000000-0005-0000-0000-0000EF5C0000}"/>
    <cellStyle name="Output 4 2 2 3" xfId="4841" xr:uid="{00000000-0005-0000-0000-0000F05C0000}"/>
    <cellStyle name="Output 4 2 2 3 2" xfId="8880" xr:uid="{00000000-0005-0000-0000-0000F15C0000}"/>
    <cellStyle name="Output 4 2 2 3 2 2" xfId="17921" xr:uid="{00000000-0005-0000-0000-0000F25C0000}"/>
    <cellStyle name="Output 4 2 2 3 2 2 2" xfId="32753" xr:uid="{00000000-0005-0000-0000-0000F35C0000}"/>
    <cellStyle name="Output 4 2 2 3 2 3" xfId="19523" xr:uid="{00000000-0005-0000-0000-0000F45C0000}"/>
    <cellStyle name="Output 4 2 2 3 3" xfId="15165" xr:uid="{00000000-0005-0000-0000-0000F55C0000}"/>
    <cellStyle name="Output 4 2 2 3 3 2" xfId="29997" xr:uid="{00000000-0005-0000-0000-0000F65C0000}"/>
    <cellStyle name="Output 4 2 2 3 4" xfId="11524" xr:uid="{00000000-0005-0000-0000-0000F75C0000}"/>
    <cellStyle name="Output 4 2 2 3 4 2" xfId="26356" xr:uid="{00000000-0005-0000-0000-0000F85C0000}"/>
    <cellStyle name="Output 4 2 2 4" xfId="2831" xr:uid="{00000000-0005-0000-0000-0000F95C0000}"/>
    <cellStyle name="Output 4 2 2 4 2" xfId="6922" xr:uid="{00000000-0005-0000-0000-0000FA5C0000}"/>
    <cellStyle name="Output 4 2 2 4 2 2" xfId="16815" xr:uid="{00000000-0005-0000-0000-0000FB5C0000}"/>
    <cellStyle name="Output 4 2 2 4 2 2 2" xfId="31647" xr:uid="{00000000-0005-0000-0000-0000FC5C0000}"/>
    <cellStyle name="Output 4 2 2 4 2 3" xfId="18814" xr:uid="{00000000-0005-0000-0000-0000FD5C0000}"/>
    <cellStyle name="Output 4 2 2 4 3" xfId="13169" xr:uid="{00000000-0005-0000-0000-0000FE5C0000}"/>
    <cellStyle name="Output 4 2 2 4 3 2" xfId="28001" xr:uid="{00000000-0005-0000-0000-0000FF5C0000}"/>
    <cellStyle name="Output 4 2 2 4 4" xfId="10468" xr:uid="{00000000-0005-0000-0000-0000005D0000}"/>
    <cellStyle name="Output 4 2 2 4 4 2" xfId="25300" xr:uid="{00000000-0005-0000-0000-0000015D0000}"/>
    <cellStyle name="Output 4 2 2 5" xfId="5995" xr:uid="{00000000-0005-0000-0000-0000025D0000}"/>
    <cellStyle name="Output 4 2 2 5 2" xfId="16187" xr:uid="{00000000-0005-0000-0000-0000035D0000}"/>
    <cellStyle name="Output 4 2 2 5 2 2" xfId="31019" xr:uid="{00000000-0005-0000-0000-0000045D0000}"/>
    <cellStyle name="Output 4 2 2 5 3" xfId="18456" xr:uid="{00000000-0005-0000-0000-0000055D0000}"/>
    <cellStyle name="Output 4 2 2 6" xfId="12257" xr:uid="{00000000-0005-0000-0000-0000065D0000}"/>
    <cellStyle name="Output 4 2 2 6 2" xfId="27089" xr:uid="{00000000-0005-0000-0000-0000075D0000}"/>
    <cellStyle name="Output 4 2 2 7" xfId="9853" xr:uid="{00000000-0005-0000-0000-0000085D0000}"/>
    <cellStyle name="Output 4 2 2 7 2" xfId="24779" xr:uid="{00000000-0005-0000-0000-0000095D0000}"/>
    <cellStyle name="Output 4 2 3" xfId="3566" xr:uid="{00000000-0005-0000-0000-00000A5D0000}"/>
    <cellStyle name="Output 4 2 3 2" xfId="7628" xr:uid="{00000000-0005-0000-0000-00000B5D0000}"/>
    <cellStyle name="Output 4 2 3 2 2" xfId="17260" xr:uid="{00000000-0005-0000-0000-00000C5D0000}"/>
    <cellStyle name="Output 4 2 3 2 2 2" xfId="32092" xr:uid="{00000000-0005-0000-0000-00000D5D0000}"/>
    <cellStyle name="Output 4 2 3 2 3" xfId="19083" xr:uid="{00000000-0005-0000-0000-00000E5D0000}"/>
    <cellStyle name="Output 4 2 3 3" xfId="13902" xr:uid="{00000000-0005-0000-0000-00000F5D0000}"/>
    <cellStyle name="Output 4 2 3 3 2" xfId="28734" xr:uid="{00000000-0005-0000-0000-0000105D0000}"/>
    <cellStyle name="Output 4 2 3 4" xfId="10877" xr:uid="{00000000-0005-0000-0000-0000115D0000}"/>
    <cellStyle name="Output 4 2 3 4 2" xfId="25709" xr:uid="{00000000-0005-0000-0000-0000125D0000}"/>
    <cellStyle name="Output 4 2 4" xfId="4421" xr:uid="{00000000-0005-0000-0000-0000135D0000}"/>
    <cellStyle name="Output 4 2 4 2" xfId="8460" xr:uid="{00000000-0005-0000-0000-0000145D0000}"/>
    <cellStyle name="Output 4 2 4 2 2" xfId="17681" xr:uid="{00000000-0005-0000-0000-0000155D0000}"/>
    <cellStyle name="Output 4 2 4 2 2 2" xfId="32513" xr:uid="{00000000-0005-0000-0000-0000165D0000}"/>
    <cellStyle name="Output 4 2 4 2 3" xfId="19363" xr:uid="{00000000-0005-0000-0000-0000175D0000}"/>
    <cellStyle name="Output 4 2 4 3" xfId="14750" xr:uid="{00000000-0005-0000-0000-0000185D0000}"/>
    <cellStyle name="Output 4 2 4 3 2" xfId="29582" xr:uid="{00000000-0005-0000-0000-0000195D0000}"/>
    <cellStyle name="Output 4 2 4 4" xfId="11289" xr:uid="{00000000-0005-0000-0000-00001A5D0000}"/>
    <cellStyle name="Output 4 2 4 4 2" xfId="26121" xr:uid="{00000000-0005-0000-0000-00001B5D0000}"/>
    <cellStyle name="Output 4 2 5" xfId="2411" xr:uid="{00000000-0005-0000-0000-00001C5D0000}"/>
    <cellStyle name="Output 4 2 5 2" xfId="6523" xr:uid="{00000000-0005-0000-0000-00001D5D0000}"/>
    <cellStyle name="Output 4 2 5 2 2" xfId="16579" xr:uid="{00000000-0005-0000-0000-00001E5D0000}"/>
    <cellStyle name="Output 4 2 5 2 2 2" xfId="31411" xr:uid="{00000000-0005-0000-0000-00001F5D0000}"/>
    <cellStyle name="Output 4 2 5 2 3" xfId="18651" xr:uid="{00000000-0005-0000-0000-0000205D0000}"/>
    <cellStyle name="Output 4 2 5 3" xfId="12750" xr:uid="{00000000-0005-0000-0000-0000215D0000}"/>
    <cellStyle name="Output 4 2 5 3 2" xfId="27582" xr:uid="{00000000-0005-0000-0000-0000225D0000}"/>
    <cellStyle name="Output 4 2 5 4" xfId="10229" xr:uid="{00000000-0005-0000-0000-0000235D0000}"/>
    <cellStyle name="Output 4 2 5 4 2" xfId="25061" xr:uid="{00000000-0005-0000-0000-0000245D0000}"/>
    <cellStyle name="Output 4 2 6" xfId="5536" xr:uid="{00000000-0005-0000-0000-0000255D0000}"/>
    <cellStyle name="Output 4 2 6 2" xfId="15771" xr:uid="{00000000-0005-0000-0000-0000265D0000}"/>
    <cellStyle name="Output 4 2 6 2 2" xfId="30603" xr:uid="{00000000-0005-0000-0000-0000275D0000}"/>
    <cellStyle name="Output 4 2 6 3" xfId="18293" xr:uid="{00000000-0005-0000-0000-0000285D0000}"/>
    <cellStyle name="Output 4 2 7" xfId="11786" xr:uid="{00000000-0005-0000-0000-0000295D0000}"/>
    <cellStyle name="Output 4 2 7 2" xfId="26618" xr:uid="{00000000-0005-0000-0000-00002A5D0000}"/>
    <cellStyle name="Output 4 2 8" xfId="9457" xr:uid="{00000000-0005-0000-0000-00002B5D0000}"/>
    <cellStyle name="Output 4 2 8 2" xfId="19761" xr:uid="{00000000-0005-0000-0000-00002C5D0000}"/>
    <cellStyle name="Output 4 3" xfId="1529" xr:uid="{00000000-0005-0000-0000-00002D5D0000}"/>
    <cellStyle name="Output 4 3 2" xfId="2026" xr:uid="{00000000-0005-0000-0000-00002E5D0000}"/>
    <cellStyle name="Output 4 3 2 2" xfId="3761" xr:uid="{00000000-0005-0000-0000-00002F5D0000}"/>
    <cellStyle name="Output 4 3 2 2 2" xfId="7817" xr:uid="{00000000-0005-0000-0000-0000305D0000}"/>
    <cellStyle name="Output 4 3 2 2 2 2" xfId="17352" xr:uid="{00000000-0005-0000-0000-0000315D0000}"/>
    <cellStyle name="Output 4 3 2 2 2 2 2" xfId="32184" xr:uid="{00000000-0005-0000-0000-0000325D0000}"/>
    <cellStyle name="Output 4 3 2 2 2 3" xfId="19146" xr:uid="{00000000-0005-0000-0000-0000335D0000}"/>
    <cellStyle name="Output 4 3 2 2 3" xfId="14096" xr:uid="{00000000-0005-0000-0000-0000345D0000}"/>
    <cellStyle name="Output 4 3 2 2 3 2" xfId="28928" xr:uid="{00000000-0005-0000-0000-0000355D0000}"/>
    <cellStyle name="Output 4 3 2 2 4" xfId="10968" xr:uid="{00000000-0005-0000-0000-0000365D0000}"/>
    <cellStyle name="Output 4 3 2 2 4 2" xfId="25800" xr:uid="{00000000-0005-0000-0000-0000375D0000}"/>
    <cellStyle name="Output 4 3 2 3" xfId="4994" xr:uid="{00000000-0005-0000-0000-0000385D0000}"/>
    <cellStyle name="Output 4 3 2 3 2" xfId="9033" xr:uid="{00000000-0005-0000-0000-0000395D0000}"/>
    <cellStyle name="Output 4 3 2 3 2 2" xfId="17971" xr:uid="{00000000-0005-0000-0000-00003A5D0000}"/>
    <cellStyle name="Output 4 3 2 3 2 2 2" xfId="32803" xr:uid="{00000000-0005-0000-0000-00003B5D0000}"/>
    <cellStyle name="Output 4 3 2 3 2 3" xfId="19555" xr:uid="{00000000-0005-0000-0000-00003C5D0000}"/>
    <cellStyle name="Output 4 3 2 3 3" xfId="15316" xr:uid="{00000000-0005-0000-0000-00003D5D0000}"/>
    <cellStyle name="Output 4 3 2 3 3 2" xfId="30148" xr:uid="{00000000-0005-0000-0000-00003E5D0000}"/>
    <cellStyle name="Output 4 3 2 3 4" xfId="11572" xr:uid="{00000000-0005-0000-0000-00003F5D0000}"/>
    <cellStyle name="Output 4 3 2 3 4 2" xfId="26404" xr:uid="{00000000-0005-0000-0000-0000405D0000}"/>
    <cellStyle name="Output 4 3 2 4" xfId="2984" xr:uid="{00000000-0005-0000-0000-0000415D0000}"/>
    <cellStyle name="Output 4 3 2 4 2" xfId="7064" xr:uid="{00000000-0005-0000-0000-0000425D0000}"/>
    <cellStyle name="Output 4 3 2 4 2 2" xfId="16863" xr:uid="{00000000-0005-0000-0000-0000435D0000}"/>
    <cellStyle name="Output 4 3 2 4 2 2 2" xfId="31695" xr:uid="{00000000-0005-0000-0000-0000445D0000}"/>
    <cellStyle name="Output 4 3 2 4 2 3" xfId="18847" xr:uid="{00000000-0005-0000-0000-0000455D0000}"/>
    <cellStyle name="Output 4 3 2 4 3" xfId="13322" xr:uid="{00000000-0005-0000-0000-0000465D0000}"/>
    <cellStyle name="Output 4 3 2 4 3 2" xfId="28154" xr:uid="{00000000-0005-0000-0000-0000475D0000}"/>
    <cellStyle name="Output 4 3 2 4 4" xfId="10518" xr:uid="{00000000-0005-0000-0000-0000485D0000}"/>
    <cellStyle name="Output 4 3 2 4 4 2" xfId="25350" xr:uid="{00000000-0005-0000-0000-0000495D0000}"/>
    <cellStyle name="Output 4 3 2 5" xfId="6156" xr:uid="{00000000-0005-0000-0000-00004A5D0000}"/>
    <cellStyle name="Output 4 3 2 5 2" xfId="16343" xr:uid="{00000000-0005-0000-0000-00004B5D0000}"/>
    <cellStyle name="Output 4 3 2 5 2 2" xfId="31175" xr:uid="{00000000-0005-0000-0000-00004C5D0000}"/>
    <cellStyle name="Output 4 3 2 5 3" xfId="18488" xr:uid="{00000000-0005-0000-0000-00004D5D0000}"/>
    <cellStyle name="Output 4 3 2 6" xfId="12413" xr:uid="{00000000-0005-0000-0000-00004E5D0000}"/>
    <cellStyle name="Output 4 3 2 6 2" xfId="27245" xr:uid="{00000000-0005-0000-0000-00004F5D0000}"/>
    <cellStyle name="Output 4 3 2 7" xfId="9995" xr:uid="{00000000-0005-0000-0000-0000505D0000}"/>
    <cellStyle name="Output 4 3 2 7 2" xfId="24827" xr:uid="{00000000-0005-0000-0000-0000515D0000}"/>
    <cellStyle name="Output 4 3 3" xfId="3166" xr:uid="{00000000-0005-0000-0000-0000525D0000}"/>
    <cellStyle name="Output 4 3 3 2" xfId="7230" xr:uid="{00000000-0005-0000-0000-0000535D0000}"/>
    <cellStyle name="Output 4 3 3 2 2" xfId="17006" xr:uid="{00000000-0005-0000-0000-0000545D0000}"/>
    <cellStyle name="Output 4 3 3 2 2 2" xfId="31838" xr:uid="{00000000-0005-0000-0000-0000555D0000}"/>
    <cellStyle name="Output 4 3 3 2 3" xfId="18948" xr:uid="{00000000-0005-0000-0000-0000565D0000}"/>
    <cellStyle name="Output 4 3 3 3" xfId="13504" xr:uid="{00000000-0005-0000-0000-0000575D0000}"/>
    <cellStyle name="Output 4 3 3 3 2" xfId="28336" xr:uid="{00000000-0005-0000-0000-0000585D0000}"/>
    <cellStyle name="Output 4 3 3 4" xfId="10657" xr:uid="{00000000-0005-0000-0000-0000595D0000}"/>
    <cellStyle name="Output 4 3 3 4 2" xfId="25489" xr:uid="{00000000-0005-0000-0000-00005A5D0000}"/>
    <cellStyle name="Output 4 3 4" xfId="4574" xr:uid="{00000000-0005-0000-0000-00005B5D0000}"/>
    <cellStyle name="Output 4 3 4 2" xfId="8613" xr:uid="{00000000-0005-0000-0000-00005C5D0000}"/>
    <cellStyle name="Output 4 3 4 2 2" xfId="17731" xr:uid="{00000000-0005-0000-0000-00005D5D0000}"/>
    <cellStyle name="Output 4 3 4 2 2 2" xfId="32563" xr:uid="{00000000-0005-0000-0000-00005E5D0000}"/>
    <cellStyle name="Output 4 3 4 2 3" xfId="19395" xr:uid="{00000000-0005-0000-0000-00005F5D0000}"/>
    <cellStyle name="Output 4 3 4 3" xfId="14901" xr:uid="{00000000-0005-0000-0000-0000605D0000}"/>
    <cellStyle name="Output 4 3 4 3 2" xfId="29733" xr:uid="{00000000-0005-0000-0000-0000615D0000}"/>
    <cellStyle name="Output 4 3 4 4" xfId="11337" xr:uid="{00000000-0005-0000-0000-0000625D0000}"/>
    <cellStyle name="Output 4 3 4 4 2" xfId="26169" xr:uid="{00000000-0005-0000-0000-0000635D0000}"/>
    <cellStyle name="Output 4 3 5" xfId="2564" xr:uid="{00000000-0005-0000-0000-0000645D0000}"/>
    <cellStyle name="Output 4 3 5 2" xfId="6670" xr:uid="{00000000-0005-0000-0000-0000655D0000}"/>
    <cellStyle name="Output 4 3 5 2 2" xfId="16628" xr:uid="{00000000-0005-0000-0000-0000665D0000}"/>
    <cellStyle name="Output 4 3 5 2 2 2" xfId="31460" xr:uid="{00000000-0005-0000-0000-0000675D0000}"/>
    <cellStyle name="Output 4 3 5 2 3" xfId="18683" xr:uid="{00000000-0005-0000-0000-0000685D0000}"/>
    <cellStyle name="Output 4 3 5 3" xfId="12902" xr:uid="{00000000-0005-0000-0000-0000695D0000}"/>
    <cellStyle name="Output 4 3 5 3 2" xfId="27734" xr:uid="{00000000-0005-0000-0000-00006A5D0000}"/>
    <cellStyle name="Output 4 3 5 4" xfId="10278" xr:uid="{00000000-0005-0000-0000-00006B5D0000}"/>
    <cellStyle name="Output 4 3 5 4 2" xfId="25110" xr:uid="{00000000-0005-0000-0000-00006C5D0000}"/>
    <cellStyle name="Output 4 3 6" xfId="5687" xr:uid="{00000000-0005-0000-0000-00006D5D0000}"/>
    <cellStyle name="Output 4 3 6 2" xfId="15922" xr:uid="{00000000-0005-0000-0000-00006E5D0000}"/>
    <cellStyle name="Output 4 3 6 2 2" xfId="30754" xr:uid="{00000000-0005-0000-0000-00006F5D0000}"/>
    <cellStyle name="Output 4 3 6 3" xfId="18325" xr:uid="{00000000-0005-0000-0000-0000705D0000}"/>
    <cellStyle name="Output 4 3 7" xfId="11942" xr:uid="{00000000-0005-0000-0000-0000715D0000}"/>
    <cellStyle name="Output 4 3 7 2" xfId="26774" xr:uid="{00000000-0005-0000-0000-0000725D0000}"/>
    <cellStyle name="Output 4 3 8" xfId="9600" xr:uid="{00000000-0005-0000-0000-0000735D0000}"/>
    <cellStyle name="Output 4 3 8 2" xfId="19902" xr:uid="{00000000-0005-0000-0000-0000745D0000}"/>
    <cellStyle name="Output 4 4" xfId="1584" xr:uid="{00000000-0005-0000-0000-0000755D0000}"/>
    <cellStyle name="Output 4 4 2" xfId="2081" xr:uid="{00000000-0005-0000-0000-0000765D0000}"/>
    <cellStyle name="Output 4 4 2 2" xfId="3411" xr:uid="{00000000-0005-0000-0000-0000775D0000}"/>
    <cellStyle name="Output 4 4 2 2 2" xfId="7474" xr:uid="{00000000-0005-0000-0000-0000785D0000}"/>
    <cellStyle name="Output 4 4 2 2 2 2" xfId="17173" xr:uid="{00000000-0005-0000-0000-0000795D0000}"/>
    <cellStyle name="Output 4 4 2 2 2 2 2" xfId="32005" xr:uid="{00000000-0005-0000-0000-00007A5D0000}"/>
    <cellStyle name="Output 4 4 2 2 2 3" xfId="19023" xr:uid="{00000000-0005-0000-0000-00007B5D0000}"/>
    <cellStyle name="Output 4 4 2 2 3" xfId="13748" xr:uid="{00000000-0005-0000-0000-00007C5D0000}"/>
    <cellStyle name="Output 4 4 2 2 3 2" xfId="28580" xr:uid="{00000000-0005-0000-0000-00007D5D0000}"/>
    <cellStyle name="Output 4 4 2 2 4" xfId="10792" xr:uid="{00000000-0005-0000-0000-00007E5D0000}"/>
    <cellStyle name="Output 4 4 2 2 4 2" xfId="25624" xr:uid="{00000000-0005-0000-0000-00007F5D0000}"/>
    <cellStyle name="Output 4 4 2 3" xfId="5049" xr:uid="{00000000-0005-0000-0000-0000805D0000}"/>
    <cellStyle name="Output 4 4 2 3 2" xfId="9088" xr:uid="{00000000-0005-0000-0000-0000815D0000}"/>
    <cellStyle name="Output 4 4 2 3 2 2" xfId="18021" xr:uid="{00000000-0005-0000-0000-0000825D0000}"/>
    <cellStyle name="Output 4 4 2 3 2 2 2" xfId="32853" xr:uid="{00000000-0005-0000-0000-0000835D0000}"/>
    <cellStyle name="Output 4 4 2 3 2 3" xfId="19587" xr:uid="{00000000-0005-0000-0000-0000845D0000}"/>
    <cellStyle name="Output 4 4 2 3 3" xfId="15370" xr:uid="{00000000-0005-0000-0000-0000855D0000}"/>
    <cellStyle name="Output 4 4 2 3 3 2" xfId="30202" xr:uid="{00000000-0005-0000-0000-0000865D0000}"/>
    <cellStyle name="Output 4 4 2 3 4" xfId="11621" xr:uid="{00000000-0005-0000-0000-0000875D0000}"/>
    <cellStyle name="Output 4 4 2 3 4 2" xfId="26453" xr:uid="{00000000-0005-0000-0000-0000885D0000}"/>
    <cellStyle name="Output 4 4 2 4" xfId="3039" xr:uid="{00000000-0005-0000-0000-0000895D0000}"/>
    <cellStyle name="Output 4 4 2 4 2" xfId="7114" xr:uid="{00000000-0005-0000-0000-00008A5D0000}"/>
    <cellStyle name="Output 4 4 2 4 2 2" xfId="16912" xr:uid="{00000000-0005-0000-0000-00008B5D0000}"/>
    <cellStyle name="Output 4 4 2 4 2 2 2" xfId="31744" xr:uid="{00000000-0005-0000-0000-00008C5D0000}"/>
    <cellStyle name="Output 4 4 2 4 2 3" xfId="18880" xr:uid="{00000000-0005-0000-0000-00008D5D0000}"/>
    <cellStyle name="Output 4 4 2 4 3" xfId="13377" xr:uid="{00000000-0005-0000-0000-00008E5D0000}"/>
    <cellStyle name="Output 4 4 2 4 3 2" xfId="28209" xr:uid="{00000000-0005-0000-0000-00008F5D0000}"/>
    <cellStyle name="Output 4 4 2 4 4" xfId="10568" xr:uid="{00000000-0005-0000-0000-0000905D0000}"/>
    <cellStyle name="Output 4 4 2 4 4 2" xfId="25400" xr:uid="{00000000-0005-0000-0000-0000915D0000}"/>
    <cellStyle name="Output 4 4 2 5" xfId="6206" xr:uid="{00000000-0005-0000-0000-0000925D0000}"/>
    <cellStyle name="Output 4 4 2 5 2" xfId="16392" xr:uid="{00000000-0005-0000-0000-0000935D0000}"/>
    <cellStyle name="Output 4 4 2 5 2 2" xfId="31224" xr:uid="{00000000-0005-0000-0000-0000945D0000}"/>
    <cellStyle name="Output 4 4 2 5 3" xfId="18521" xr:uid="{00000000-0005-0000-0000-0000955D0000}"/>
    <cellStyle name="Output 4 4 2 6" xfId="12462" xr:uid="{00000000-0005-0000-0000-0000965D0000}"/>
    <cellStyle name="Output 4 4 2 6 2" xfId="27294" xr:uid="{00000000-0005-0000-0000-0000975D0000}"/>
    <cellStyle name="Output 4 4 2 7" xfId="10044" xr:uid="{00000000-0005-0000-0000-0000985D0000}"/>
    <cellStyle name="Output 4 4 2 7 2" xfId="24876" xr:uid="{00000000-0005-0000-0000-0000995D0000}"/>
    <cellStyle name="Output 4 4 3" xfId="3581" xr:uid="{00000000-0005-0000-0000-00009A5D0000}"/>
    <cellStyle name="Output 4 4 3 2" xfId="7643" xr:uid="{00000000-0005-0000-0000-00009B5D0000}"/>
    <cellStyle name="Output 4 4 3 2 2" xfId="17267" xr:uid="{00000000-0005-0000-0000-00009C5D0000}"/>
    <cellStyle name="Output 4 4 3 2 2 2" xfId="32099" xr:uid="{00000000-0005-0000-0000-00009D5D0000}"/>
    <cellStyle name="Output 4 4 3 2 3" xfId="19089" xr:uid="{00000000-0005-0000-0000-00009E5D0000}"/>
    <cellStyle name="Output 4 4 3 3" xfId="13917" xr:uid="{00000000-0005-0000-0000-00009F5D0000}"/>
    <cellStyle name="Output 4 4 3 3 2" xfId="28749" xr:uid="{00000000-0005-0000-0000-0000A05D0000}"/>
    <cellStyle name="Output 4 4 3 4" xfId="10884" xr:uid="{00000000-0005-0000-0000-0000A15D0000}"/>
    <cellStyle name="Output 4 4 3 4 2" xfId="25716" xr:uid="{00000000-0005-0000-0000-0000A25D0000}"/>
    <cellStyle name="Output 4 4 4" xfId="4629" xr:uid="{00000000-0005-0000-0000-0000A35D0000}"/>
    <cellStyle name="Output 4 4 4 2" xfId="8668" xr:uid="{00000000-0005-0000-0000-0000A45D0000}"/>
    <cellStyle name="Output 4 4 4 2 2" xfId="17781" xr:uid="{00000000-0005-0000-0000-0000A55D0000}"/>
    <cellStyle name="Output 4 4 4 2 2 2" xfId="32613" xr:uid="{00000000-0005-0000-0000-0000A65D0000}"/>
    <cellStyle name="Output 4 4 4 2 3" xfId="19427" xr:uid="{00000000-0005-0000-0000-0000A75D0000}"/>
    <cellStyle name="Output 4 4 4 3" xfId="14955" xr:uid="{00000000-0005-0000-0000-0000A85D0000}"/>
    <cellStyle name="Output 4 4 4 3 2" xfId="29787" xr:uid="{00000000-0005-0000-0000-0000A95D0000}"/>
    <cellStyle name="Output 4 4 4 4" xfId="11386" xr:uid="{00000000-0005-0000-0000-0000AA5D0000}"/>
    <cellStyle name="Output 4 4 4 4 2" xfId="26218" xr:uid="{00000000-0005-0000-0000-0000AB5D0000}"/>
    <cellStyle name="Output 4 4 5" xfId="2619" xr:uid="{00000000-0005-0000-0000-0000AC5D0000}"/>
    <cellStyle name="Output 4 4 5 2" xfId="6720" xr:uid="{00000000-0005-0000-0000-0000AD5D0000}"/>
    <cellStyle name="Output 4 4 5 2 2" xfId="16677" xr:uid="{00000000-0005-0000-0000-0000AE5D0000}"/>
    <cellStyle name="Output 4 4 5 2 2 2" xfId="31509" xr:uid="{00000000-0005-0000-0000-0000AF5D0000}"/>
    <cellStyle name="Output 4 4 5 2 3" xfId="18716" xr:uid="{00000000-0005-0000-0000-0000B05D0000}"/>
    <cellStyle name="Output 4 4 5 3" xfId="12957" xr:uid="{00000000-0005-0000-0000-0000B15D0000}"/>
    <cellStyle name="Output 4 4 5 3 2" xfId="27789" xr:uid="{00000000-0005-0000-0000-0000B25D0000}"/>
    <cellStyle name="Output 4 4 5 4" xfId="10328" xr:uid="{00000000-0005-0000-0000-0000B35D0000}"/>
    <cellStyle name="Output 4 4 5 4 2" xfId="25160" xr:uid="{00000000-0005-0000-0000-0000B45D0000}"/>
    <cellStyle name="Output 4 4 6" xfId="5736" xr:uid="{00000000-0005-0000-0000-0000B55D0000}"/>
    <cellStyle name="Output 4 4 6 2" xfId="15971" xr:uid="{00000000-0005-0000-0000-0000B65D0000}"/>
    <cellStyle name="Output 4 4 6 2 2" xfId="30803" xr:uid="{00000000-0005-0000-0000-0000B75D0000}"/>
    <cellStyle name="Output 4 4 6 3" xfId="18357" xr:uid="{00000000-0005-0000-0000-0000B85D0000}"/>
    <cellStyle name="Output 4 4 7" xfId="11991" xr:uid="{00000000-0005-0000-0000-0000B95D0000}"/>
    <cellStyle name="Output 4 4 7 2" xfId="26823" xr:uid="{00000000-0005-0000-0000-0000BA5D0000}"/>
    <cellStyle name="Output 4 4 8" xfId="9650" xr:uid="{00000000-0005-0000-0000-0000BB5D0000}"/>
    <cellStyle name="Output 4 4 8 2" xfId="19951" xr:uid="{00000000-0005-0000-0000-0000BC5D0000}"/>
    <cellStyle name="Output 4 5" xfId="1634" xr:uid="{00000000-0005-0000-0000-0000BD5D0000}"/>
    <cellStyle name="Output 4 5 2" xfId="2131" xr:uid="{00000000-0005-0000-0000-0000BE5D0000}"/>
    <cellStyle name="Output 4 5 2 2" xfId="3911" xr:uid="{00000000-0005-0000-0000-0000BF5D0000}"/>
    <cellStyle name="Output 4 5 2 2 2" xfId="7962" xr:uid="{00000000-0005-0000-0000-0000C05D0000}"/>
    <cellStyle name="Output 4 5 2 2 2 2" xfId="17426" xr:uid="{00000000-0005-0000-0000-0000C15D0000}"/>
    <cellStyle name="Output 4 5 2 2 2 2 2" xfId="32258" xr:uid="{00000000-0005-0000-0000-0000C25D0000}"/>
    <cellStyle name="Output 4 5 2 2 2 3" xfId="19199" xr:uid="{00000000-0005-0000-0000-0000C35D0000}"/>
    <cellStyle name="Output 4 5 2 2 3" xfId="14244" xr:uid="{00000000-0005-0000-0000-0000C45D0000}"/>
    <cellStyle name="Output 4 5 2 2 3 2" xfId="29076" xr:uid="{00000000-0005-0000-0000-0000C55D0000}"/>
    <cellStyle name="Output 4 5 2 2 4" xfId="11042" xr:uid="{00000000-0005-0000-0000-0000C65D0000}"/>
    <cellStyle name="Output 4 5 2 2 4 2" xfId="25874" xr:uid="{00000000-0005-0000-0000-0000C75D0000}"/>
    <cellStyle name="Output 4 5 2 3" xfId="5099" xr:uid="{00000000-0005-0000-0000-0000C85D0000}"/>
    <cellStyle name="Output 4 5 2 3 2" xfId="9138" xr:uid="{00000000-0005-0000-0000-0000C95D0000}"/>
    <cellStyle name="Output 4 5 2 3 2 2" xfId="18066" xr:uid="{00000000-0005-0000-0000-0000CA5D0000}"/>
    <cellStyle name="Output 4 5 2 3 2 2 2" xfId="32898" xr:uid="{00000000-0005-0000-0000-0000CB5D0000}"/>
    <cellStyle name="Output 4 5 2 3 2 3" xfId="19619" xr:uid="{00000000-0005-0000-0000-0000CC5D0000}"/>
    <cellStyle name="Output 4 5 2 3 3" xfId="15419" xr:uid="{00000000-0005-0000-0000-0000CD5D0000}"/>
    <cellStyle name="Output 4 5 2 3 3 2" xfId="30251" xr:uid="{00000000-0005-0000-0000-0000CE5D0000}"/>
    <cellStyle name="Output 4 5 2 3 4" xfId="11665" xr:uid="{00000000-0005-0000-0000-0000CF5D0000}"/>
    <cellStyle name="Output 4 5 2 3 4 2" xfId="26497" xr:uid="{00000000-0005-0000-0000-0000D05D0000}"/>
    <cellStyle name="Output 4 5 2 4" xfId="3089" xr:uid="{00000000-0005-0000-0000-0000D15D0000}"/>
    <cellStyle name="Output 4 5 2 4 2" xfId="7159" xr:uid="{00000000-0005-0000-0000-0000D25D0000}"/>
    <cellStyle name="Output 4 5 2 4 2 2" xfId="16956" xr:uid="{00000000-0005-0000-0000-0000D35D0000}"/>
    <cellStyle name="Output 4 5 2 4 2 2 2" xfId="31788" xr:uid="{00000000-0005-0000-0000-0000D45D0000}"/>
    <cellStyle name="Output 4 5 2 4 2 3" xfId="18913" xr:uid="{00000000-0005-0000-0000-0000D55D0000}"/>
    <cellStyle name="Output 4 5 2 4 3" xfId="13427" xr:uid="{00000000-0005-0000-0000-0000D65D0000}"/>
    <cellStyle name="Output 4 5 2 4 3 2" xfId="28259" xr:uid="{00000000-0005-0000-0000-0000D75D0000}"/>
    <cellStyle name="Output 4 5 2 4 4" xfId="10613" xr:uid="{00000000-0005-0000-0000-0000D85D0000}"/>
    <cellStyle name="Output 4 5 2 4 4 2" xfId="25445" xr:uid="{00000000-0005-0000-0000-0000D95D0000}"/>
    <cellStyle name="Output 4 5 2 5" xfId="6251" xr:uid="{00000000-0005-0000-0000-0000DA5D0000}"/>
    <cellStyle name="Output 4 5 2 5 2" xfId="16436" xr:uid="{00000000-0005-0000-0000-0000DB5D0000}"/>
    <cellStyle name="Output 4 5 2 5 2 2" xfId="31268" xr:uid="{00000000-0005-0000-0000-0000DC5D0000}"/>
    <cellStyle name="Output 4 5 2 5 3" xfId="18554" xr:uid="{00000000-0005-0000-0000-0000DD5D0000}"/>
    <cellStyle name="Output 4 5 2 6" xfId="12506" xr:uid="{00000000-0005-0000-0000-0000DE5D0000}"/>
    <cellStyle name="Output 4 5 2 6 2" xfId="27338" xr:uid="{00000000-0005-0000-0000-0000DF5D0000}"/>
    <cellStyle name="Output 4 5 2 7" xfId="10088" xr:uid="{00000000-0005-0000-0000-0000E05D0000}"/>
    <cellStyle name="Output 4 5 2 7 2" xfId="24920" xr:uid="{00000000-0005-0000-0000-0000E15D0000}"/>
    <cellStyle name="Output 4 5 3" xfId="3933" xr:uid="{00000000-0005-0000-0000-0000E25D0000}"/>
    <cellStyle name="Output 4 5 3 2" xfId="7983" xr:uid="{00000000-0005-0000-0000-0000E35D0000}"/>
    <cellStyle name="Output 4 5 3 2 2" xfId="17438" xr:uid="{00000000-0005-0000-0000-0000E45D0000}"/>
    <cellStyle name="Output 4 5 3 2 2 2" xfId="32270" xr:uid="{00000000-0005-0000-0000-0000E55D0000}"/>
    <cellStyle name="Output 4 5 3 2 3" xfId="19207" xr:uid="{00000000-0005-0000-0000-0000E65D0000}"/>
    <cellStyle name="Output 4 5 3 3" xfId="14266" xr:uid="{00000000-0005-0000-0000-0000E75D0000}"/>
    <cellStyle name="Output 4 5 3 3 2" xfId="29098" xr:uid="{00000000-0005-0000-0000-0000E85D0000}"/>
    <cellStyle name="Output 4 5 3 4" xfId="11053" xr:uid="{00000000-0005-0000-0000-0000E95D0000}"/>
    <cellStyle name="Output 4 5 3 4 2" xfId="25885" xr:uid="{00000000-0005-0000-0000-0000EA5D0000}"/>
    <cellStyle name="Output 4 5 4" xfId="4679" xr:uid="{00000000-0005-0000-0000-0000EB5D0000}"/>
    <cellStyle name="Output 4 5 4 2" xfId="8718" xr:uid="{00000000-0005-0000-0000-0000EC5D0000}"/>
    <cellStyle name="Output 4 5 4 2 2" xfId="17826" xr:uid="{00000000-0005-0000-0000-0000ED5D0000}"/>
    <cellStyle name="Output 4 5 4 2 2 2" xfId="32658" xr:uid="{00000000-0005-0000-0000-0000EE5D0000}"/>
    <cellStyle name="Output 4 5 4 2 3" xfId="19459" xr:uid="{00000000-0005-0000-0000-0000EF5D0000}"/>
    <cellStyle name="Output 4 5 4 3" xfId="15004" xr:uid="{00000000-0005-0000-0000-0000F05D0000}"/>
    <cellStyle name="Output 4 5 4 3 2" xfId="29836" xr:uid="{00000000-0005-0000-0000-0000F15D0000}"/>
    <cellStyle name="Output 4 5 4 4" xfId="11430" xr:uid="{00000000-0005-0000-0000-0000F25D0000}"/>
    <cellStyle name="Output 4 5 4 4 2" xfId="26262" xr:uid="{00000000-0005-0000-0000-0000F35D0000}"/>
    <cellStyle name="Output 4 5 5" xfId="2669" xr:uid="{00000000-0005-0000-0000-0000F45D0000}"/>
    <cellStyle name="Output 4 5 5 2" xfId="6765" xr:uid="{00000000-0005-0000-0000-0000F55D0000}"/>
    <cellStyle name="Output 4 5 5 2 2" xfId="16721" xr:uid="{00000000-0005-0000-0000-0000F65D0000}"/>
    <cellStyle name="Output 4 5 5 2 2 2" xfId="31553" xr:uid="{00000000-0005-0000-0000-0000F75D0000}"/>
    <cellStyle name="Output 4 5 5 2 3" xfId="18749" xr:uid="{00000000-0005-0000-0000-0000F85D0000}"/>
    <cellStyle name="Output 4 5 5 3" xfId="13007" xr:uid="{00000000-0005-0000-0000-0000F95D0000}"/>
    <cellStyle name="Output 4 5 5 3 2" xfId="27839" xr:uid="{00000000-0005-0000-0000-0000FA5D0000}"/>
    <cellStyle name="Output 4 5 5 4" xfId="10373" xr:uid="{00000000-0005-0000-0000-0000FB5D0000}"/>
    <cellStyle name="Output 4 5 5 4 2" xfId="25205" xr:uid="{00000000-0005-0000-0000-0000FC5D0000}"/>
    <cellStyle name="Output 4 5 6" xfId="5781" xr:uid="{00000000-0005-0000-0000-0000FD5D0000}"/>
    <cellStyle name="Output 4 5 6 2" xfId="16015" xr:uid="{00000000-0005-0000-0000-0000FE5D0000}"/>
    <cellStyle name="Output 4 5 6 2 2" xfId="30847" xr:uid="{00000000-0005-0000-0000-0000FF5D0000}"/>
    <cellStyle name="Output 4 5 6 3" xfId="18390" xr:uid="{00000000-0005-0000-0000-0000005E0000}"/>
    <cellStyle name="Output 4 5 7" xfId="12035" xr:uid="{00000000-0005-0000-0000-0000015E0000}"/>
    <cellStyle name="Output 4 5 7 2" xfId="26867" xr:uid="{00000000-0005-0000-0000-0000025E0000}"/>
    <cellStyle name="Output 4 5 8" xfId="9695" xr:uid="{00000000-0005-0000-0000-0000035E0000}"/>
    <cellStyle name="Output 4 5 8 2" xfId="19995" xr:uid="{00000000-0005-0000-0000-0000045E0000}"/>
    <cellStyle name="Output 4 6" xfId="1785" xr:uid="{00000000-0005-0000-0000-0000055E0000}"/>
    <cellStyle name="Output 4 6 2" xfId="3512" xr:uid="{00000000-0005-0000-0000-0000065E0000}"/>
    <cellStyle name="Output 4 6 2 2" xfId="7574" xr:uid="{00000000-0005-0000-0000-0000075E0000}"/>
    <cellStyle name="Output 4 6 2 2 2" xfId="17229" xr:uid="{00000000-0005-0000-0000-0000085E0000}"/>
    <cellStyle name="Output 4 6 2 2 2 2" xfId="32061" xr:uid="{00000000-0005-0000-0000-0000095E0000}"/>
    <cellStyle name="Output 4 6 2 2 3" xfId="19059" xr:uid="{00000000-0005-0000-0000-00000A5E0000}"/>
    <cellStyle name="Output 4 6 2 3" xfId="13849" xr:uid="{00000000-0005-0000-0000-00000B5E0000}"/>
    <cellStyle name="Output 4 6 2 3 2" xfId="28681" xr:uid="{00000000-0005-0000-0000-00000C5E0000}"/>
    <cellStyle name="Output 4 6 2 4" xfId="10847" xr:uid="{00000000-0005-0000-0000-00000D5E0000}"/>
    <cellStyle name="Output 4 6 2 4 2" xfId="25679" xr:uid="{00000000-0005-0000-0000-00000E5E0000}"/>
    <cellStyle name="Output 4 6 3" xfId="4763" xr:uid="{00000000-0005-0000-0000-00000F5E0000}"/>
    <cellStyle name="Output 4 6 3 2" xfId="8802" xr:uid="{00000000-0005-0000-0000-0000105E0000}"/>
    <cellStyle name="Output 4 6 3 2 2" xfId="17874" xr:uid="{00000000-0005-0000-0000-0000115E0000}"/>
    <cellStyle name="Output 4 6 3 2 2 2" xfId="32706" xr:uid="{00000000-0005-0000-0000-0000125E0000}"/>
    <cellStyle name="Output 4 6 3 2 3" xfId="19491" xr:uid="{00000000-0005-0000-0000-0000135E0000}"/>
    <cellStyle name="Output 4 6 3 3" xfId="15087" xr:uid="{00000000-0005-0000-0000-0000145E0000}"/>
    <cellStyle name="Output 4 6 3 3 2" xfId="29919" xr:uid="{00000000-0005-0000-0000-0000155E0000}"/>
    <cellStyle name="Output 4 6 3 4" xfId="11477" xr:uid="{00000000-0005-0000-0000-0000165E0000}"/>
    <cellStyle name="Output 4 6 3 4 2" xfId="26309" xr:uid="{00000000-0005-0000-0000-0000175E0000}"/>
    <cellStyle name="Output 4 6 4" xfId="2753" xr:uid="{00000000-0005-0000-0000-0000185E0000}"/>
    <cellStyle name="Output 4 6 4 2" xfId="6844" xr:uid="{00000000-0005-0000-0000-0000195E0000}"/>
    <cellStyle name="Output 4 6 4 2 2" xfId="16768" xr:uid="{00000000-0005-0000-0000-00001A5E0000}"/>
    <cellStyle name="Output 4 6 4 2 2 2" xfId="31600" xr:uid="{00000000-0005-0000-0000-00001B5E0000}"/>
    <cellStyle name="Output 4 6 4 2 3" xfId="18782" xr:uid="{00000000-0005-0000-0000-00001C5E0000}"/>
    <cellStyle name="Output 4 6 4 3" xfId="13091" xr:uid="{00000000-0005-0000-0000-00001D5E0000}"/>
    <cellStyle name="Output 4 6 4 3 2" xfId="27923" xr:uid="{00000000-0005-0000-0000-00001E5E0000}"/>
    <cellStyle name="Output 4 6 4 4" xfId="10421" xr:uid="{00000000-0005-0000-0000-00001F5E0000}"/>
    <cellStyle name="Output 4 6 4 4 2" xfId="25253" xr:uid="{00000000-0005-0000-0000-0000205E0000}"/>
    <cellStyle name="Output 4 6 5" xfId="5917" xr:uid="{00000000-0005-0000-0000-0000215E0000}"/>
    <cellStyle name="Output 4 6 5 2" xfId="16109" xr:uid="{00000000-0005-0000-0000-0000225E0000}"/>
    <cellStyle name="Output 4 6 5 2 2" xfId="30941" xr:uid="{00000000-0005-0000-0000-0000235E0000}"/>
    <cellStyle name="Output 4 6 5 3" xfId="18424" xr:uid="{00000000-0005-0000-0000-0000245E0000}"/>
    <cellStyle name="Output 4 6 6" xfId="12179" xr:uid="{00000000-0005-0000-0000-0000255E0000}"/>
    <cellStyle name="Output 4 6 6 2" xfId="27011" xr:uid="{00000000-0005-0000-0000-0000265E0000}"/>
    <cellStyle name="Output 4 6 7" xfId="9775" xr:uid="{00000000-0005-0000-0000-0000275E0000}"/>
    <cellStyle name="Output 4 6 7 2" xfId="24732" xr:uid="{00000000-0005-0000-0000-0000285E0000}"/>
    <cellStyle name="Output 4 7" xfId="2181" xr:uid="{00000000-0005-0000-0000-0000295E0000}"/>
    <cellStyle name="Output 4 7 2" xfId="3497" xr:uid="{00000000-0005-0000-0000-00002A5E0000}"/>
    <cellStyle name="Output 4 7 2 2" xfId="7559" xr:uid="{00000000-0005-0000-0000-00002B5E0000}"/>
    <cellStyle name="Output 4 7 2 2 2" xfId="17220" xr:uid="{00000000-0005-0000-0000-00002C5E0000}"/>
    <cellStyle name="Output 4 7 2 2 2 2" xfId="32052" xr:uid="{00000000-0005-0000-0000-00002D5E0000}"/>
    <cellStyle name="Output 4 7 2 2 3" xfId="19056" xr:uid="{00000000-0005-0000-0000-00002E5E0000}"/>
    <cellStyle name="Output 4 7 2 3" xfId="13834" xr:uid="{00000000-0005-0000-0000-00002F5E0000}"/>
    <cellStyle name="Output 4 7 2 3 2" xfId="28666" xr:uid="{00000000-0005-0000-0000-0000305E0000}"/>
    <cellStyle name="Output 4 7 2 4" xfId="10838" xr:uid="{00000000-0005-0000-0000-0000315E0000}"/>
    <cellStyle name="Output 4 7 2 4 2" xfId="25670" xr:uid="{00000000-0005-0000-0000-0000325E0000}"/>
    <cellStyle name="Output 4 7 3" xfId="5149" xr:uid="{00000000-0005-0000-0000-0000335E0000}"/>
    <cellStyle name="Output 4 7 3 2" xfId="9188" xr:uid="{00000000-0005-0000-0000-0000345E0000}"/>
    <cellStyle name="Output 4 7 3 2 2" xfId="18111" xr:uid="{00000000-0005-0000-0000-0000355E0000}"/>
    <cellStyle name="Output 4 7 3 2 2 2" xfId="32943" xr:uid="{00000000-0005-0000-0000-0000365E0000}"/>
    <cellStyle name="Output 4 7 3 2 3" xfId="19662" xr:uid="{00000000-0005-0000-0000-0000375E0000}"/>
    <cellStyle name="Output 4 7 3 3" xfId="15467" xr:uid="{00000000-0005-0000-0000-0000385E0000}"/>
    <cellStyle name="Output 4 7 3 3 2" xfId="30299" xr:uid="{00000000-0005-0000-0000-0000395E0000}"/>
    <cellStyle name="Output 4 7 3 4" xfId="11708" xr:uid="{00000000-0005-0000-0000-00003A5E0000}"/>
    <cellStyle name="Output 4 7 3 4 2" xfId="26540" xr:uid="{00000000-0005-0000-0000-00003B5E0000}"/>
    <cellStyle name="Output 4 7 4" xfId="4179" xr:uid="{00000000-0005-0000-0000-00003C5E0000}"/>
    <cellStyle name="Output 4 7 4 2" xfId="8220" xr:uid="{00000000-0005-0000-0000-00003D5E0000}"/>
    <cellStyle name="Output 4 7 4 2 2" xfId="17567" xr:uid="{00000000-0005-0000-0000-00003E5E0000}"/>
    <cellStyle name="Output 4 7 4 2 2 2" xfId="32399" xr:uid="{00000000-0005-0000-0000-00003F5E0000}"/>
    <cellStyle name="Output 4 7 4 2 3" xfId="19305" xr:uid="{00000000-0005-0000-0000-0000405E0000}"/>
    <cellStyle name="Output 4 7 4 3" xfId="14511" xr:uid="{00000000-0005-0000-0000-0000415E0000}"/>
    <cellStyle name="Output 4 7 4 3 2" xfId="29343" xr:uid="{00000000-0005-0000-0000-0000425E0000}"/>
    <cellStyle name="Output 4 7 4 4" xfId="11187" xr:uid="{00000000-0005-0000-0000-0000435E0000}"/>
    <cellStyle name="Output 4 7 4 4 2" xfId="26019" xr:uid="{00000000-0005-0000-0000-0000445E0000}"/>
    <cellStyle name="Output 4 7 5" xfId="6295" xr:uid="{00000000-0005-0000-0000-0000455E0000}"/>
    <cellStyle name="Output 4 7 5 2" xfId="16479" xr:uid="{00000000-0005-0000-0000-0000465E0000}"/>
    <cellStyle name="Output 4 7 5 2 2" xfId="31311" xr:uid="{00000000-0005-0000-0000-0000475E0000}"/>
    <cellStyle name="Output 4 7 5 3" xfId="18598" xr:uid="{00000000-0005-0000-0000-0000485E0000}"/>
    <cellStyle name="Output 4 7 6" xfId="12549" xr:uid="{00000000-0005-0000-0000-0000495E0000}"/>
    <cellStyle name="Output 4 7 6 2" xfId="27381" xr:uid="{00000000-0005-0000-0000-00004A5E0000}"/>
    <cellStyle name="Output 4 7 7" xfId="10131" xr:uid="{00000000-0005-0000-0000-00004B5E0000}"/>
    <cellStyle name="Output 4 7 7 2" xfId="24963" xr:uid="{00000000-0005-0000-0000-00004C5E0000}"/>
    <cellStyle name="Output 4 8" xfId="3946" xr:uid="{00000000-0005-0000-0000-00004D5E0000}"/>
    <cellStyle name="Output 4 8 2" xfId="7996" xr:uid="{00000000-0005-0000-0000-00004E5E0000}"/>
    <cellStyle name="Output 4 8 2 2" xfId="17443" xr:uid="{00000000-0005-0000-0000-00004F5E0000}"/>
    <cellStyle name="Output 4 8 2 2 2" xfId="32275" xr:uid="{00000000-0005-0000-0000-0000505E0000}"/>
    <cellStyle name="Output 4 8 2 3" xfId="19210" xr:uid="{00000000-0005-0000-0000-0000515E0000}"/>
    <cellStyle name="Output 4 8 3" xfId="14279" xr:uid="{00000000-0005-0000-0000-0000525E0000}"/>
    <cellStyle name="Output 4 8 3 2" xfId="29111" xr:uid="{00000000-0005-0000-0000-0000535E0000}"/>
    <cellStyle name="Output 4 8 4" xfId="11058" xr:uid="{00000000-0005-0000-0000-0000545E0000}"/>
    <cellStyle name="Output 4 8 4 2" xfId="25890" xr:uid="{00000000-0005-0000-0000-0000555E0000}"/>
    <cellStyle name="Output 4 9" xfId="3336" xr:uid="{00000000-0005-0000-0000-0000565E0000}"/>
    <cellStyle name="Output 4 9 2" xfId="7399" xr:uid="{00000000-0005-0000-0000-0000575E0000}"/>
    <cellStyle name="Output 4 9 2 2" xfId="17132" xr:uid="{00000000-0005-0000-0000-0000585E0000}"/>
    <cellStyle name="Output 4 9 2 2 2" xfId="31964" xr:uid="{00000000-0005-0000-0000-0000595E0000}"/>
    <cellStyle name="Output 4 9 2 3" xfId="19005" xr:uid="{00000000-0005-0000-0000-00005A5E0000}"/>
    <cellStyle name="Output 4 9 3" xfId="13673" xr:uid="{00000000-0005-0000-0000-00005B5E0000}"/>
    <cellStyle name="Output 4 9 3 2" xfId="28505" xr:uid="{00000000-0005-0000-0000-00005C5E0000}"/>
    <cellStyle name="Output 4 9 4" xfId="10753" xr:uid="{00000000-0005-0000-0000-00005D5E0000}"/>
    <cellStyle name="Output 4 9 4 2" xfId="25585" xr:uid="{00000000-0005-0000-0000-00005E5E0000}"/>
    <cellStyle name="Output 5" xfId="1241" xr:uid="{00000000-0005-0000-0000-00005F5E0000}"/>
    <cellStyle name="Output 5 10" xfId="2327" xr:uid="{00000000-0005-0000-0000-0000605E0000}"/>
    <cellStyle name="Output 5 10 2" xfId="6439" xr:uid="{00000000-0005-0000-0000-0000615E0000}"/>
    <cellStyle name="Output 5 10 2 2" xfId="16532" xr:uid="{00000000-0005-0000-0000-0000625E0000}"/>
    <cellStyle name="Output 5 10 2 2 2" xfId="31364" xr:uid="{00000000-0005-0000-0000-0000635E0000}"/>
    <cellStyle name="Output 5 10 2 3" xfId="18620" xr:uid="{00000000-0005-0000-0000-0000645E0000}"/>
    <cellStyle name="Output 5 10 3" xfId="12667" xr:uid="{00000000-0005-0000-0000-0000655E0000}"/>
    <cellStyle name="Output 5 10 3 2" xfId="27499" xr:uid="{00000000-0005-0000-0000-0000665E0000}"/>
    <cellStyle name="Output 5 10 4" xfId="10183" xr:uid="{00000000-0005-0000-0000-0000675E0000}"/>
    <cellStyle name="Output 5 10 4 2" xfId="25015" xr:uid="{00000000-0005-0000-0000-0000685E0000}"/>
    <cellStyle name="Output 5 11" xfId="5290" xr:uid="{00000000-0005-0000-0000-0000695E0000}"/>
    <cellStyle name="Output 5 11 2" xfId="9298" xr:uid="{00000000-0005-0000-0000-00006A5E0000}"/>
    <cellStyle name="Output 5 11 2 2" xfId="18165" xr:uid="{00000000-0005-0000-0000-00006B5E0000}"/>
    <cellStyle name="Output 5 11 2 2 2" xfId="32997" xr:uid="{00000000-0005-0000-0000-00006C5E0000}"/>
    <cellStyle name="Output 5 11 2 3" xfId="19684" xr:uid="{00000000-0005-0000-0000-00006D5E0000}"/>
    <cellStyle name="Output 5 11 3" xfId="15606" xr:uid="{00000000-0005-0000-0000-00006E5E0000}"/>
    <cellStyle name="Output 5 11 3 2" xfId="30438" xr:uid="{00000000-0005-0000-0000-00006F5E0000}"/>
    <cellStyle name="Output 5 12" xfId="5448" xr:uid="{00000000-0005-0000-0000-0000705E0000}"/>
    <cellStyle name="Output 5 12 2" xfId="15684" xr:uid="{00000000-0005-0000-0000-0000715E0000}"/>
    <cellStyle name="Output 5 12 2 2" xfId="30516" xr:uid="{00000000-0005-0000-0000-0000725E0000}"/>
    <cellStyle name="Output 5 12 3" xfId="18261" xr:uid="{00000000-0005-0000-0000-0000735E0000}"/>
    <cellStyle name="Output 5 13" xfId="9343" xr:uid="{00000000-0005-0000-0000-0000745E0000}"/>
    <cellStyle name="Output 5 13 2" xfId="24649" xr:uid="{00000000-0005-0000-0000-0000755E0000}"/>
    <cellStyle name="Output 5 14" xfId="5332" xr:uid="{00000000-0005-0000-0000-0000765E0000}"/>
    <cellStyle name="Output 5 14 2" xfId="18206" xr:uid="{00000000-0005-0000-0000-0000775E0000}"/>
    <cellStyle name="Output 5 2" xfId="1360" xr:uid="{00000000-0005-0000-0000-0000785E0000}"/>
    <cellStyle name="Output 5 2 2" xfId="1864" xr:uid="{00000000-0005-0000-0000-0000795E0000}"/>
    <cellStyle name="Output 5 2 2 2" xfId="3381" xr:uid="{00000000-0005-0000-0000-00007A5E0000}"/>
    <cellStyle name="Output 5 2 2 2 2" xfId="7444" xr:uid="{00000000-0005-0000-0000-00007B5E0000}"/>
    <cellStyle name="Output 5 2 2 2 2 2" xfId="17151" xr:uid="{00000000-0005-0000-0000-00007C5E0000}"/>
    <cellStyle name="Output 5 2 2 2 2 2 2" xfId="31983" xr:uid="{00000000-0005-0000-0000-00007D5E0000}"/>
    <cellStyle name="Output 5 2 2 2 2 3" xfId="19017" xr:uid="{00000000-0005-0000-0000-00007E5E0000}"/>
    <cellStyle name="Output 5 2 2 2 3" xfId="13718" xr:uid="{00000000-0005-0000-0000-00007F5E0000}"/>
    <cellStyle name="Output 5 2 2 2 3 2" xfId="28550" xr:uid="{00000000-0005-0000-0000-0000805E0000}"/>
    <cellStyle name="Output 5 2 2 2 4" xfId="10770" xr:uid="{00000000-0005-0000-0000-0000815E0000}"/>
    <cellStyle name="Output 5 2 2 2 4 2" xfId="25602" xr:uid="{00000000-0005-0000-0000-0000825E0000}"/>
    <cellStyle name="Output 5 2 2 3" xfId="4842" xr:uid="{00000000-0005-0000-0000-0000835E0000}"/>
    <cellStyle name="Output 5 2 2 3 2" xfId="8881" xr:uid="{00000000-0005-0000-0000-0000845E0000}"/>
    <cellStyle name="Output 5 2 2 3 2 2" xfId="17922" xr:uid="{00000000-0005-0000-0000-0000855E0000}"/>
    <cellStyle name="Output 5 2 2 3 2 2 2" xfId="32754" xr:uid="{00000000-0005-0000-0000-0000865E0000}"/>
    <cellStyle name="Output 5 2 2 3 2 3" xfId="19524" xr:uid="{00000000-0005-0000-0000-0000875E0000}"/>
    <cellStyle name="Output 5 2 2 3 3" xfId="15166" xr:uid="{00000000-0005-0000-0000-0000885E0000}"/>
    <cellStyle name="Output 5 2 2 3 3 2" xfId="29998" xr:uid="{00000000-0005-0000-0000-0000895E0000}"/>
    <cellStyle name="Output 5 2 2 3 4" xfId="11525" xr:uid="{00000000-0005-0000-0000-00008A5E0000}"/>
    <cellStyle name="Output 5 2 2 3 4 2" xfId="26357" xr:uid="{00000000-0005-0000-0000-00008B5E0000}"/>
    <cellStyle name="Output 5 2 2 4" xfId="2832" xr:uid="{00000000-0005-0000-0000-00008C5E0000}"/>
    <cellStyle name="Output 5 2 2 4 2" xfId="6923" xr:uid="{00000000-0005-0000-0000-00008D5E0000}"/>
    <cellStyle name="Output 5 2 2 4 2 2" xfId="16816" xr:uid="{00000000-0005-0000-0000-00008E5E0000}"/>
    <cellStyle name="Output 5 2 2 4 2 2 2" xfId="31648" xr:uid="{00000000-0005-0000-0000-00008F5E0000}"/>
    <cellStyle name="Output 5 2 2 4 2 3" xfId="18815" xr:uid="{00000000-0005-0000-0000-0000905E0000}"/>
    <cellStyle name="Output 5 2 2 4 3" xfId="13170" xr:uid="{00000000-0005-0000-0000-0000915E0000}"/>
    <cellStyle name="Output 5 2 2 4 3 2" xfId="28002" xr:uid="{00000000-0005-0000-0000-0000925E0000}"/>
    <cellStyle name="Output 5 2 2 4 4" xfId="10469" xr:uid="{00000000-0005-0000-0000-0000935E0000}"/>
    <cellStyle name="Output 5 2 2 4 4 2" xfId="25301" xr:uid="{00000000-0005-0000-0000-0000945E0000}"/>
    <cellStyle name="Output 5 2 2 5" xfId="5996" xr:uid="{00000000-0005-0000-0000-0000955E0000}"/>
    <cellStyle name="Output 5 2 2 5 2" xfId="16188" xr:uid="{00000000-0005-0000-0000-0000965E0000}"/>
    <cellStyle name="Output 5 2 2 5 2 2" xfId="31020" xr:uid="{00000000-0005-0000-0000-0000975E0000}"/>
    <cellStyle name="Output 5 2 2 5 3" xfId="18457" xr:uid="{00000000-0005-0000-0000-0000985E0000}"/>
    <cellStyle name="Output 5 2 2 6" xfId="12258" xr:uid="{00000000-0005-0000-0000-0000995E0000}"/>
    <cellStyle name="Output 5 2 2 6 2" xfId="27090" xr:uid="{00000000-0005-0000-0000-00009A5E0000}"/>
    <cellStyle name="Output 5 2 2 7" xfId="9854" xr:uid="{00000000-0005-0000-0000-00009B5E0000}"/>
    <cellStyle name="Output 5 2 2 7 2" xfId="24780" xr:uid="{00000000-0005-0000-0000-00009C5E0000}"/>
    <cellStyle name="Output 5 2 3" xfId="3301" xr:uid="{00000000-0005-0000-0000-00009D5E0000}"/>
    <cellStyle name="Output 5 2 3 2" xfId="7365" xr:uid="{00000000-0005-0000-0000-00009E5E0000}"/>
    <cellStyle name="Output 5 2 3 2 2" xfId="17104" xr:uid="{00000000-0005-0000-0000-00009F5E0000}"/>
    <cellStyle name="Output 5 2 3 2 2 2" xfId="31936" xr:uid="{00000000-0005-0000-0000-0000A05E0000}"/>
    <cellStyle name="Output 5 2 3 2 3" xfId="18988" xr:uid="{00000000-0005-0000-0000-0000A15E0000}"/>
    <cellStyle name="Output 5 2 3 3" xfId="13638" xr:uid="{00000000-0005-0000-0000-0000A25E0000}"/>
    <cellStyle name="Output 5 2 3 3 2" xfId="28470" xr:uid="{00000000-0005-0000-0000-0000A35E0000}"/>
    <cellStyle name="Output 5 2 3 4" xfId="10728" xr:uid="{00000000-0005-0000-0000-0000A45E0000}"/>
    <cellStyle name="Output 5 2 3 4 2" xfId="25560" xr:uid="{00000000-0005-0000-0000-0000A55E0000}"/>
    <cellStyle name="Output 5 2 4" xfId="4422" xr:uid="{00000000-0005-0000-0000-0000A65E0000}"/>
    <cellStyle name="Output 5 2 4 2" xfId="8461" xr:uid="{00000000-0005-0000-0000-0000A75E0000}"/>
    <cellStyle name="Output 5 2 4 2 2" xfId="17682" xr:uid="{00000000-0005-0000-0000-0000A85E0000}"/>
    <cellStyle name="Output 5 2 4 2 2 2" xfId="32514" xr:uid="{00000000-0005-0000-0000-0000A95E0000}"/>
    <cellStyle name="Output 5 2 4 2 3" xfId="19364" xr:uid="{00000000-0005-0000-0000-0000AA5E0000}"/>
    <cellStyle name="Output 5 2 4 3" xfId="14751" xr:uid="{00000000-0005-0000-0000-0000AB5E0000}"/>
    <cellStyle name="Output 5 2 4 3 2" xfId="29583" xr:uid="{00000000-0005-0000-0000-0000AC5E0000}"/>
    <cellStyle name="Output 5 2 4 4" xfId="11290" xr:uid="{00000000-0005-0000-0000-0000AD5E0000}"/>
    <cellStyle name="Output 5 2 4 4 2" xfId="26122" xr:uid="{00000000-0005-0000-0000-0000AE5E0000}"/>
    <cellStyle name="Output 5 2 5" xfId="2412" xr:uid="{00000000-0005-0000-0000-0000AF5E0000}"/>
    <cellStyle name="Output 5 2 5 2" xfId="6524" xr:uid="{00000000-0005-0000-0000-0000B05E0000}"/>
    <cellStyle name="Output 5 2 5 2 2" xfId="16580" xr:uid="{00000000-0005-0000-0000-0000B15E0000}"/>
    <cellStyle name="Output 5 2 5 2 2 2" xfId="31412" xr:uid="{00000000-0005-0000-0000-0000B25E0000}"/>
    <cellStyle name="Output 5 2 5 2 3" xfId="18652" xr:uid="{00000000-0005-0000-0000-0000B35E0000}"/>
    <cellStyle name="Output 5 2 5 3" xfId="12751" xr:uid="{00000000-0005-0000-0000-0000B45E0000}"/>
    <cellStyle name="Output 5 2 5 3 2" xfId="27583" xr:uid="{00000000-0005-0000-0000-0000B55E0000}"/>
    <cellStyle name="Output 5 2 5 4" xfId="10230" xr:uid="{00000000-0005-0000-0000-0000B65E0000}"/>
    <cellStyle name="Output 5 2 5 4 2" xfId="25062" xr:uid="{00000000-0005-0000-0000-0000B75E0000}"/>
    <cellStyle name="Output 5 2 6" xfId="5537" xr:uid="{00000000-0005-0000-0000-0000B85E0000}"/>
    <cellStyle name="Output 5 2 6 2" xfId="15772" xr:uid="{00000000-0005-0000-0000-0000B95E0000}"/>
    <cellStyle name="Output 5 2 6 2 2" xfId="30604" xr:uid="{00000000-0005-0000-0000-0000BA5E0000}"/>
    <cellStyle name="Output 5 2 6 3" xfId="18294" xr:uid="{00000000-0005-0000-0000-0000BB5E0000}"/>
    <cellStyle name="Output 5 2 7" xfId="11787" xr:uid="{00000000-0005-0000-0000-0000BC5E0000}"/>
    <cellStyle name="Output 5 2 7 2" xfId="26619" xr:uid="{00000000-0005-0000-0000-0000BD5E0000}"/>
    <cellStyle name="Output 5 2 8" xfId="9458" xr:uid="{00000000-0005-0000-0000-0000BE5E0000}"/>
    <cellStyle name="Output 5 2 8 2" xfId="19762" xr:uid="{00000000-0005-0000-0000-0000BF5E0000}"/>
    <cellStyle name="Output 5 3" xfId="1530" xr:uid="{00000000-0005-0000-0000-0000C05E0000}"/>
    <cellStyle name="Output 5 3 2" xfId="2027" xr:uid="{00000000-0005-0000-0000-0000C15E0000}"/>
    <cellStyle name="Output 5 3 2 2" xfId="3529" xr:uid="{00000000-0005-0000-0000-0000C25E0000}"/>
    <cellStyle name="Output 5 3 2 2 2" xfId="7591" xr:uid="{00000000-0005-0000-0000-0000C35E0000}"/>
    <cellStyle name="Output 5 3 2 2 2 2" xfId="17236" xr:uid="{00000000-0005-0000-0000-0000C45E0000}"/>
    <cellStyle name="Output 5 3 2 2 2 2 2" xfId="32068" xr:uid="{00000000-0005-0000-0000-0000C55E0000}"/>
    <cellStyle name="Output 5 3 2 2 2 3" xfId="19064" xr:uid="{00000000-0005-0000-0000-0000C65E0000}"/>
    <cellStyle name="Output 5 3 2 2 3" xfId="13866" xr:uid="{00000000-0005-0000-0000-0000C75E0000}"/>
    <cellStyle name="Output 5 3 2 2 3 2" xfId="28698" xr:uid="{00000000-0005-0000-0000-0000C85E0000}"/>
    <cellStyle name="Output 5 3 2 2 4" xfId="10854" xr:uid="{00000000-0005-0000-0000-0000C95E0000}"/>
    <cellStyle name="Output 5 3 2 2 4 2" xfId="25686" xr:uid="{00000000-0005-0000-0000-0000CA5E0000}"/>
    <cellStyle name="Output 5 3 2 3" xfId="4995" xr:uid="{00000000-0005-0000-0000-0000CB5E0000}"/>
    <cellStyle name="Output 5 3 2 3 2" xfId="9034" xr:uid="{00000000-0005-0000-0000-0000CC5E0000}"/>
    <cellStyle name="Output 5 3 2 3 2 2" xfId="17972" xr:uid="{00000000-0005-0000-0000-0000CD5E0000}"/>
    <cellStyle name="Output 5 3 2 3 2 2 2" xfId="32804" xr:uid="{00000000-0005-0000-0000-0000CE5E0000}"/>
    <cellStyle name="Output 5 3 2 3 2 3" xfId="19556" xr:uid="{00000000-0005-0000-0000-0000CF5E0000}"/>
    <cellStyle name="Output 5 3 2 3 3" xfId="15317" xr:uid="{00000000-0005-0000-0000-0000D05E0000}"/>
    <cellStyle name="Output 5 3 2 3 3 2" xfId="30149" xr:uid="{00000000-0005-0000-0000-0000D15E0000}"/>
    <cellStyle name="Output 5 3 2 3 4" xfId="11573" xr:uid="{00000000-0005-0000-0000-0000D25E0000}"/>
    <cellStyle name="Output 5 3 2 3 4 2" xfId="26405" xr:uid="{00000000-0005-0000-0000-0000D35E0000}"/>
    <cellStyle name="Output 5 3 2 4" xfId="2985" xr:uid="{00000000-0005-0000-0000-0000D45E0000}"/>
    <cellStyle name="Output 5 3 2 4 2" xfId="7065" xr:uid="{00000000-0005-0000-0000-0000D55E0000}"/>
    <cellStyle name="Output 5 3 2 4 2 2" xfId="16864" xr:uid="{00000000-0005-0000-0000-0000D65E0000}"/>
    <cellStyle name="Output 5 3 2 4 2 2 2" xfId="31696" xr:uid="{00000000-0005-0000-0000-0000D75E0000}"/>
    <cellStyle name="Output 5 3 2 4 2 3" xfId="18848" xr:uid="{00000000-0005-0000-0000-0000D85E0000}"/>
    <cellStyle name="Output 5 3 2 4 3" xfId="13323" xr:uid="{00000000-0005-0000-0000-0000D95E0000}"/>
    <cellStyle name="Output 5 3 2 4 3 2" xfId="28155" xr:uid="{00000000-0005-0000-0000-0000DA5E0000}"/>
    <cellStyle name="Output 5 3 2 4 4" xfId="10519" xr:uid="{00000000-0005-0000-0000-0000DB5E0000}"/>
    <cellStyle name="Output 5 3 2 4 4 2" xfId="25351" xr:uid="{00000000-0005-0000-0000-0000DC5E0000}"/>
    <cellStyle name="Output 5 3 2 5" xfId="6157" xr:uid="{00000000-0005-0000-0000-0000DD5E0000}"/>
    <cellStyle name="Output 5 3 2 5 2" xfId="16344" xr:uid="{00000000-0005-0000-0000-0000DE5E0000}"/>
    <cellStyle name="Output 5 3 2 5 2 2" xfId="31176" xr:uid="{00000000-0005-0000-0000-0000DF5E0000}"/>
    <cellStyle name="Output 5 3 2 5 3" xfId="18489" xr:uid="{00000000-0005-0000-0000-0000E05E0000}"/>
    <cellStyle name="Output 5 3 2 6" xfId="12414" xr:uid="{00000000-0005-0000-0000-0000E15E0000}"/>
    <cellStyle name="Output 5 3 2 6 2" xfId="27246" xr:uid="{00000000-0005-0000-0000-0000E25E0000}"/>
    <cellStyle name="Output 5 3 2 7" xfId="9996" xr:uid="{00000000-0005-0000-0000-0000E35E0000}"/>
    <cellStyle name="Output 5 3 2 7 2" xfId="24828" xr:uid="{00000000-0005-0000-0000-0000E45E0000}"/>
    <cellStyle name="Output 5 3 3" xfId="3282" xr:uid="{00000000-0005-0000-0000-0000E55E0000}"/>
    <cellStyle name="Output 5 3 3 2" xfId="7346" xr:uid="{00000000-0005-0000-0000-0000E65E0000}"/>
    <cellStyle name="Output 5 3 3 2 2" xfId="17089" xr:uid="{00000000-0005-0000-0000-0000E75E0000}"/>
    <cellStyle name="Output 5 3 3 2 2 2" xfId="31921" xr:uid="{00000000-0005-0000-0000-0000E85E0000}"/>
    <cellStyle name="Output 5 3 3 2 3" xfId="18982" xr:uid="{00000000-0005-0000-0000-0000E95E0000}"/>
    <cellStyle name="Output 5 3 3 3" xfId="13619" xr:uid="{00000000-0005-0000-0000-0000EA5E0000}"/>
    <cellStyle name="Output 5 3 3 3 2" xfId="28451" xr:uid="{00000000-0005-0000-0000-0000EB5E0000}"/>
    <cellStyle name="Output 5 3 3 4" xfId="10716" xr:uid="{00000000-0005-0000-0000-0000EC5E0000}"/>
    <cellStyle name="Output 5 3 3 4 2" xfId="25548" xr:uid="{00000000-0005-0000-0000-0000ED5E0000}"/>
    <cellStyle name="Output 5 3 4" xfId="4575" xr:uid="{00000000-0005-0000-0000-0000EE5E0000}"/>
    <cellStyle name="Output 5 3 4 2" xfId="8614" xr:uid="{00000000-0005-0000-0000-0000EF5E0000}"/>
    <cellStyle name="Output 5 3 4 2 2" xfId="17732" xr:uid="{00000000-0005-0000-0000-0000F05E0000}"/>
    <cellStyle name="Output 5 3 4 2 2 2" xfId="32564" xr:uid="{00000000-0005-0000-0000-0000F15E0000}"/>
    <cellStyle name="Output 5 3 4 2 3" xfId="19396" xr:uid="{00000000-0005-0000-0000-0000F25E0000}"/>
    <cellStyle name="Output 5 3 4 3" xfId="14902" xr:uid="{00000000-0005-0000-0000-0000F35E0000}"/>
    <cellStyle name="Output 5 3 4 3 2" xfId="29734" xr:uid="{00000000-0005-0000-0000-0000F45E0000}"/>
    <cellStyle name="Output 5 3 4 4" xfId="11338" xr:uid="{00000000-0005-0000-0000-0000F55E0000}"/>
    <cellStyle name="Output 5 3 4 4 2" xfId="26170" xr:uid="{00000000-0005-0000-0000-0000F65E0000}"/>
    <cellStyle name="Output 5 3 5" xfId="2565" xr:uid="{00000000-0005-0000-0000-0000F75E0000}"/>
    <cellStyle name="Output 5 3 5 2" xfId="6671" xr:uid="{00000000-0005-0000-0000-0000F85E0000}"/>
    <cellStyle name="Output 5 3 5 2 2" xfId="16629" xr:uid="{00000000-0005-0000-0000-0000F95E0000}"/>
    <cellStyle name="Output 5 3 5 2 2 2" xfId="31461" xr:uid="{00000000-0005-0000-0000-0000FA5E0000}"/>
    <cellStyle name="Output 5 3 5 2 3" xfId="18684" xr:uid="{00000000-0005-0000-0000-0000FB5E0000}"/>
    <cellStyle name="Output 5 3 5 3" xfId="12903" xr:uid="{00000000-0005-0000-0000-0000FC5E0000}"/>
    <cellStyle name="Output 5 3 5 3 2" xfId="27735" xr:uid="{00000000-0005-0000-0000-0000FD5E0000}"/>
    <cellStyle name="Output 5 3 5 4" xfId="10279" xr:uid="{00000000-0005-0000-0000-0000FE5E0000}"/>
    <cellStyle name="Output 5 3 5 4 2" xfId="25111" xr:uid="{00000000-0005-0000-0000-0000FF5E0000}"/>
    <cellStyle name="Output 5 3 6" xfId="5688" xr:uid="{00000000-0005-0000-0000-0000005F0000}"/>
    <cellStyle name="Output 5 3 6 2" xfId="15923" xr:uid="{00000000-0005-0000-0000-0000015F0000}"/>
    <cellStyle name="Output 5 3 6 2 2" xfId="30755" xr:uid="{00000000-0005-0000-0000-0000025F0000}"/>
    <cellStyle name="Output 5 3 6 3" xfId="18326" xr:uid="{00000000-0005-0000-0000-0000035F0000}"/>
    <cellStyle name="Output 5 3 7" xfId="11943" xr:uid="{00000000-0005-0000-0000-0000045F0000}"/>
    <cellStyle name="Output 5 3 7 2" xfId="26775" xr:uid="{00000000-0005-0000-0000-0000055F0000}"/>
    <cellStyle name="Output 5 3 8" xfId="9601" xr:uid="{00000000-0005-0000-0000-0000065F0000}"/>
    <cellStyle name="Output 5 3 8 2" xfId="19903" xr:uid="{00000000-0005-0000-0000-0000075F0000}"/>
    <cellStyle name="Output 5 4" xfId="1585" xr:uid="{00000000-0005-0000-0000-0000085F0000}"/>
    <cellStyle name="Output 5 4 2" xfId="2082" xr:uid="{00000000-0005-0000-0000-0000095F0000}"/>
    <cellStyle name="Output 5 4 2 2" xfId="3729" xr:uid="{00000000-0005-0000-0000-00000A5F0000}"/>
    <cellStyle name="Output 5 4 2 2 2" xfId="7785" xr:uid="{00000000-0005-0000-0000-00000B5F0000}"/>
    <cellStyle name="Output 5 4 2 2 2 2" xfId="17338" xr:uid="{00000000-0005-0000-0000-00000C5F0000}"/>
    <cellStyle name="Output 5 4 2 2 2 2 2" xfId="32170" xr:uid="{00000000-0005-0000-0000-00000D5F0000}"/>
    <cellStyle name="Output 5 4 2 2 2 3" xfId="19134" xr:uid="{00000000-0005-0000-0000-00000E5F0000}"/>
    <cellStyle name="Output 5 4 2 2 3" xfId="14064" xr:uid="{00000000-0005-0000-0000-00000F5F0000}"/>
    <cellStyle name="Output 5 4 2 2 3 2" xfId="28896" xr:uid="{00000000-0005-0000-0000-0000105F0000}"/>
    <cellStyle name="Output 5 4 2 2 4" xfId="10954" xr:uid="{00000000-0005-0000-0000-0000115F0000}"/>
    <cellStyle name="Output 5 4 2 2 4 2" xfId="25786" xr:uid="{00000000-0005-0000-0000-0000125F0000}"/>
    <cellStyle name="Output 5 4 2 3" xfId="5050" xr:uid="{00000000-0005-0000-0000-0000135F0000}"/>
    <cellStyle name="Output 5 4 2 3 2" xfId="9089" xr:uid="{00000000-0005-0000-0000-0000145F0000}"/>
    <cellStyle name="Output 5 4 2 3 2 2" xfId="18022" xr:uid="{00000000-0005-0000-0000-0000155F0000}"/>
    <cellStyle name="Output 5 4 2 3 2 2 2" xfId="32854" xr:uid="{00000000-0005-0000-0000-0000165F0000}"/>
    <cellStyle name="Output 5 4 2 3 2 3" xfId="19588" xr:uid="{00000000-0005-0000-0000-0000175F0000}"/>
    <cellStyle name="Output 5 4 2 3 3" xfId="15371" xr:uid="{00000000-0005-0000-0000-0000185F0000}"/>
    <cellStyle name="Output 5 4 2 3 3 2" xfId="30203" xr:uid="{00000000-0005-0000-0000-0000195F0000}"/>
    <cellStyle name="Output 5 4 2 3 4" xfId="11622" xr:uid="{00000000-0005-0000-0000-00001A5F0000}"/>
    <cellStyle name="Output 5 4 2 3 4 2" xfId="26454" xr:uid="{00000000-0005-0000-0000-00001B5F0000}"/>
    <cellStyle name="Output 5 4 2 4" xfId="3040" xr:uid="{00000000-0005-0000-0000-00001C5F0000}"/>
    <cellStyle name="Output 5 4 2 4 2" xfId="7115" xr:uid="{00000000-0005-0000-0000-00001D5F0000}"/>
    <cellStyle name="Output 5 4 2 4 2 2" xfId="16913" xr:uid="{00000000-0005-0000-0000-00001E5F0000}"/>
    <cellStyle name="Output 5 4 2 4 2 2 2" xfId="31745" xr:uid="{00000000-0005-0000-0000-00001F5F0000}"/>
    <cellStyle name="Output 5 4 2 4 2 3" xfId="18881" xr:uid="{00000000-0005-0000-0000-0000205F0000}"/>
    <cellStyle name="Output 5 4 2 4 3" xfId="13378" xr:uid="{00000000-0005-0000-0000-0000215F0000}"/>
    <cellStyle name="Output 5 4 2 4 3 2" xfId="28210" xr:uid="{00000000-0005-0000-0000-0000225F0000}"/>
    <cellStyle name="Output 5 4 2 4 4" xfId="10569" xr:uid="{00000000-0005-0000-0000-0000235F0000}"/>
    <cellStyle name="Output 5 4 2 4 4 2" xfId="25401" xr:uid="{00000000-0005-0000-0000-0000245F0000}"/>
    <cellStyle name="Output 5 4 2 5" xfId="6207" xr:uid="{00000000-0005-0000-0000-0000255F0000}"/>
    <cellStyle name="Output 5 4 2 5 2" xfId="16393" xr:uid="{00000000-0005-0000-0000-0000265F0000}"/>
    <cellStyle name="Output 5 4 2 5 2 2" xfId="31225" xr:uid="{00000000-0005-0000-0000-0000275F0000}"/>
    <cellStyle name="Output 5 4 2 5 3" xfId="18522" xr:uid="{00000000-0005-0000-0000-0000285F0000}"/>
    <cellStyle name="Output 5 4 2 6" xfId="12463" xr:uid="{00000000-0005-0000-0000-0000295F0000}"/>
    <cellStyle name="Output 5 4 2 6 2" xfId="27295" xr:uid="{00000000-0005-0000-0000-00002A5F0000}"/>
    <cellStyle name="Output 5 4 2 7" xfId="10045" xr:uid="{00000000-0005-0000-0000-00002B5F0000}"/>
    <cellStyle name="Output 5 4 2 7 2" xfId="24877" xr:uid="{00000000-0005-0000-0000-00002C5F0000}"/>
    <cellStyle name="Output 5 4 3" xfId="3504" xr:uid="{00000000-0005-0000-0000-00002D5F0000}"/>
    <cellStyle name="Output 5 4 3 2" xfId="7566" xr:uid="{00000000-0005-0000-0000-00002E5F0000}"/>
    <cellStyle name="Output 5 4 3 2 2" xfId="17224" xr:uid="{00000000-0005-0000-0000-00002F5F0000}"/>
    <cellStyle name="Output 5 4 3 2 2 2" xfId="32056" xr:uid="{00000000-0005-0000-0000-0000305F0000}"/>
    <cellStyle name="Output 5 4 3 2 3" xfId="19057" xr:uid="{00000000-0005-0000-0000-0000315F0000}"/>
    <cellStyle name="Output 5 4 3 3" xfId="13841" xr:uid="{00000000-0005-0000-0000-0000325F0000}"/>
    <cellStyle name="Output 5 4 3 3 2" xfId="28673" xr:uid="{00000000-0005-0000-0000-0000335F0000}"/>
    <cellStyle name="Output 5 4 3 4" xfId="10842" xr:uid="{00000000-0005-0000-0000-0000345F0000}"/>
    <cellStyle name="Output 5 4 3 4 2" xfId="25674" xr:uid="{00000000-0005-0000-0000-0000355F0000}"/>
    <cellStyle name="Output 5 4 4" xfId="4630" xr:uid="{00000000-0005-0000-0000-0000365F0000}"/>
    <cellStyle name="Output 5 4 4 2" xfId="8669" xr:uid="{00000000-0005-0000-0000-0000375F0000}"/>
    <cellStyle name="Output 5 4 4 2 2" xfId="17782" xr:uid="{00000000-0005-0000-0000-0000385F0000}"/>
    <cellStyle name="Output 5 4 4 2 2 2" xfId="32614" xr:uid="{00000000-0005-0000-0000-0000395F0000}"/>
    <cellStyle name="Output 5 4 4 2 3" xfId="19428" xr:uid="{00000000-0005-0000-0000-00003A5F0000}"/>
    <cellStyle name="Output 5 4 4 3" xfId="14956" xr:uid="{00000000-0005-0000-0000-00003B5F0000}"/>
    <cellStyle name="Output 5 4 4 3 2" xfId="29788" xr:uid="{00000000-0005-0000-0000-00003C5F0000}"/>
    <cellStyle name="Output 5 4 4 4" xfId="11387" xr:uid="{00000000-0005-0000-0000-00003D5F0000}"/>
    <cellStyle name="Output 5 4 4 4 2" xfId="26219" xr:uid="{00000000-0005-0000-0000-00003E5F0000}"/>
    <cellStyle name="Output 5 4 5" xfId="2620" xr:uid="{00000000-0005-0000-0000-00003F5F0000}"/>
    <cellStyle name="Output 5 4 5 2" xfId="6721" xr:uid="{00000000-0005-0000-0000-0000405F0000}"/>
    <cellStyle name="Output 5 4 5 2 2" xfId="16678" xr:uid="{00000000-0005-0000-0000-0000415F0000}"/>
    <cellStyle name="Output 5 4 5 2 2 2" xfId="31510" xr:uid="{00000000-0005-0000-0000-0000425F0000}"/>
    <cellStyle name="Output 5 4 5 2 3" xfId="18717" xr:uid="{00000000-0005-0000-0000-0000435F0000}"/>
    <cellStyle name="Output 5 4 5 3" xfId="12958" xr:uid="{00000000-0005-0000-0000-0000445F0000}"/>
    <cellStyle name="Output 5 4 5 3 2" xfId="27790" xr:uid="{00000000-0005-0000-0000-0000455F0000}"/>
    <cellStyle name="Output 5 4 5 4" xfId="10329" xr:uid="{00000000-0005-0000-0000-0000465F0000}"/>
    <cellStyle name="Output 5 4 5 4 2" xfId="25161" xr:uid="{00000000-0005-0000-0000-0000475F0000}"/>
    <cellStyle name="Output 5 4 6" xfId="5737" xr:uid="{00000000-0005-0000-0000-0000485F0000}"/>
    <cellStyle name="Output 5 4 6 2" xfId="15972" xr:uid="{00000000-0005-0000-0000-0000495F0000}"/>
    <cellStyle name="Output 5 4 6 2 2" xfId="30804" xr:uid="{00000000-0005-0000-0000-00004A5F0000}"/>
    <cellStyle name="Output 5 4 6 3" xfId="18358" xr:uid="{00000000-0005-0000-0000-00004B5F0000}"/>
    <cellStyle name="Output 5 4 7" xfId="11992" xr:uid="{00000000-0005-0000-0000-00004C5F0000}"/>
    <cellStyle name="Output 5 4 7 2" xfId="26824" xr:uid="{00000000-0005-0000-0000-00004D5F0000}"/>
    <cellStyle name="Output 5 4 8" xfId="9651" xr:uid="{00000000-0005-0000-0000-00004E5F0000}"/>
    <cellStyle name="Output 5 4 8 2" xfId="19952" xr:uid="{00000000-0005-0000-0000-00004F5F0000}"/>
    <cellStyle name="Output 5 5" xfId="1635" xr:uid="{00000000-0005-0000-0000-0000505F0000}"/>
    <cellStyle name="Output 5 5 2" xfId="2132" xr:uid="{00000000-0005-0000-0000-0000515F0000}"/>
    <cellStyle name="Output 5 5 2 2" xfId="3823" xr:uid="{00000000-0005-0000-0000-0000525F0000}"/>
    <cellStyle name="Output 5 5 2 2 2" xfId="7876" xr:uid="{00000000-0005-0000-0000-0000535F0000}"/>
    <cellStyle name="Output 5 5 2 2 2 2" xfId="17381" xr:uid="{00000000-0005-0000-0000-0000545F0000}"/>
    <cellStyle name="Output 5 5 2 2 2 2 2" xfId="32213" xr:uid="{00000000-0005-0000-0000-0000555F0000}"/>
    <cellStyle name="Output 5 5 2 2 2 3" xfId="19165" xr:uid="{00000000-0005-0000-0000-0000565F0000}"/>
    <cellStyle name="Output 5 5 2 2 3" xfId="14158" xr:uid="{00000000-0005-0000-0000-0000575F0000}"/>
    <cellStyle name="Output 5 5 2 2 3 2" xfId="28990" xr:uid="{00000000-0005-0000-0000-0000585F0000}"/>
    <cellStyle name="Output 5 5 2 2 4" xfId="11000" xr:uid="{00000000-0005-0000-0000-0000595F0000}"/>
    <cellStyle name="Output 5 5 2 2 4 2" xfId="25832" xr:uid="{00000000-0005-0000-0000-00005A5F0000}"/>
    <cellStyle name="Output 5 5 2 3" xfId="5100" xr:uid="{00000000-0005-0000-0000-00005B5F0000}"/>
    <cellStyle name="Output 5 5 2 3 2" xfId="9139" xr:uid="{00000000-0005-0000-0000-00005C5F0000}"/>
    <cellStyle name="Output 5 5 2 3 2 2" xfId="18067" xr:uid="{00000000-0005-0000-0000-00005D5F0000}"/>
    <cellStyle name="Output 5 5 2 3 2 2 2" xfId="32899" xr:uid="{00000000-0005-0000-0000-00005E5F0000}"/>
    <cellStyle name="Output 5 5 2 3 2 3" xfId="19620" xr:uid="{00000000-0005-0000-0000-00005F5F0000}"/>
    <cellStyle name="Output 5 5 2 3 3" xfId="15420" xr:uid="{00000000-0005-0000-0000-0000605F0000}"/>
    <cellStyle name="Output 5 5 2 3 3 2" xfId="30252" xr:uid="{00000000-0005-0000-0000-0000615F0000}"/>
    <cellStyle name="Output 5 5 2 3 4" xfId="11666" xr:uid="{00000000-0005-0000-0000-0000625F0000}"/>
    <cellStyle name="Output 5 5 2 3 4 2" xfId="26498" xr:uid="{00000000-0005-0000-0000-0000635F0000}"/>
    <cellStyle name="Output 5 5 2 4" xfId="3090" xr:uid="{00000000-0005-0000-0000-0000645F0000}"/>
    <cellStyle name="Output 5 5 2 4 2" xfId="7160" xr:uid="{00000000-0005-0000-0000-0000655F0000}"/>
    <cellStyle name="Output 5 5 2 4 2 2" xfId="16957" xr:uid="{00000000-0005-0000-0000-0000665F0000}"/>
    <cellStyle name="Output 5 5 2 4 2 2 2" xfId="31789" xr:uid="{00000000-0005-0000-0000-0000675F0000}"/>
    <cellStyle name="Output 5 5 2 4 2 3" xfId="18914" xr:uid="{00000000-0005-0000-0000-0000685F0000}"/>
    <cellStyle name="Output 5 5 2 4 3" xfId="13428" xr:uid="{00000000-0005-0000-0000-0000695F0000}"/>
    <cellStyle name="Output 5 5 2 4 3 2" xfId="28260" xr:uid="{00000000-0005-0000-0000-00006A5F0000}"/>
    <cellStyle name="Output 5 5 2 4 4" xfId="10614" xr:uid="{00000000-0005-0000-0000-00006B5F0000}"/>
    <cellStyle name="Output 5 5 2 4 4 2" xfId="25446" xr:uid="{00000000-0005-0000-0000-00006C5F0000}"/>
    <cellStyle name="Output 5 5 2 5" xfId="6252" xr:uid="{00000000-0005-0000-0000-00006D5F0000}"/>
    <cellStyle name="Output 5 5 2 5 2" xfId="16437" xr:uid="{00000000-0005-0000-0000-00006E5F0000}"/>
    <cellStyle name="Output 5 5 2 5 2 2" xfId="31269" xr:uid="{00000000-0005-0000-0000-00006F5F0000}"/>
    <cellStyle name="Output 5 5 2 5 3" xfId="18555" xr:uid="{00000000-0005-0000-0000-0000705F0000}"/>
    <cellStyle name="Output 5 5 2 6" xfId="12507" xr:uid="{00000000-0005-0000-0000-0000715F0000}"/>
    <cellStyle name="Output 5 5 2 6 2" xfId="27339" xr:uid="{00000000-0005-0000-0000-0000725F0000}"/>
    <cellStyle name="Output 5 5 2 7" xfId="10089" xr:uid="{00000000-0005-0000-0000-0000735F0000}"/>
    <cellStyle name="Output 5 5 2 7 2" xfId="24921" xr:uid="{00000000-0005-0000-0000-0000745F0000}"/>
    <cellStyle name="Output 5 5 3" xfId="4072" xr:uid="{00000000-0005-0000-0000-0000755F0000}"/>
    <cellStyle name="Output 5 5 3 2" xfId="8119" xr:uid="{00000000-0005-0000-0000-0000765F0000}"/>
    <cellStyle name="Output 5 5 3 2 2" xfId="17507" xr:uid="{00000000-0005-0000-0000-0000775F0000}"/>
    <cellStyle name="Output 5 5 3 2 2 2" xfId="32339" xr:uid="{00000000-0005-0000-0000-0000785F0000}"/>
    <cellStyle name="Output 5 5 3 2 3" xfId="19259" xr:uid="{00000000-0005-0000-0000-0000795F0000}"/>
    <cellStyle name="Output 5 5 3 3" xfId="14404" xr:uid="{00000000-0005-0000-0000-00007A5F0000}"/>
    <cellStyle name="Output 5 5 3 3 2" xfId="29236" xr:uid="{00000000-0005-0000-0000-00007B5F0000}"/>
    <cellStyle name="Output 5 5 3 4" xfId="11123" xr:uid="{00000000-0005-0000-0000-00007C5F0000}"/>
    <cellStyle name="Output 5 5 3 4 2" xfId="25955" xr:uid="{00000000-0005-0000-0000-00007D5F0000}"/>
    <cellStyle name="Output 5 5 4" xfId="4680" xr:uid="{00000000-0005-0000-0000-00007E5F0000}"/>
    <cellStyle name="Output 5 5 4 2" xfId="8719" xr:uid="{00000000-0005-0000-0000-00007F5F0000}"/>
    <cellStyle name="Output 5 5 4 2 2" xfId="17827" xr:uid="{00000000-0005-0000-0000-0000805F0000}"/>
    <cellStyle name="Output 5 5 4 2 2 2" xfId="32659" xr:uid="{00000000-0005-0000-0000-0000815F0000}"/>
    <cellStyle name="Output 5 5 4 2 3" xfId="19460" xr:uid="{00000000-0005-0000-0000-0000825F0000}"/>
    <cellStyle name="Output 5 5 4 3" xfId="15005" xr:uid="{00000000-0005-0000-0000-0000835F0000}"/>
    <cellStyle name="Output 5 5 4 3 2" xfId="29837" xr:uid="{00000000-0005-0000-0000-0000845F0000}"/>
    <cellStyle name="Output 5 5 4 4" xfId="11431" xr:uid="{00000000-0005-0000-0000-0000855F0000}"/>
    <cellStyle name="Output 5 5 4 4 2" xfId="26263" xr:uid="{00000000-0005-0000-0000-0000865F0000}"/>
    <cellStyle name="Output 5 5 5" xfId="2670" xr:uid="{00000000-0005-0000-0000-0000875F0000}"/>
    <cellStyle name="Output 5 5 5 2" xfId="6766" xr:uid="{00000000-0005-0000-0000-0000885F0000}"/>
    <cellStyle name="Output 5 5 5 2 2" xfId="16722" xr:uid="{00000000-0005-0000-0000-0000895F0000}"/>
    <cellStyle name="Output 5 5 5 2 2 2" xfId="31554" xr:uid="{00000000-0005-0000-0000-00008A5F0000}"/>
    <cellStyle name="Output 5 5 5 2 3" xfId="18750" xr:uid="{00000000-0005-0000-0000-00008B5F0000}"/>
    <cellStyle name="Output 5 5 5 3" xfId="13008" xr:uid="{00000000-0005-0000-0000-00008C5F0000}"/>
    <cellStyle name="Output 5 5 5 3 2" xfId="27840" xr:uid="{00000000-0005-0000-0000-00008D5F0000}"/>
    <cellStyle name="Output 5 5 5 4" xfId="10374" xr:uid="{00000000-0005-0000-0000-00008E5F0000}"/>
    <cellStyle name="Output 5 5 5 4 2" xfId="25206" xr:uid="{00000000-0005-0000-0000-00008F5F0000}"/>
    <cellStyle name="Output 5 5 6" xfId="5782" xr:uid="{00000000-0005-0000-0000-0000905F0000}"/>
    <cellStyle name="Output 5 5 6 2" xfId="16016" xr:uid="{00000000-0005-0000-0000-0000915F0000}"/>
    <cellStyle name="Output 5 5 6 2 2" xfId="30848" xr:uid="{00000000-0005-0000-0000-0000925F0000}"/>
    <cellStyle name="Output 5 5 6 3" xfId="18391" xr:uid="{00000000-0005-0000-0000-0000935F0000}"/>
    <cellStyle name="Output 5 5 7" xfId="12036" xr:uid="{00000000-0005-0000-0000-0000945F0000}"/>
    <cellStyle name="Output 5 5 7 2" xfId="26868" xr:uid="{00000000-0005-0000-0000-0000955F0000}"/>
    <cellStyle name="Output 5 5 8" xfId="9696" xr:uid="{00000000-0005-0000-0000-0000965F0000}"/>
    <cellStyle name="Output 5 5 8 2" xfId="19996" xr:uid="{00000000-0005-0000-0000-0000975F0000}"/>
    <cellStyle name="Output 5 6" xfId="1786" xr:uid="{00000000-0005-0000-0000-0000985F0000}"/>
    <cellStyle name="Output 5 6 2" xfId="3764" xr:uid="{00000000-0005-0000-0000-0000995F0000}"/>
    <cellStyle name="Output 5 6 2 2" xfId="7820" xr:uid="{00000000-0005-0000-0000-00009A5F0000}"/>
    <cellStyle name="Output 5 6 2 2 2" xfId="17355" xr:uid="{00000000-0005-0000-0000-00009B5F0000}"/>
    <cellStyle name="Output 5 6 2 2 2 2" xfId="32187" xr:uid="{00000000-0005-0000-0000-00009C5F0000}"/>
    <cellStyle name="Output 5 6 2 2 3" xfId="19149" xr:uid="{00000000-0005-0000-0000-00009D5F0000}"/>
    <cellStyle name="Output 5 6 2 3" xfId="14099" xr:uid="{00000000-0005-0000-0000-00009E5F0000}"/>
    <cellStyle name="Output 5 6 2 3 2" xfId="28931" xr:uid="{00000000-0005-0000-0000-00009F5F0000}"/>
    <cellStyle name="Output 5 6 2 4" xfId="10971" xr:uid="{00000000-0005-0000-0000-0000A05F0000}"/>
    <cellStyle name="Output 5 6 2 4 2" xfId="25803" xr:uid="{00000000-0005-0000-0000-0000A15F0000}"/>
    <cellStyle name="Output 5 6 3" xfId="4764" xr:uid="{00000000-0005-0000-0000-0000A25F0000}"/>
    <cellStyle name="Output 5 6 3 2" xfId="8803" xr:uid="{00000000-0005-0000-0000-0000A35F0000}"/>
    <cellStyle name="Output 5 6 3 2 2" xfId="17875" xr:uid="{00000000-0005-0000-0000-0000A45F0000}"/>
    <cellStyle name="Output 5 6 3 2 2 2" xfId="32707" xr:uid="{00000000-0005-0000-0000-0000A55F0000}"/>
    <cellStyle name="Output 5 6 3 2 3" xfId="19492" xr:uid="{00000000-0005-0000-0000-0000A65F0000}"/>
    <cellStyle name="Output 5 6 3 3" xfId="15088" xr:uid="{00000000-0005-0000-0000-0000A75F0000}"/>
    <cellStyle name="Output 5 6 3 3 2" xfId="29920" xr:uid="{00000000-0005-0000-0000-0000A85F0000}"/>
    <cellStyle name="Output 5 6 3 4" xfId="11478" xr:uid="{00000000-0005-0000-0000-0000A95F0000}"/>
    <cellStyle name="Output 5 6 3 4 2" xfId="26310" xr:uid="{00000000-0005-0000-0000-0000AA5F0000}"/>
    <cellStyle name="Output 5 6 4" xfId="2754" xr:uid="{00000000-0005-0000-0000-0000AB5F0000}"/>
    <cellStyle name="Output 5 6 4 2" xfId="6845" xr:uid="{00000000-0005-0000-0000-0000AC5F0000}"/>
    <cellStyle name="Output 5 6 4 2 2" xfId="16769" xr:uid="{00000000-0005-0000-0000-0000AD5F0000}"/>
    <cellStyle name="Output 5 6 4 2 2 2" xfId="31601" xr:uid="{00000000-0005-0000-0000-0000AE5F0000}"/>
    <cellStyle name="Output 5 6 4 2 3" xfId="18783" xr:uid="{00000000-0005-0000-0000-0000AF5F0000}"/>
    <cellStyle name="Output 5 6 4 3" xfId="13092" xr:uid="{00000000-0005-0000-0000-0000B05F0000}"/>
    <cellStyle name="Output 5 6 4 3 2" xfId="27924" xr:uid="{00000000-0005-0000-0000-0000B15F0000}"/>
    <cellStyle name="Output 5 6 4 4" xfId="10422" xr:uid="{00000000-0005-0000-0000-0000B25F0000}"/>
    <cellStyle name="Output 5 6 4 4 2" xfId="25254" xr:uid="{00000000-0005-0000-0000-0000B35F0000}"/>
    <cellStyle name="Output 5 6 5" xfId="5918" xr:uid="{00000000-0005-0000-0000-0000B45F0000}"/>
    <cellStyle name="Output 5 6 5 2" xfId="16110" xr:uid="{00000000-0005-0000-0000-0000B55F0000}"/>
    <cellStyle name="Output 5 6 5 2 2" xfId="30942" xr:uid="{00000000-0005-0000-0000-0000B65F0000}"/>
    <cellStyle name="Output 5 6 5 3" xfId="18425" xr:uid="{00000000-0005-0000-0000-0000B75F0000}"/>
    <cellStyle name="Output 5 6 6" xfId="12180" xr:uid="{00000000-0005-0000-0000-0000B85F0000}"/>
    <cellStyle name="Output 5 6 6 2" xfId="27012" xr:uid="{00000000-0005-0000-0000-0000B95F0000}"/>
    <cellStyle name="Output 5 6 7" xfId="9776" xr:uid="{00000000-0005-0000-0000-0000BA5F0000}"/>
    <cellStyle name="Output 5 6 7 2" xfId="24733" xr:uid="{00000000-0005-0000-0000-0000BB5F0000}"/>
    <cellStyle name="Output 5 7" xfId="2180" xr:uid="{00000000-0005-0000-0000-0000BC5F0000}"/>
    <cellStyle name="Output 5 7 2" xfId="3577" xr:uid="{00000000-0005-0000-0000-0000BD5F0000}"/>
    <cellStyle name="Output 5 7 2 2" xfId="7639" xr:uid="{00000000-0005-0000-0000-0000BE5F0000}"/>
    <cellStyle name="Output 5 7 2 2 2" xfId="17265" xr:uid="{00000000-0005-0000-0000-0000BF5F0000}"/>
    <cellStyle name="Output 5 7 2 2 2 2" xfId="32097" xr:uid="{00000000-0005-0000-0000-0000C05F0000}"/>
    <cellStyle name="Output 5 7 2 2 3" xfId="19088" xr:uid="{00000000-0005-0000-0000-0000C15F0000}"/>
    <cellStyle name="Output 5 7 2 3" xfId="13913" xr:uid="{00000000-0005-0000-0000-0000C25F0000}"/>
    <cellStyle name="Output 5 7 2 3 2" xfId="28745" xr:uid="{00000000-0005-0000-0000-0000C35F0000}"/>
    <cellStyle name="Output 5 7 2 4" xfId="10882" xr:uid="{00000000-0005-0000-0000-0000C45F0000}"/>
    <cellStyle name="Output 5 7 2 4 2" xfId="25714" xr:uid="{00000000-0005-0000-0000-0000C55F0000}"/>
    <cellStyle name="Output 5 7 3" xfId="5148" xr:uid="{00000000-0005-0000-0000-0000C65F0000}"/>
    <cellStyle name="Output 5 7 3 2" xfId="9187" xr:uid="{00000000-0005-0000-0000-0000C75F0000}"/>
    <cellStyle name="Output 5 7 3 2 2" xfId="18110" xr:uid="{00000000-0005-0000-0000-0000C85F0000}"/>
    <cellStyle name="Output 5 7 3 2 2 2" xfId="32942" xr:uid="{00000000-0005-0000-0000-0000C95F0000}"/>
    <cellStyle name="Output 5 7 3 2 3" xfId="19661" xr:uid="{00000000-0005-0000-0000-0000CA5F0000}"/>
    <cellStyle name="Output 5 7 3 3" xfId="15466" xr:uid="{00000000-0005-0000-0000-0000CB5F0000}"/>
    <cellStyle name="Output 5 7 3 3 2" xfId="30298" xr:uid="{00000000-0005-0000-0000-0000CC5F0000}"/>
    <cellStyle name="Output 5 7 3 4" xfId="11707" xr:uid="{00000000-0005-0000-0000-0000CD5F0000}"/>
    <cellStyle name="Output 5 7 3 4 2" xfId="26539" xr:uid="{00000000-0005-0000-0000-0000CE5F0000}"/>
    <cellStyle name="Output 5 7 4" xfId="4178" xr:uid="{00000000-0005-0000-0000-0000CF5F0000}"/>
    <cellStyle name="Output 5 7 4 2" xfId="8219" xr:uid="{00000000-0005-0000-0000-0000D05F0000}"/>
    <cellStyle name="Output 5 7 4 2 2" xfId="17566" xr:uid="{00000000-0005-0000-0000-0000D15F0000}"/>
    <cellStyle name="Output 5 7 4 2 2 2" xfId="32398" xr:uid="{00000000-0005-0000-0000-0000D25F0000}"/>
    <cellStyle name="Output 5 7 4 2 3" xfId="19304" xr:uid="{00000000-0005-0000-0000-0000D35F0000}"/>
    <cellStyle name="Output 5 7 4 3" xfId="14510" xr:uid="{00000000-0005-0000-0000-0000D45F0000}"/>
    <cellStyle name="Output 5 7 4 3 2" xfId="29342" xr:uid="{00000000-0005-0000-0000-0000D55F0000}"/>
    <cellStyle name="Output 5 7 4 4" xfId="11186" xr:uid="{00000000-0005-0000-0000-0000D65F0000}"/>
    <cellStyle name="Output 5 7 4 4 2" xfId="26018" xr:uid="{00000000-0005-0000-0000-0000D75F0000}"/>
    <cellStyle name="Output 5 7 5" xfId="6294" xr:uid="{00000000-0005-0000-0000-0000D85F0000}"/>
    <cellStyle name="Output 5 7 5 2" xfId="16478" xr:uid="{00000000-0005-0000-0000-0000D95F0000}"/>
    <cellStyle name="Output 5 7 5 2 2" xfId="31310" xr:uid="{00000000-0005-0000-0000-0000DA5F0000}"/>
    <cellStyle name="Output 5 7 5 3" xfId="18597" xr:uid="{00000000-0005-0000-0000-0000DB5F0000}"/>
    <cellStyle name="Output 5 7 6" xfId="12548" xr:uid="{00000000-0005-0000-0000-0000DC5F0000}"/>
    <cellStyle name="Output 5 7 6 2" xfId="27380" xr:uid="{00000000-0005-0000-0000-0000DD5F0000}"/>
    <cellStyle name="Output 5 7 7" xfId="10130" xr:uid="{00000000-0005-0000-0000-0000DE5F0000}"/>
    <cellStyle name="Output 5 7 7 2" xfId="24962" xr:uid="{00000000-0005-0000-0000-0000DF5F0000}"/>
    <cellStyle name="Output 5 8" xfId="3932" xr:uid="{00000000-0005-0000-0000-0000E05F0000}"/>
    <cellStyle name="Output 5 8 2" xfId="7982" xr:uid="{00000000-0005-0000-0000-0000E15F0000}"/>
    <cellStyle name="Output 5 8 2 2" xfId="17437" xr:uid="{00000000-0005-0000-0000-0000E25F0000}"/>
    <cellStyle name="Output 5 8 2 2 2" xfId="32269" xr:uid="{00000000-0005-0000-0000-0000E35F0000}"/>
    <cellStyle name="Output 5 8 2 3" xfId="19206" xr:uid="{00000000-0005-0000-0000-0000E45F0000}"/>
    <cellStyle name="Output 5 8 3" xfId="14265" xr:uid="{00000000-0005-0000-0000-0000E55F0000}"/>
    <cellStyle name="Output 5 8 3 2" xfId="29097" xr:uid="{00000000-0005-0000-0000-0000E65F0000}"/>
    <cellStyle name="Output 5 8 4" xfId="11052" xr:uid="{00000000-0005-0000-0000-0000E75F0000}"/>
    <cellStyle name="Output 5 8 4 2" xfId="25884" xr:uid="{00000000-0005-0000-0000-0000E85F0000}"/>
    <cellStyle name="Output 5 9" xfId="4288" xr:uid="{00000000-0005-0000-0000-0000E95F0000}"/>
    <cellStyle name="Output 5 9 2" xfId="8327" xr:uid="{00000000-0005-0000-0000-0000EA5F0000}"/>
    <cellStyle name="Output 5 9 2 2" xfId="17609" xr:uid="{00000000-0005-0000-0000-0000EB5F0000}"/>
    <cellStyle name="Output 5 9 2 2 2" xfId="32441" xr:uid="{00000000-0005-0000-0000-0000EC5F0000}"/>
    <cellStyle name="Output 5 9 2 3" xfId="19322" xr:uid="{00000000-0005-0000-0000-0000ED5F0000}"/>
    <cellStyle name="Output 5 9 3" xfId="14620" xr:uid="{00000000-0005-0000-0000-0000EE5F0000}"/>
    <cellStyle name="Output 5 9 3 2" xfId="29452" xr:uid="{00000000-0005-0000-0000-0000EF5F0000}"/>
    <cellStyle name="Output 5 9 4" xfId="11224" xr:uid="{00000000-0005-0000-0000-0000F05F0000}"/>
    <cellStyle name="Output 5 9 4 2" xfId="26056" xr:uid="{00000000-0005-0000-0000-0000F15F0000}"/>
    <cellStyle name="Output 6" xfId="1242" xr:uid="{00000000-0005-0000-0000-0000F25F0000}"/>
    <cellStyle name="Output 6 10" xfId="2328" xr:uid="{00000000-0005-0000-0000-0000F35F0000}"/>
    <cellStyle name="Output 6 10 2" xfId="6440" xr:uid="{00000000-0005-0000-0000-0000F45F0000}"/>
    <cellStyle name="Output 6 10 2 2" xfId="16533" xr:uid="{00000000-0005-0000-0000-0000F55F0000}"/>
    <cellStyle name="Output 6 10 2 2 2" xfId="31365" xr:uid="{00000000-0005-0000-0000-0000F65F0000}"/>
    <cellStyle name="Output 6 10 2 3" xfId="18621" xr:uid="{00000000-0005-0000-0000-0000F75F0000}"/>
    <cellStyle name="Output 6 10 3" xfId="12668" xr:uid="{00000000-0005-0000-0000-0000F85F0000}"/>
    <cellStyle name="Output 6 10 3 2" xfId="27500" xr:uid="{00000000-0005-0000-0000-0000F95F0000}"/>
    <cellStyle name="Output 6 10 4" xfId="10184" xr:uid="{00000000-0005-0000-0000-0000FA5F0000}"/>
    <cellStyle name="Output 6 10 4 2" xfId="25016" xr:uid="{00000000-0005-0000-0000-0000FB5F0000}"/>
    <cellStyle name="Output 6 11" xfId="5291" xr:uid="{00000000-0005-0000-0000-0000FC5F0000}"/>
    <cellStyle name="Output 6 11 2" xfId="9299" xr:uid="{00000000-0005-0000-0000-0000FD5F0000}"/>
    <cellStyle name="Output 6 11 2 2" xfId="18166" xr:uid="{00000000-0005-0000-0000-0000FE5F0000}"/>
    <cellStyle name="Output 6 11 2 2 2" xfId="32998" xr:uid="{00000000-0005-0000-0000-0000FF5F0000}"/>
    <cellStyle name="Output 6 11 2 3" xfId="19685" xr:uid="{00000000-0005-0000-0000-000000600000}"/>
    <cellStyle name="Output 6 11 3" xfId="15607" xr:uid="{00000000-0005-0000-0000-000001600000}"/>
    <cellStyle name="Output 6 11 3 2" xfId="30439" xr:uid="{00000000-0005-0000-0000-000002600000}"/>
    <cellStyle name="Output 6 12" xfId="5449" xr:uid="{00000000-0005-0000-0000-000003600000}"/>
    <cellStyle name="Output 6 12 2" xfId="15685" xr:uid="{00000000-0005-0000-0000-000004600000}"/>
    <cellStyle name="Output 6 12 2 2" xfId="30517" xr:uid="{00000000-0005-0000-0000-000005600000}"/>
    <cellStyle name="Output 6 12 3" xfId="18262" xr:uid="{00000000-0005-0000-0000-000006600000}"/>
    <cellStyle name="Output 6 13" xfId="9342" xr:uid="{00000000-0005-0000-0000-000007600000}"/>
    <cellStyle name="Output 6 13 2" xfId="24648" xr:uid="{00000000-0005-0000-0000-000008600000}"/>
    <cellStyle name="Output 6 14" xfId="5331" xr:uid="{00000000-0005-0000-0000-000009600000}"/>
    <cellStyle name="Output 6 14 2" xfId="18205" xr:uid="{00000000-0005-0000-0000-00000A600000}"/>
    <cellStyle name="Output 6 2" xfId="1361" xr:uid="{00000000-0005-0000-0000-00000B600000}"/>
    <cellStyle name="Output 6 2 2" xfId="1865" xr:uid="{00000000-0005-0000-0000-00000C600000}"/>
    <cellStyle name="Output 6 2 2 2" xfId="3869" xr:uid="{00000000-0005-0000-0000-00000D600000}"/>
    <cellStyle name="Output 6 2 2 2 2" xfId="7921" xr:uid="{00000000-0005-0000-0000-00000E600000}"/>
    <cellStyle name="Output 6 2 2 2 2 2" xfId="17402" xr:uid="{00000000-0005-0000-0000-00000F600000}"/>
    <cellStyle name="Output 6 2 2 2 2 2 2" xfId="32234" xr:uid="{00000000-0005-0000-0000-000010600000}"/>
    <cellStyle name="Output 6 2 2 2 2 3" xfId="19181" xr:uid="{00000000-0005-0000-0000-000011600000}"/>
    <cellStyle name="Output 6 2 2 2 3" xfId="14204" xr:uid="{00000000-0005-0000-0000-000012600000}"/>
    <cellStyle name="Output 6 2 2 2 3 2" xfId="29036" xr:uid="{00000000-0005-0000-0000-000013600000}"/>
    <cellStyle name="Output 6 2 2 2 4" xfId="11021" xr:uid="{00000000-0005-0000-0000-000014600000}"/>
    <cellStyle name="Output 6 2 2 2 4 2" xfId="25853" xr:uid="{00000000-0005-0000-0000-000015600000}"/>
    <cellStyle name="Output 6 2 2 3" xfId="4843" xr:uid="{00000000-0005-0000-0000-000016600000}"/>
    <cellStyle name="Output 6 2 2 3 2" xfId="8882" xr:uid="{00000000-0005-0000-0000-000017600000}"/>
    <cellStyle name="Output 6 2 2 3 2 2" xfId="17923" xr:uid="{00000000-0005-0000-0000-000018600000}"/>
    <cellStyle name="Output 6 2 2 3 2 2 2" xfId="32755" xr:uid="{00000000-0005-0000-0000-000019600000}"/>
    <cellStyle name="Output 6 2 2 3 2 3" xfId="19525" xr:uid="{00000000-0005-0000-0000-00001A600000}"/>
    <cellStyle name="Output 6 2 2 3 3" xfId="15167" xr:uid="{00000000-0005-0000-0000-00001B600000}"/>
    <cellStyle name="Output 6 2 2 3 3 2" xfId="29999" xr:uid="{00000000-0005-0000-0000-00001C600000}"/>
    <cellStyle name="Output 6 2 2 3 4" xfId="11526" xr:uid="{00000000-0005-0000-0000-00001D600000}"/>
    <cellStyle name="Output 6 2 2 3 4 2" xfId="26358" xr:uid="{00000000-0005-0000-0000-00001E600000}"/>
    <cellStyle name="Output 6 2 2 4" xfId="2833" xr:uid="{00000000-0005-0000-0000-00001F600000}"/>
    <cellStyle name="Output 6 2 2 4 2" xfId="6924" xr:uid="{00000000-0005-0000-0000-000020600000}"/>
    <cellStyle name="Output 6 2 2 4 2 2" xfId="16817" xr:uid="{00000000-0005-0000-0000-000021600000}"/>
    <cellStyle name="Output 6 2 2 4 2 2 2" xfId="31649" xr:uid="{00000000-0005-0000-0000-000022600000}"/>
    <cellStyle name="Output 6 2 2 4 2 3" xfId="18816" xr:uid="{00000000-0005-0000-0000-000023600000}"/>
    <cellStyle name="Output 6 2 2 4 3" xfId="13171" xr:uid="{00000000-0005-0000-0000-000024600000}"/>
    <cellStyle name="Output 6 2 2 4 3 2" xfId="28003" xr:uid="{00000000-0005-0000-0000-000025600000}"/>
    <cellStyle name="Output 6 2 2 4 4" xfId="10470" xr:uid="{00000000-0005-0000-0000-000026600000}"/>
    <cellStyle name="Output 6 2 2 4 4 2" xfId="25302" xr:uid="{00000000-0005-0000-0000-000027600000}"/>
    <cellStyle name="Output 6 2 2 5" xfId="5997" xr:uid="{00000000-0005-0000-0000-000028600000}"/>
    <cellStyle name="Output 6 2 2 5 2" xfId="16189" xr:uid="{00000000-0005-0000-0000-000029600000}"/>
    <cellStyle name="Output 6 2 2 5 2 2" xfId="31021" xr:uid="{00000000-0005-0000-0000-00002A600000}"/>
    <cellStyle name="Output 6 2 2 5 3" xfId="18458" xr:uid="{00000000-0005-0000-0000-00002B600000}"/>
    <cellStyle name="Output 6 2 2 6" xfId="12259" xr:uid="{00000000-0005-0000-0000-00002C600000}"/>
    <cellStyle name="Output 6 2 2 6 2" xfId="27091" xr:uid="{00000000-0005-0000-0000-00002D600000}"/>
    <cellStyle name="Output 6 2 2 7" xfId="9855" xr:uid="{00000000-0005-0000-0000-00002E600000}"/>
    <cellStyle name="Output 6 2 2 7 2" xfId="24781" xr:uid="{00000000-0005-0000-0000-00002F600000}"/>
    <cellStyle name="Output 6 2 3" xfId="4130" xr:uid="{00000000-0005-0000-0000-000030600000}"/>
    <cellStyle name="Output 6 2 3 2" xfId="8174" xr:uid="{00000000-0005-0000-0000-000031600000}"/>
    <cellStyle name="Output 6 2 3 2 2" xfId="17533" xr:uid="{00000000-0005-0000-0000-000032600000}"/>
    <cellStyle name="Output 6 2 3 2 2 2" xfId="32365" xr:uid="{00000000-0005-0000-0000-000033600000}"/>
    <cellStyle name="Output 6 2 3 2 3" xfId="19277" xr:uid="{00000000-0005-0000-0000-000034600000}"/>
    <cellStyle name="Output 6 2 3 3" xfId="14462" xr:uid="{00000000-0005-0000-0000-000035600000}"/>
    <cellStyle name="Output 6 2 3 3 2" xfId="29294" xr:uid="{00000000-0005-0000-0000-000036600000}"/>
    <cellStyle name="Output 6 2 3 4" xfId="11151" xr:uid="{00000000-0005-0000-0000-000037600000}"/>
    <cellStyle name="Output 6 2 3 4 2" xfId="25983" xr:uid="{00000000-0005-0000-0000-000038600000}"/>
    <cellStyle name="Output 6 2 4" xfId="4423" xr:uid="{00000000-0005-0000-0000-000039600000}"/>
    <cellStyle name="Output 6 2 4 2" xfId="8462" xr:uid="{00000000-0005-0000-0000-00003A600000}"/>
    <cellStyle name="Output 6 2 4 2 2" xfId="17683" xr:uid="{00000000-0005-0000-0000-00003B600000}"/>
    <cellStyle name="Output 6 2 4 2 2 2" xfId="32515" xr:uid="{00000000-0005-0000-0000-00003C600000}"/>
    <cellStyle name="Output 6 2 4 2 3" xfId="19365" xr:uid="{00000000-0005-0000-0000-00003D600000}"/>
    <cellStyle name="Output 6 2 4 3" xfId="14752" xr:uid="{00000000-0005-0000-0000-00003E600000}"/>
    <cellStyle name="Output 6 2 4 3 2" xfId="29584" xr:uid="{00000000-0005-0000-0000-00003F600000}"/>
    <cellStyle name="Output 6 2 4 4" xfId="11291" xr:uid="{00000000-0005-0000-0000-000040600000}"/>
    <cellStyle name="Output 6 2 4 4 2" xfId="26123" xr:uid="{00000000-0005-0000-0000-000041600000}"/>
    <cellStyle name="Output 6 2 5" xfId="2413" xr:uid="{00000000-0005-0000-0000-000042600000}"/>
    <cellStyle name="Output 6 2 5 2" xfId="6525" xr:uid="{00000000-0005-0000-0000-000043600000}"/>
    <cellStyle name="Output 6 2 5 2 2" xfId="16581" xr:uid="{00000000-0005-0000-0000-000044600000}"/>
    <cellStyle name="Output 6 2 5 2 2 2" xfId="31413" xr:uid="{00000000-0005-0000-0000-000045600000}"/>
    <cellStyle name="Output 6 2 5 2 3" xfId="18653" xr:uid="{00000000-0005-0000-0000-000046600000}"/>
    <cellStyle name="Output 6 2 5 3" xfId="12752" xr:uid="{00000000-0005-0000-0000-000047600000}"/>
    <cellStyle name="Output 6 2 5 3 2" xfId="27584" xr:uid="{00000000-0005-0000-0000-000048600000}"/>
    <cellStyle name="Output 6 2 5 4" xfId="10231" xr:uid="{00000000-0005-0000-0000-000049600000}"/>
    <cellStyle name="Output 6 2 5 4 2" xfId="25063" xr:uid="{00000000-0005-0000-0000-00004A600000}"/>
    <cellStyle name="Output 6 2 6" xfId="5538" xr:uid="{00000000-0005-0000-0000-00004B600000}"/>
    <cellStyle name="Output 6 2 6 2" xfId="15773" xr:uid="{00000000-0005-0000-0000-00004C600000}"/>
    <cellStyle name="Output 6 2 6 2 2" xfId="30605" xr:uid="{00000000-0005-0000-0000-00004D600000}"/>
    <cellStyle name="Output 6 2 6 3" xfId="18295" xr:uid="{00000000-0005-0000-0000-00004E600000}"/>
    <cellStyle name="Output 6 2 7" xfId="11788" xr:uid="{00000000-0005-0000-0000-00004F600000}"/>
    <cellStyle name="Output 6 2 7 2" xfId="26620" xr:uid="{00000000-0005-0000-0000-000050600000}"/>
    <cellStyle name="Output 6 2 8" xfId="9459" xr:uid="{00000000-0005-0000-0000-000051600000}"/>
    <cellStyle name="Output 6 2 8 2" xfId="19763" xr:uid="{00000000-0005-0000-0000-000052600000}"/>
    <cellStyle name="Output 6 3" xfId="1531" xr:uid="{00000000-0005-0000-0000-000053600000}"/>
    <cellStyle name="Output 6 3 2" xfId="2028" xr:uid="{00000000-0005-0000-0000-000054600000}"/>
    <cellStyle name="Output 6 3 2 2" xfId="3766" xr:uid="{00000000-0005-0000-0000-000055600000}"/>
    <cellStyle name="Output 6 3 2 2 2" xfId="7822" xr:uid="{00000000-0005-0000-0000-000056600000}"/>
    <cellStyle name="Output 6 3 2 2 2 2" xfId="17356" xr:uid="{00000000-0005-0000-0000-000057600000}"/>
    <cellStyle name="Output 6 3 2 2 2 2 2" xfId="32188" xr:uid="{00000000-0005-0000-0000-000058600000}"/>
    <cellStyle name="Output 6 3 2 2 2 3" xfId="19150" xr:uid="{00000000-0005-0000-0000-000059600000}"/>
    <cellStyle name="Output 6 3 2 2 3" xfId="14101" xr:uid="{00000000-0005-0000-0000-00005A600000}"/>
    <cellStyle name="Output 6 3 2 2 3 2" xfId="28933" xr:uid="{00000000-0005-0000-0000-00005B600000}"/>
    <cellStyle name="Output 6 3 2 2 4" xfId="10972" xr:uid="{00000000-0005-0000-0000-00005C600000}"/>
    <cellStyle name="Output 6 3 2 2 4 2" xfId="25804" xr:uid="{00000000-0005-0000-0000-00005D600000}"/>
    <cellStyle name="Output 6 3 2 3" xfId="4996" xr:uid="{00000000-0005-0000-0000-00005E600000}"/>
    <cellStyle name="Output 6 3 2 3 2" xfId="9035" xr:uid="{00000000-0005-0000-0000-00005F600000}"/>
    <cellStyle name="Output 6 3 2 3 2 2" xfId="17973" xr:uid="{00000000-0005-0000-0000-000060600000}"/>
    <cellStyle name="Output 6 3 2 3 2 2 2" xfId="32805" xr:uid="{00000000-0005-0000-0000-000061600000}"/>
    <cellStyle name="Output 6 3 2 3 2 3" xfId="19557" xr:uid="{00000000-0005-0000-0000-000062600000}"/>
    <cellStyle name="Output 6 3 2 3 3" xfId="15318" xr:uid="{00000000-0005-0000-0000-000063600000}"/>
    <cellStyle name="Output 6 3 2 3 3 2" xfId="30150" xr:uid="{00000000-0005-0000-0000-000064600000}"/>
    <cellStyle name="Output 6 3 2 3 4" xfId="11574" xr:uid="{00000000-0005-0000-0000-000065600000}"/>
    <cellStyle name="Output 6 3 2 3 4 2" xfId="26406" xr:uid="{00000000-0005-0000-0000-000066600000}"/>
    <cellStyle name="Output 6 3 2 4" xfId="2986" xr:uid="{00000000-0005-0000-0000-000067600000}"/>
    <cellStyle name="Output 6 3 2 4 2" xfId="7066" xr:uid="{00000000-0005-0000-0000-000068600000}"/>
    <cellStyle name="Output 6 3 2 4 2 2" xfId="16865" xr:uid="{00000000-0005-0000-0000-000069600000}"/>
    <cellStyle name="Output 6 3 2 4 2 2 2" xfId="31697" xr:uid="{00000000-0005-0000-0000-00006A600000}"/>
    <cellStyle name="Output 6 3 2 4 2 3" xfId="18849" xr:uid="{00000000-0005-0000-0000-00006B600000}"/>
    <cellStyle name="Output 6 3 2 4 3" xfId="13324" xr:uid="{00000000-0005-0000-0000-00006C600000}"/>
    <cellStyle name="Output 6 3 2 4 3 2" xfId="28156" xr:uid="{00000000-0005-0000-0000-00006D600000}"/>
    <cellStyle name="Output 6 3 2 4 4" xfId="10520" xr:uid="{00000000-0005-0000-0000-00006E600000}"/>
    <cellStyle name="Output 6 3 2 4 4 2" xfId="25352" xr:uid="{00000000-0005-0000-0000-00006F600000}"/>
    <cellStyle name="Output 6 3 2 5" xfId="6158" xr:uid="{00000000-0005-0000-0000-000070600000}"/>
    <cellStyle name="Output 6 3 2 5 2" xfId="16345" xr:uid="{00000000-0005-0000-0000-000071600000}"/>
    <cellStyle name="Output 6 3 2 5 2 2" xfId="31177" xr:uid="{00000000-0005-0000-0000-000072600000}"/>
    <cellStyle name="Output 6 3 2 5 3" xfId="18490" xr:uid="{00000000-0005-0000-0000-000073600000}"/>
    <cellStyle name="Output 6 3 2 6" xfId="12415" xr:uid="{00000000-0005-0000-0000-000074600000}"/>
    <cellStyle name="Output 6 3 2 6 2" xfId="27247" xr:uid="{00000000-0005-0000-0000-000075600000}"/>
    <cellStyle name="Output 6 3 2 7" xfId="9997" xr:uid="{00000000-0005-0000-0000-000076600000}"/>
    <cellStyle name="Output 6 3 2 7 2" xfId="24829" xr:uid="{00000000-0005-0000-0000-000077600000}"/>
    <cellStyle name="Output 6 3 3" xfId="3176" xr:uid="{00000000-0005-0000-0000-000078600000}"/>
    <cellStyle name="Output 6 3 3 2" xfId="7240" xr:uid="{00000000-0005-0000-0000-000079600000}"/>
    <cellStyle name="Output 6 3 3 2 2" xfId="17014" xr:uid="{00000000-0005-0000-0000-00007A600000}"/>
    <cellStyle name="Output 6 3 3 2 2 2" xfId="31846" xr:uid="{00000000-0005-0000-0000-00007B600000}"/>
    <cellStyle name="Output 6 3 3 2 3" xfId="18952" xr:uid="{00000000-0005-0000-0000-00007C600000}"/>
    <cellStyle name="Output 6 3 3 3" xfId="13514" xr:uid="{00000000-0005-0000-0000-00007D600000}"/>
    <cellStyle name="Output 6 3 3 3 2" xfId="28346" xr:uid="{00000000-0005-0000-0000-00007E600000}"/>
    <cellStyle name="Output 6 3 3 4" xfId="10664" xr:uid="{00000000-0005-0000-0000-00007F600000}"/>
    <cellStyle name="Output 6 3 3 4 2" xfId="25496" xr:uid="{00000000-0005-0000-0000-000080600000}"/>
    <cellStyle name="Output 6 3 4" xfId="4576" xr:uid="{00000000-0005-0000-0000-000081600000}"/>
    <cellStyle name="Output 6 3 4 2" xfId="8615" xr:uid="{00000000-0005-0000-0000-000082600000}"/>
    <cellStyle name="Output 6 3 4 2 2" xfId="17733" xr:uid="{00000000-0005-0000-0000-000083600000}"/>
    <cellStyle name="Output 6 3 4 2 2 2" xfId="32565" xr:uid="{00000000-0005-0000-0000-000084600000}"/>
    <cellStyle name="Output 6 3 4 2 3" xfId="19397" xr:uid="{00000000-0005-0000-0000-000085600000}"/>
    <cellStyle name="Output 6 3 4 3" xfId="14903" xr:uid="{00000000-0005-0000-0000-000086600000}"/>
    <cellStyle name="Output 6 3 4 3 2" xfId="29735" xr:uid="{00000000-0005-0000-0000-000087600000}"/>
    <cellStyle name="Output 6 3 4 4" xfId="11339" xr:uid="{00000000-0005-0000-0000-000088600000}"/>
    <cellStyle name="Output 6 3 4 4 2" xfId="26171" xr:uid="{00000000-0005-0000-0000-000089600000}"/>
    <cellStyle name="Output 6 3 5" xfId="2566" xr:uid="{00000000-0005-0000-0000-00008A600000}"/>
    <cellStyle name="Output 6 3 5 2" xfId="6672" xr:uid="{00000000-0005-0000-0000-00008B600000}"/>
    <cellStyle name="Output 6 3 5 2 2" xfId="16630" xr:uid="{00000000-0005-0000-0000-00008C600000}"/>
    <cellStyle name="Output 6 3 5 2 2 2" xfId="31462" xr:uid="{00000000-0005-0000-0000-00008D600000}"/>
    <cellStyle name="Output 6 3 5 2 3" xfId="18685" xr:uid="{00000000-0005-0000-0000-00008E600000}"/>
    <cellStyle name="Output 6 3 5 3" xfId="12904" xr:uid="{00000000-0005-0000-0000-00008F600000}"/>
    <cellStyle name="Output 6 3 5 3 2" xfId="27736" xr:uid="{00000000-0005-0000-0000-000090600000}"/>
    <cellStyle name="Output 6 3 5 4" xfId="10280" xr:uid="{00000000-0005-0000-0000-000091600000}"/>
    <cellStyle name="Output 6 3 5 4 2" xfId="25112" xr:uid="{00000000-0005-0000-0000-000092600000}"/>
    <cellStyle name="Output 6 3 6" xfId="5689" xr:uid="{00000000-0005-0000-0000-000093600000}"/>
    <cellStyle name="Output 6 3 6 2" xfId="15924" xr:uid="{00000000-0005-0000-0000-000094600000}"/>
    <cellStyle name="Output 6 3 6 2 2" xfId="30756" xr:uid="{00000000-0005-0000-0000-000095600000}"/>
    <cellStyle name="Output 6 3 6 3" xfId="18327" xr:uid="{00000000-0005-0000-0000-000096600000}"/>
    <cellStyle name="Output 6 3 7" xfId="11944" xr:uid="{00000000-0005-0000-0000-000097600000}"/>
    <cellStyle name="Output 6 3 7 2" xfId="26776" xr:uid="{00000000-0005-0000-0000-000098600000}"/>
    <cellStyle name="Output 6 3 8" xfId="9602" xr:uid="{00000000-0005-0000-0000-000099600000}"/>
    <cellStyle name="Output 6 3 8 2" xfId="19904" xr:uid="{00000000-0005-0000-0000-00009A600000}"/>
    <cellStyle name="Output 6 4" xfId="1586" xr:uid="{00000000-0005-0000-0000-00009B600000}"/>
    <cellStyle name="Output 6 4 2" xfId="2083" xr:uid="{00000000-0005-0000-0000-00009C600000}"/>
    <cellStyle name="Output 6 4 2 2" xfId="3757" xr:uid="{00000000-0005-0000-0000-00009D600000}"/>
    <cellStyle name="Output 6 4 2 2 2" xfId="7813" xr:uid="{00000000-0005-0000-0000-00009E600000}"/>
    <cellStyle name="Output 6 4 2 2 2 2" xfId="17349" xr:uid="{00000000-0005-0000-0000-00009F600000}"/>
    <cellStyle name="Output 6 4 2 2 2 2 2" xfId="32181" xr:uid="{00000000-0005-0000-0000-0000A0600000}"/>
    <cellStyle name="Output 6 4 2 2 2 3" xfId="19143" xr:uid="{00000000-0005-0000-0000-0000A1600000}"/>
    <cellStyle name="Output 6 4 2 2 3" xfId="14092" xr:uid="{00000000-0005-0000-0000-0000A2600000}"/>
    <cellStyle name="Output 6 4 2 2 3 2" xfId="28924" xr:uid="{00000000-0005-0000-0000-0000A3600000}"/>
    <cellStyle name="Output 6 4 2 2 4" xfId="10965" xr:uid="{00000000-0005-0000-0000-0000A4600000}"/>
    <cellStyle name="Output 6 4 2 2 4 2" xfId="25797" xr:uid="{00000000-0005-0000-0000-0000A5600000}"/>
    <cellStyle name="Output 6 4 2 3" xfId="5051" xr:uid="{00000000-0005-0000-0000-0000A6600000}"/>
    <cellStyle name="Output 6 4 2 3 2" xfId="9090" xr:uid="{00000000-0005-0000-0000-0000A7600000}"/>
    <cellStyle name="Output 6 4 2 3 2 2" xfId="18023" xr:uid="{00000000-0005-0000-0000-0000A8600000}"/>
    <cellStyle name="Output 6 4 2 3 2 2 2" xfId="32855" xr:uid="{00000000-0005-0000-0000-0000A9600000}"/>
    <cellStyle name="Output 6 4 2 3 2 3" xfId="19589" xr:uid="{00000000-0005-0000-0000-0000AA600000}"/>
    <cellStyle name="Output 6 4 2 3 3" xfId="15372" xr:uid="{00000000-0005-0000-0000-0000AB600000}"/>
    <cellStyle name="Output 6 4 2 3 3 2" xfId="30204" xr:uid="{00000000-0005-0000-0000-0000AC600000}"/>
    <cellStyle name="Output 6 4 2 3 4" xfId="11623" xr:uid="{00000000-0005-0000-0000-0000AD600000}"/>
    <cellStyle name="Output 6 4 2 3 4 2" xfId="26455" xr:uid="{00000000-0005-0000-0000-0000AE600000}"/>
    <cellStyle name="Output 6 4 2 4" xfId="3041" xr:uid="{00000000-0005-0000-0000-0000AF600000}"/>
    <cellStyle name="Output 6 4 2 4 2" xfId="7116" xr:uid="{00000000-0005-0000-0000-0000B0600000}"/>
    <cellStyle name="Output 6 4 2 4 2 2" xfId="16914" xr:uid="{00000000-0005-0000-0000-0000B1600000}"/>
    <cellStyle name="Output 6 4 2 4 2 2 2" xfId="31746" xr:uid="{00000000-0005-0000-0000-0000B2600000}"/>
    <cellStyle name="Output 6 4 2 4 2 3" xfId="18882" xr:uid="{00000000-0005-0000-0000-0000B3600000}"/>
    <cellStyle name="Output 6 4 2 4 3" xfId="13379" xr:uid="{00000000-0005-0000-0000-0000B4600000}"/>
    <cellStyle name="Output 6 4 2 4 3 2" xfId="28211" xr:uid="{00000000-0005-0000-0000-0000B5600000}"/>
    <cellStyle name="Output 6 4 2 4 4" xfId="10570" xr:uid="{00000000-0005-0000-0000-0000B6600000}"/>
    <cellStyle name="Output 6 4 2 4 4 2" xfId="25402" xr:uid="{00000000-0005-0000-0000-0000B7600000}"/>
    <cellStyle name="Output 6 4 2 5" xfId="6208" xr:uid="{00000000-0005-0000-0000-0000B8600000}"/>
    <cellStyle name="Output 6 4 2 5 2" xfId="16394" xr:uid="{00000000-0005-0000-0000-0000B9600000}"/>
    <cellStyle name="Output 6 4 2 5 2 2" xfId="31226" xr:uid="{00000000-0005-0000-0000-0000BA600000}"/>
    <cellStyle name="Output 6 4 2 5 3" xfId="18523" xr:uid="{00000000-0005-0000-0000-0000BB600000}"/>
    <cellStyle name="Output 6 4 2 6" xfId="12464" xr:uid="{00000000-0005-0000-0000-0000BC600000}"/>
    <cellStyle name="Output 6 4 2 6 2" xfId="27296" xr:uid="{00000000-0005-0000-0000-0000BD600000}"/>
    <cellStyle name="Output 6 4 2 7" xfId="10046" xr:uid="{00000000-0005-0000-0000-0000BE600000}"/>
    <cellStyle name="Output 6 4 2 7 2" xfId="24878" xr:uid="{00000000-0005-0000-0000-0000BF600000}"/>
    <cellStyle name="Output 6 4 3" xfId="3955" xr:uid="{00000000-0005-0000-0000-0000C0600000}"/>
    <cellStyle name="Output 6 4 3 2" xfId="8005" xr:uid="{00000000-0005-0000-0000-0000C1600000}"/>
    <cellStyle name="Output 6 4 3 2 2" xfId="17447" xr:uid="{00000000-0005-0000-0000-0000C2600000}"/>
    <cellStyle name="Output 6 4 3 2 2 2" xfId="32279" xr:uid="{00000000-0005-0000-0000-0000C3600000}"/>
    <cellStyle name="Output 6 4 3 2 3" xfId="19213" xr:uid="{00000000-0005-0000-0000-0000C4600000}"/>
    <cellStyle name="Output 6 4 3 3" xfId="14288" xr:uid="{00000000-0005-0000-0000-0000C5600000}"/>
    <cellStyle name="Output 6 4 3 3 2" xfId="29120" xr:uid="{00000000-0005-0000-0000-0000C6600000}"/>
    <cellStyle name="Output 6 4 3 4" xfId="11062" xr:uid="{00000000-0005-0000-0000-0000C7600000}"/>
    <cellStyle name="Output 6 4 3 4 2" xfId="25894" xr:uid="{00000000-0005-0000-0000-0000C8600000}"/>
    <cellStyle name="Output 6 4 4" xfId="4631" xr:uid="{00000000-0005-0000-0000-0000C9600000}"/>
    <cellStyle name="Output 6 4 4 2" xfId="8670" xr:uid="{00000000-0005-0000-0000-0000CA600000}"/>
    <cellStyle name="Output 6 4 4 2 2" xfId="17783" xr:uid="{00000000-0005-0000-0000-0000CB600000}"/>
    <cellStyle name="Output 6 4 4 2 2 2" xfId="32615" xr:uid="{00000000-0005-0000-0000-0000CC600000}"/>
    <cellStyle name="Output 6 4 4 2 3" xfId="19429" xr:uid="{00000000-0005-0000-0000-0000CD600000}"/>
    <cellStyle name="Output 6 4 4 3" xfId="14957" xr:uid="{00000000-0005-0000-0000-0000CE600000}"/>
    <cellStyle name="Output 6 4 4 3 2" xfId="29789" xr:uid="{00000000-0005-0000-0000-0000CF600000}"/>
    <cellStyle name="Output 6 4 4 4" xfId="11388" xr:uid="{00000000-0005-0000-0000-0000D0600000}"/>
    <cellStyle name="Output 6 4 4 4 2" xfId="26220" xr:uid="{00000000-0005-0000-0000-0000D1600000}"/>
    <cellStyle name="Output 6 4 5" xfId="2621" xr:uid="{00000000-0005-0000-0000-0000D2600000}"/>
    <cellStyle name="Output 6 4 5 2" xfId="6722" xr:uid="{00000000-0005-0000-0000-0000D3600000}"/>
    <cellStyle name="Output 6 4 5 2 2" xfId="16679" xr:uid="{00000000-0005-0000-0000-0000D4600000}"/>
    <cellStyle name="Output 6 4 5 2 2 2" xfId="31511" xr:uid="{00000000-0005-0000-0000-0000D5600000}"/>
    <cellStyle name="Output 6 4 5 2 3" xfId="18718" xr:uid="{00000000-0005-0000-0000-0000D6600000}"/>
    <cellStyle name="Output 6 4 5 3" xfId="12959" xr:uid="{00000000-0005-0000-0000-0000D7600000}"/>
    <cellStyle name="Output 6 4 5 3 2" xfId="27791" xr:uid="{00000000-0005-0000-0000-0000D8600000}"/>
    <cellStyle name="Output 6 4 5 4" xfId="10330" xr:uid="{00000000-0005-0000-0000-0000D9600000}"/>
    <cellStyle name="Output 6 4 5 4 2" xfId="25162" xr:uid="{00000000-0005-0000-0000-0000DA600000}"/>
    <cellStyle name="Output 6 4 6" xfId="5738" xr:uid="{00000000-0005-0000-0000-0000DB600000}"/>
    <cellStyle name="Output 6 4 6 2" xfId="15973" xr:uid="{00000000-0005-0000-0000-0000DC600000}"/>
    <cellStyle name="Output 6 4 6 2 2" xfId="30805" xr:uid="{00000000-0005-0000-0000-0000DD600000}"/>
    <cellStyle name="Output 6 4 6 3" xfId="18359" xr:uid="{00000000-0005-0000-0000-0000DE600000}"/>
    <cellStyle name="Output 6 4 7" xfId="11993" xr:uid="{00000000-0005-0000-0000-0000DF600000}"/>
    <cellStyle name="Output 6 4 7 2" xfId="26825" xr:uid="{00000000-0005-0000-0000-0000E0600000}"/>
    <cellStyle name="Output 6 4 8" xfId="9652" xr:uid="{00000000-0005-0000-0000-0000E1600000}"/>
    <cellStyle name="Output 6 4 8 2" xfId="19953" xr:uid="{00000000-0005-0000-0000-0000E2600000}"/>
    <cellStyle name="Output 6 5" xfId="1636" xr:uid="{00000000-0005-0000-0000-0000E3600000}"/>
    <cellStyle name="Output 6 5 2" xfId="2133" xr:uid="{00000000-0005-0000-0000-0000E4600000}"/>
    <cellStyle name="Output 6 5 2 2" xfId="3912" xr:uid="{00000000-0005-0000-0000-0000E5600000}"/>
    <cellStyle name="Output 6 5 2 2 2" xfId="7963" xr:uid="{00000000-0005-0000-0000-0000E6600000}"/>
    <cellStyle name="Output 6 5 2 2 2 2" xfId="17427" xr:uid="{00000000-0005-0000-0000-0000E7600000}"/>
    <cellStyle name="Output 6 5 2 2 2 2 2" xfId="32259" xr:uid="{00000000-0005-0000-0000-0000E8600000}"/>
    <cellStyle name="Output 6 5 2 2 2 3" xfId="19200" xr:uid="{00000000-0005-0000-0000-0000E9600000}"/>
    <cellStyle name="Output 6 5 2 2 3" xfId="14245" xr:uid="{00000000-0005-0000-0000-0000EA600000}"/>
    <cellStyle name="Output 6 5 2 2 3 2" xfId="29077" xr:uid="{00000000-0005-0000-0000-0000EB600000}"/>
    <cellStyle name="Output 6 5 2 2 4" xfId="11043" xr:uid="{00000000-0005-0000-0000-0000EC600000}"/>
    <cellStyle name="Output 6 5 2 2 4 2" xfId="25875" xr:uid="{00000000-0005-0000-0000-0000ED600000}"/>
    <cellStyle name="Output 6 5 2 3" xfId="5101" xr:uid="{00000000-0005-0000-0000-0000EE600000}"/>
    <cellStyle name="Output 6 5 2 3 2" xfId="9140" xr:uid="{00000000-0005-0000-0000-0000EF600000}"/>
    <cellStyle name="Output 6 5 2 3 2 2" xfId="18068" xr:uid="{00000000-0005-0000-0000-0000F0600000}"/>
    <cellStyle name="Output 6 5 2 3 2 2 2" xfId="32900" xr:uid="{00000000-0005-0000-0000-0000F1600000}"/>
    <cellStyle name="Output 6 5 2 3 2 3" xfId="19621" xr:uid="{00000000-0005-0000-0000-0000F2600000}"/>
    <cellStyle name="Output 6 5 2 3 3" xfId="15421" xr:uid="{00000000-0005-0000-0000-0000F3600000}"/>
    <cellStyle name="Output 6 5 2 3 3 2" xfId="30253" xr:uid="{00000000-0005-0000-0000-0000F4600000}"/>
    <cellStyle name="Output 6 5 2 3 4" xfId="11667" xr:uid="{00000000-0005-0000-0000-0000F5600000}"/>
    <cellStyle name="Output 6 5 2 3 4 2" xfId="26499" xr:uid="{00000000-0005-0000-0000-0000F6600000}"/>
    <cellStyle name="Output 6 5 2 4" xfId="3091" xr:uid="{00000000-0005-0000-0000-0000F7600000}"/>
    <cellStyle name="Output 6 5 2 4 2" xfId="7161" xr:uid="{00000000-0005-0000-0000-0000F8600000}"/>
    <cellStyle name="Output 6 5 2 4 2 2" xfId="16958" xr:uid="{00000000-0005-0000-0000-0000F9600000}"/>
    <cellStyle name="Output 6 5 2 4 2 2 2" xfId="31790" xr:uid="{00000000-0005-0000-0000-0000FA600000}"/>
    <cellStyle name="Output 6 5 2 4 2 3" xfId="18915" xr:uid="{00000000-0005-0000-0000-0000FB600000}"/>
    <cellStyle name="Output 6 5 2 4 3" xfId="13429" xr:uid="{00000000-0005-0000-0000-0000FC600000}"/>
    <cellStyle name="Output 6 5 2 4 3 2" xfId="28261" xr:uid="{00000000-0005-0000-0000-0000FD600000}"/>
    <cellStyle name="Output 6 5 2 4 4" xfId="10615" xr:uid="{00000000-0005-0000-0000-0000FE600000}"/>
    <cellStyle name="Output 6 5 2 4 4 2" xfId="25447" xr:uid="{00000000-0005-0000-0000-0000FF600000}"/>
    <cellStyle name="Output 6 5 2 5" xfId="6253" xr:uid="{00000000-0005-0000-0000-000000610000}"/>
    <cellStyle name="Output 6 5 2 5 2" xfId="16438" xr:uid="{00000000-0005-0000-0000-000001610000}"/>
    <cellStyle name="Output 6 5 2 5 2 2" xfId="31270" xr:uid="{00000000-0005-0000-0000-000002610000}"/>
    <cellStyle name="Output 6 5 2 5 3" xfId="18556" xr:uid="{00000000-0005-0000-0000-000003610000}"/>
    <cellStyle name="Output 6 5 2 6" xfId="12508" xr:uid="{00000000-0005-0000-0000-000004610000}"/>
    <cellStyle name="Output 6 5 2 6 2" xfId="27340" xr:uid="{00000000-0005-0000-0000-000005610000}"/>
    <cellStyle name="Output 6 5 2 7" xfId="10090" xr:uid="{00000000-0005-0000-0000-000006610000}"/>
    <cellStyle name="Output 6 5 2 7 2" xfId="24922" xr:uid="{00000000-0005-0000-0000-000007610000}"/>
    <cellStyle name="Output 6 5 3" xfId="3688" xr:uid="{00000000-0005-0000-0000-000008610000}"/>
    <cellStyle name="Output 6 5 3 2" xfId="7745" xr:uid="{00000000-0005-0000-0000-000009610000}"/>
    <cellStyle name="Output 6 5 3 2 2" xfId="17316" xr:uid="{00000000-0005-0000-0000-00000A610000}"/>
    <cellStyle name="Output 6 5 3 2 2 2" xfId="32148" xr:uid="{00000000-0005-0000-0000-00000B610000}"/>
    <cellStyle name="Output 6 5 3 2 3" xfId="19123" xr:uid="{00000000-0005-0000-0000-00000C610000}"/>
    <cellStyle name="Output 6 5 3 3" xfId="14023" xr:uid="{00000000-0005-0000-0000-00000D610000}"/>
    <cellStyle name="Output 6 5 3 3 2" xfId="28855" xr:uid="{00000000-0005-0000-0000-00000E610000}"/>
    <cellStyle name="Output 6 5 3 4" xfId="10933" xr:uid="{00000000-0005-0000-0000-00000F610000}"/>
    <cellStyle name="Output 6 5 3 4 2" xfId="25765" xr:uid="{00000000-0005-0000-0000-000010610000}"/>
    <cellStyle name="Output 6 5 4" xfId="4681" xr:uid="{00000000-0005-0000-0000-000011610000}"/>
    <cellStyle name="Output 6 5 4 2" xfId="8720" xr:uid="{00000000-0005-0000-0000-000012610000}"/>
    <cellStyle name="Output 6 5 4 2 2" xfId="17828" xr:uid="{00000000-0005-0000-0000-000013610000}"/>
    <cellStyle name="Output 6 5 4 2 2 2" xfId="32660" xr:uid="{00000000-0005-0000-0000-000014610000}"/>
    <cellStyle name="Output 6 5 4 2 3" xfId="19461" xr:uid="{00000000-0005-0000-0000-000015610000}"/>
    <cellStyle name="Output 6 5 4 3" xfId="15006" xr:uid="{00000000-0005-0000-0000-000016610000}"/>
    <cellStyle name="Output 6 5 4 3 2" xfId="29838" xr:uid="{00000000-0005-0000-0000-000017610000}"/>
    <cellStyle name="Output 6 5 4 4" xfId="11432" xr:uid="{00000000-0005-0000-0000-000018610000}"/>
    <cellStyle name="Output 6 5 4 4 2" xfId="26264" xr:uid="{00000000-0005-0000-0000-000019610000}"/>
    <cellStyle name="Output 6 5 5" xfId="2671" xr:uid="{00000000-0005-0000-0000-00001A610000}"/>
    <cellStyle name="Output 6 5 5 2" xfId="6767" xr:uid="{00000000-0005-0000-0000-00001B610000}"/>
    <cellStyle name="Output 6 5 5 2 2" xfId="16723" xr:uid="{00000000-0005-0000-0000-00001C610000}"/>
    <cellStyle name="Output 6 5 5 2 2 2" xfId="31555" xr:uid="{00000000-0005-0000-0000-00001D610000}"/>
    <cellStyle name="Output 6 5 5 2 3" xfId="18751" xr:uid="{00000000-0005-0000-0000-00001E610000}"/>
    <cellStyle name="Output 6 5 5 3" xfId="13009" xr:uid="{00000000-0005-0000-0000-00001F610000}"/>
    <cellStyle name="Output 6 5 5 3 2" xfId="27841" xr:uid="{00000000-0005-0000-0000-000020610000}"/>
    <cellStyle name="Output 6 5 5 4" xfId="10375" xr:uid="{00000000-0005-0000-0000-000021610000}"/>
    <cellStyle name="Output 6 5 5 4 2" xfId="25207" xr:uid="{00000000-0005-0000-0000-000022610000}"/>
    <cellStyle name="Output 6 5 6" xfId="5783" xr:uid="{00000000-0005-0000-0000-000023610000}"/>
    <cellStyle name="Output 6 5 6 2" xfId="16017" xr:uid="{00000000-0005-0000-0000-000024610000}"/>
    <cellStyle name="Output 6 5 6 2 2" xfId="30849" xr:uid="{00000000-0005-0000-0000-000025610000}"/>
    <cellStyle name="Output 6 5 6 3" xfId="18392" xr:uid="{00000000-0005-0000-0000-000026610000}"/>
    <cellStyle name="Output 6 5 7" xfId="12037" xr:uid="{00000000-0005-0000-0000-000027610000}"/>
    <cellStyle name="Output 6 5 7 2" xfId="26869" xr:uid="{00000000-0005-0000-0000-000028610000}"/>
    <cellStyle name="Output 6 5 8" xfId="9697" xr:uid="{00000000-0005-0000-0000-000029610000}"/>
    <cellStyle name="Output 6 5 8 2" xfId="19997" xr:uid="{00000000-0005-0000-0000-00002A610000}"/>
    <cellStyle name="Output 6 6" xfId="1787" xr:uid="{00000000-0005-0000-0000-00002B610000}"/>
    <cellStyle name="Output 6 6 2" xfId="3637" xr:uid="{00000000-0005-0000-0000-00002C610000}"/>
    <cellStyle name="Output 6 6 2 2" xfId="7696" xr:uid="{00000000-0005-0000-0000-00002D610000}"/>
    <cellStyle name="Output 6 6 2 2 2" xfId="17295" xr:uid="{00000000-0005-0000-0000-00002E610000}"/>
    <cellStyle name="Output 6 6 2 2 2 2" xfId="32127" xr:uid="{00000000-0005-0000-0000-00002F610000}"/>
    <cellStyle name="Output 6 6 2 2 3" xfId="19108" xr:uid="{00000000-0005-0000-0000-000030610000}"/>
    <cellStyle name="Output 6 6 2 3" xfId="13972" xr:uid="{00000000-0005-0000-0000-000031610000}"/>
    <cellStyle name="Output 6 6 2 3 2" xfId="28804" xr:uid="{00000000-0005-0000-0000-000032610000}"/>
    <cellStyle name="Output 6 6 2 4" xfId="10911" xr:uid="{00000000-0005-0000-0000-000033610000}"/>
    <cellStyle name="Output 6 6 2 4 2" xfId="25743" xr:uid="{00000000-0005-0000-0000-000034610000}"/>
    <cellStyle name="Output 6 6 3" xfId="4765" xr:uid="{00000000-0005-0000-0000-000035610000}"/>
    <cellStyle name="Output 6 6 3 2" xfId="8804" xr:uid="{00000000-0005-0000-0000-000036610000}"/>
    <cellStyle name="Output 6 6 3 2 2" xfId="17876" xr:uid="{00000000-0005-0000-0000-000037610000}"/>
    <cellStyle name="Output 6 6 3 2 2 2" xfId="32708" xr:uid="{00000000-0005-0000-0000-000038610000}"/>
    <cellStyle name="Output 6 6 3 2 3" xfId="19493" xr:uid="{00000000-0005-0000-0000-000039610000}"/>
    <cellStyle name="Output 6 6 3 3" xfId="15089" xr:uid="{00000000-0005-0000-0000-00003A610000}"/>
    <cellStyle name="Output 6 6 3 3 2" xfId="29921" xr:uid="{00000000-0005-0000-0000-00003B610000}"/>
    <cellStyle name="Output 6 6 3 4" xfId="11479" xr:uid="{00000000-0005-0000-0000-00003C610000}"/>
    <cellStyle name="Output 6 6 3 4 2" xfId="26311" xr:uid="{00000000-0005-0000-0000-00003D610000}"/>
    <cellStyle name="Output 6 6 4" xfId="2755" xr:uid="{00000000-0005-0000-0000-00003E610000}"/>
    <cellStyle name="Output 6 6 4 2" xfId="6846" xr:uid="{00000000-0005-0000-0000-00003F610000}"/>
    <cellStyle name="Output 6 6 4 2 2" xfId="16770" xr:uid="{00000000-0005-0000-0000-000040610000}"/>
    <cellStyle name="Output 6 6 4 2 2 2" xfId="31602" xr:uid="{00000000-0005-0000-0000-000041610000}"/>
    <cellStyle name="Output 6 6 4 2 3" xfId="18784" xr:uid="{00000000-0005-0000-0000-000042610000}"/>
    <cellStyle name="Output 6 6 4 3" xfId="13093" xr:uid="{00000000-0005-0000-0000-000043610000}"/>
    <cellStyle name="Output 6 6 4 3 2" xfId="27925" xr:uid="{00000000-0005-0000-0000-000044610000}"/>
    <cellStyle name="Output 6 6 4 4" xfId="10423" xr:uid="{00000000-0005-0000-0000-000045610000}"/>
    <cellStyle name="Output 6 6 4 4 2" xfId="25255" xr:uid="{00000000-0005-0000-0000-000046610000}"/>
    <cellStyle name="Output 6 6 5" xfId="5919" xr:uid="{00000000-0005-0000-0000-000047610000}"/>
    <cellStyle name="Output 6 6 5 2" xfId="16111" xr:uid="{00000000-0005-0000-0000-000048610000}"/>
    <cellStyle name="Output 6 6 5 2 2" xfId="30943" xr:uid="{00000000-0005-0000-0000-000049610000}"/>
    <cellStyle name="Output 6 6 5 3" xfId="18426" xr:uid="{00000000-0005-0000-0000-00004A610000}"/>
    <cellStyle name="Output 6 6 6" xfId="12181" xr:uid="{00000000-0005-0000-0000-00004B610000}"/>
    <cellStyle name="Output 6 6 6 2" xfId="27013" xr:uid="{00000000-0005-0000-0000-00004C610000}"/>
    <cellStyle name="Output 6 6 7" xfId="9777" xr:uid="{00000000-0005-0000-0000-00004D610000}"/>
    <cellStyle name="Output 6 6 7 2" xfId="24734" xr:uid="{00000000-0005-0000-0000-00004E610000}"/>
    <cellStyle name="Output 6 7" xfId="2179" xr:uid="{00000000-0005-0000-0000-00004F610000}"/>
    <cellStyle name="Output 6 7 2" xfId="3974" xr:uid="{00000000-0005-0000-0000-000050610000}"/>
    <cellStyle name="Output 6 7 2 2" xfId="8023" xr:uid="{00000000-0005-0000-0000-000051610000}"/>
    <cellStyle name="Output 6 7 2 2 2" xfId="17455" xr:uid="{00000000-0005-0000-0000-000052610000}"/>
    <cellStyle name="Output 6 7 2 2 2 2" xfId="32287" xr:uid="{00000000-0005-0000-0000-000053610000}"/>
    <cellStyle name="Output 6 7 2 2 3" xfId="19219" xr:uid="{00000000-0005-0000-0000-000054610000}"/>
    <cellStyle name="Output 6 7 2 3" xfId="14307" xr:uid="{00000000-0005-0000-0000-000055610000}"/>
    <cellStyle name="Output 6 7 2 3 2" xfId="29139" xr:uid="{00000000-0005-0000-0000-000056610000}"/>
    <cellStyle name="Output 6 7 2 4" xfId="11071" xr:uid="{00000000-0005-0000-0000-000057610000}"/>
    <cellStyle name="Output 6 7 2 4 2" xfId="25903" xr:uid="{00000000-0005-0000-0000-000058610000}"/>
    <cellStyle name="Output 6 7 3" xfId="5147" xr:uid="{00000000-0005-0000-0000-000059610000}"/>
    <cellStyle name="Output 6 7 3 2" xfId="9186" xr:uid="{00000000-0005-0000-0000-00005A610000}"/>
    <cellStyle name="Output 6 7 3 2 2" xfId="18109" xr:uid="{00000000-0005-0000-0000-00005B610000}"/>
    <cellStyle name="Output 6 7 3 2 2 2" xfId="32941" xr:uid="{00000000-0005-0000-0000-00005C610000}"/>
    <cellStyle name="Output 6 7 3 2 3" xfId="19660" xr:uid="{00000000-0005-0000-0000-00005D610000}"/>
    <cellStyle name="Output 6 7 3 3" xfId="15465" xr:uid="{00000000-0005-0000-0000-00005E610000}"/>
    <cellStyle name="Output 6 7 3 3 2" xfId="30297" xr:uid="{00000000-0005-0000-0000-00005F610000}"/>
    <cellStyle name="Output 6 7 3 4" xfId="11706" xr:uid="{00000000-0005-0000-0000-000060610000}"/>
    <cellStyle name="Output 6 7 3 4 2" xfId="26538" xr:uid="{00000000-0005-0000-0000-000061610000}"/>
    <cellStyle name="Output 6 7 4" xfId="4177" xr:uid="{00000000-0005-0000-0000-000062610000}"/>
    <cellStyle name="Output 6 7 4 2" xfId="8218" xr:uid="{00000000-0005-0000-0000-000063610000}"/>
    <cellStyle name="Output 6 7 4 2 2" xfId="17565" xr:uid="{00000000-0005-0000-0000-000064610000}"/>
    <cellStyle name="Output 6 7 4 2 2 2" xfId="32397" xr:uid="{00000000-0005-0000-0000-000065610000}"/>
    <cellStyle name="Output 6 7 4 2 3" xfId="19303" xr:uid="{00000000-0005-0000-0000-000066610000}"/>
    <cellStyle name="Output 6 7 4 3" xfId="14509" xr:uid="{00000000-0005-0000-0000-000067610000}"/>
    <cellStyle name="Output 6 7 4 3 2" xfId="29341" xr:uid="{00000000-0005-0000-0000-000068610000}"/>
    <cellStyle name="Output 6 7 4 4" xfId="11185" xr:uid="{00000000-0005-0000-0000-000069610000}"/>
    <cellStyle name="Output 6 7 4 4 2" xfId="26017" xr:uid="{00000000-0005-0000-0000-00006A610000}"/>
    <cellStyle name="Output 6 7 5" xfId="6293" xr:uid="{00000000-0005-0000-0000-00006B610000}"/>
    <cellStyle name="Output 6 7 5 2" xfId="16477" xr:uid="{00000000-0005-0000-0000-00006C610000}"/>
    <cellStyle name="Output 6 7 5 2 2" xfId="31309" xr:uid="{00000000-0005-0000-0000-00006D610000}"/>
    <cellStyle name="Output 6 7 5 3" xfId="18596" xr:uid="{00000000-0005-0000-0000-00006E610000}"/>
    <cellStyle name="Output 6 7 6" xfId="12547" xr:uid="{00000000-0005-0000-0000-00006F610000}"/>
    <cellStyle name="Output 6 7 6 2" xfId="27379" xr:uid="{00000000-0005-0000-0000-000070610000}"/>
    <cellStyle name="Output 6 7 7" xfId="10129" xr:uid="{00000000-0005-0000-0000-000071610000}"/>
    <cellStyle name="Output 6 7 7 2" xfId="24961" xr:uid="{00000000-0005-0000-0000-000072610000}"/>
    <cellStyle name="Output 6 8" xfId="3751" xr:uid="{00000000-0005-0000-0000-000073610000}"/>
    <cellStyle name="Output 6 8 2" xfId="7807" xr:uid="{00000000-0005-0000-0000-000074610000}"/>
    <cellStyle name="Output 6 8 2 2" xfId="17347" xr:uid="{00000000-0005-0000-0000-000075610000}"/>
    <cellStyle name="Output 6 8 2 2 2" xfId="32179" xr:uid="{00000000-0005-0000-0000-000076610000}"/>
    <cellStyle name="Output 6 8 2 3" xfId="19141" xr:uid="{00000000-0005-0000-0000-000077610000}"/>
    <cellStyle name="Output 6 8 3" xfId="14086" xr:uid="{00000000-0005-0000-0000-000078610000}"/>
    <cellStyle name="Output 6 8 3 2" xfId="28918" xr:uid="{00000000-0005-0000-0000-000079610000}"/>
    <cellStyle name="Output 6 8 4" xfId="10963" xr:uid="{00000000-0005-0000-0000-00007A610000}"/>
    <cellStyle name="Output 6 8 4 2" xfId="25795" xr:uid="{00000000-0005-0000-0000-00007B610000}"/>
    <cellStyle name="Output 6 9" xfId="3306" xr:uid="{00000000-0005-0000-0000-00007C610000}"/>
    <cellStyle name="Output 6 9 2" xfId="7370" xr:uid="{00000000-0005-0000-0000-00007D610000}"/>
    <cellStyle name="Output 6 9 2 2" xfId="17107" xr:uid="{00000000-0005-0000-0000-00007E610000}"/>
    <cellStyle name="Output 6 9 2 2 2" xfId="31939" xr:uid="{00000000-0005-0000-0000-00007F610000}"/>
    <cellStyle name="Output 6 9 2 3" xfId="18991" xr:uid="{00000000-0005-0000-0000-000080610000}"/>
    <cellStyle name="Output 6 9 3" xfId="13643" xr:uid="{00000000-0005-0000-0000-000081610000}"/>
    <cellStyle name="Output 6 9 3 2" xfId="28475" xr:uid="{00000000-0005-0000-0000-000082610000}"/>
    <cellStyle name="Output 6 9 4" xfId="10731" xr:uid="{00000000-0005-0000-0000-000083610000}"/>
    <cellStyle name="Output 6 9 4 2" xfId="25563" xr:uid="{00000000-0005-0000-0000-000084610000}"/>
    <cellStyle name="Output 7" xfId="1243" xr:uid="{00000000-0005-0000-0000-000085610000}"/>
    <cellStyle name="Output 7 10" xfId="2329" xr:uid="{00000000-0005-0000-0000-000086610000}"/>
    <cellStyle name="Output 7 10 2" xfId="6441" xr:uid="{00000000-0005-0000-0000-000087610000}"/>
    <cellStyle name="Output 7 10 2 2" xfId="16534" xr:uid="{00000000-0005-0000-0000-000088610000}"/>
    <cellStyle name="Output 7 10 2 2 2" xfId="31366" xr:uid="{00000000-0005-0000-0000-000089610000}"/>
    <cellStyle name="Output 7 10 2 3" xfId="18622" xr:uid="{00000000-0005-0000-0000-00008A610000}"/>
    <cellStyle name="Output 7 10 3" xfId="12669" xr:uid="{00000000-0005-0000-0000-00008B610000}"/>
    <cellStyle name="Output 7 10 3 2" xfId="27501" xr:uid="{00000000-0005-0000-0000-00008C610000}"/>
    <cellStyle name="Output 7 10 4" xfId="10185" xr:uid="{00000000-0005-0000-0000-00008D610000}"/>
    <cellStyle name="Output 7 10 4 2" xfId="25017" xr:uid="{00000000-0005-0000-0000-00008E610000}"/>
    <cellStyle name="Output 7 11" xfId="5292" xr:uid="{00000000-0005-0000-0000-00008F610000}"/>
    <cellStyle name="Output 7 11 2" xfId="9300" xr:uid="{00000000-0005-0000-0000-000090610000}"/>
    <cellStyle name="Output 7 11 2 2" xfId="18167" xr:uid="{00000000-0005-0000-0000-000091610000}"/>
    <cellStyle name="Output 7 11 2 2 2" xfId="32999" xr:uid="{00000000-0005-0000-0000-000092610000}"/>
    <cellStyle name="Output 7 11 2 3" xfId="19686" xr:uid="{00000000-0005-0000-0000-000093610000}"/>
    <cellStyle name="Output 7 11 3" xfId="15608" xr:uid="{00000000-0005-0000-0000-000094610000}"/>
    <cellStyle name="Output 7 11 3 2" xfId="30440" xr:uid="{00000000-0005-0000-0000-000095610000}"/>
    <cellStyle name="Output 7 12" xfId="5450" xr:uid="{00000000-0005-0000-0000-000096610000}"/>
    <cellStyle name="Output 7 12 2" xfId="15686" xr:uid="{00000000-0005-0000-0000-000097610000}"/>
    <cellStyle name="Output 7 12 2 2" xfId="30518" xr:uid="{00000000-0005-0000-0000-000098610000}"/>
    <cellStyle name="Output 7 12 3" xfId="18263" xr:uid="{00000000-0005-0000-0000-000099610000}"/>
    <cellStyle name="Output 7 13" xfId="9341" xr:uid="{00000000-0005-0000-0000-00009A610000}"/>
    <cellStyle name="Output 7 13 2" xfId="24647" xr:uid="{00000000-0005-0000-0000-00009B610000}"/>
    <cellStyle name="Output 7 14" xfId="5330" xr:uid="{00000000-0005-0000-0000-00009C610000}"/>
    <cellStyle name="Output 7 14 2" xfId="18204" xr:uid="{00000000-0005-0000-0000-00009D610000}"/>
    <cellStyle name="Output 7 2" xfId="1362" xr:uid="{00000000-0005-0000-0000-00009E610000}"/>
    <cellStyle name="Output 7 2 2" xfId="1866" xr:uid="{00000000-0005-0000-0000-00009F610000}"/>
    <cellStyle name="Output 7 2 2 2" xfId="4046" xr:uid="{00000000-0005-0000-0000-0000A0610000}"/>
    <cellStyle name="Output 7 2 2 2 2" xfId="8093" xr:uid="{00000000-0005-0000-0000-0000A1610000}"/>
    <cellStyle name="Output 7 2 2 2 2 2" xfId="17490" xr:uid="{00000000-0005-0000-0000-0000A2610000}"/>
    <cellStyle name="Output 7 2 2 2 2 2 2" xfId="32322" xr:uid="{00000000-0005-0000-0000-0000A3610000}"/>
    <cellStyle name="Output 7 2 2 2 2 3" xfId="19246" xr:uid="{00000000-0005-0000-0000-0000A4610000}"/>
    <cellStyle name="Output 7 2 2 2 3" xfId="14378" xr:uid="{00000000-0005-0000-0000-0000A5610000}"/>
    <cellStyle name="Output 7 2 2 2 3 2" xfId="29210" xr:uid="{00000000-0005-0000-0000-0000A6610000}"/>
    <cellStyle name="Output 7 2 2 2 4" xfId="11106" xr:uid="{00000000-0005-0000-0000-0000A7610000}"/>
    <cellStyle name="Output 7 2 2 2 4 2" xfId="25938" xr:uid="{00000000-0005-0000-0000-0000A8610000}"/>
    <cellStyle name="Output 7 2 2 3" xfId="4844" xr:uid="{00000000-0005-0000-0000-0000A9610000}"/>
    <cellStyle name="Output 7 2 2 3 2" xfId="8883" xr:uid="{00000000-0005-0000-0000-0000AA610000}"/>
    <cellStyle name="Output 7 2 2 3 2 2" xfId="17924" xr:uid="{00000000-0005-0000-0000-0000AB610000}"/>
    <cellStyle name="Output 7 2 2 3 2 2 2" xfId="32756" xr:uid="{00000000-0005-0000-0000-0000AC610000}"/>
    <cellStyle name="Output 7 2 2 3 2 3" xfId="19526" xr:uid="{00000000-0005-0000-0000-0000AD610000}"/>
    <cellStyle name="Output 7 2 2 3 3" xfId="15168" xr:uid="{00000000-0005-0000-0000-0000AE610000}"/>
    <cellStyle name="Output 7 2 2 3 3 2" xfId="30000" xr:uid="{00000000-0005-0000-0000-0000AF610000}"/>
    <cellStyle name="Output 7 2 2 3 4" xfId="11527" xr:uid="{00000000-0005-0000-0000-0000B0610000}"/>
    <cellStyle name="Output 7 2 2 3 4 2" xfId="26359" xr:uid="{00000000-0005-0000-0000-0000B1610000}"/>
    <cellStyle name="Output 7 2 2 4" xfId="2834" xr:uid="{00000000-0005-0000-0000-0000B2610000}"/>
    <cellStyle name="Output 7 2 2 4 2" xfId="6925" xr:uid="{00000000-0005-0000-0000-0000B3610000}"/>
    <cellStyle name="Output 7 2 2 4 2 2" xfId="16818" xr:uid="{00000000-0005-0000-0000-0000B4610000}"/>
    <cellStyle name="Output 7 2 2 4 2 2 2" xfId="31650" xr:uid="{00000000-0005-0000-0000-0000B5610000}"/>
    <cellStyle name="Output 7 2 2 4 2 3" xfId="18817" xr:uid="{00000000-0005-0000-0000-0000B6610000}"/>
    <cellStyle name="Output 7 2 2 4 3" xfId="13172" xr:uid="{00000000-0005-0000-0000-0000B7610000}"/>
    <cellStyle name="Output 7 2 2 4 3 2" xfId="28004" xr:uid="{00000000-0005-0000-0000-0000B8610000}"/>
    <cellStyle name="Output 7 2 2 4 4" xfId="10471" xr:uid="{00000000-0005-0000-0000-0000B9610000}"/>
    <cellStyle name="Output 7 2 2 4 4 2" xfId="25303" xr:uid="{00000000-0005-0000-0000-0000BA610000}"/>
    <cellStyle name="Output 7 2 2 5" xfId="5998" xr:uid="{00000000-0005-0000-0000-0000BB610000}"/>
    <cellStyle name="Output 7 2 2 5 2" xfId="16190" xr:uid="{00000000-0005-0000-0000-0000BC610000}"/>
    <cellStyle name="Output 7 2 2 5 2 2" xfId="31022" xr:uid="{00000000-0005-0000-0000-0000BD610000}"/>
    <cellStyle name="Output 7 2 2 5 3" xfId="18459" xr:uid="{00000000-0005-0000-0000-0000BE610000}"/>
    <cellStyle name="Output 7 2 2 6" xfId="12260" xr:uid="{00000000-0005-0000-0000-0000BF610000}"/>
    <cellStyle name="Output 7 2 2 6 2" xfId="27092" xr:uid="{00000000-0005-0000-0000-0000C0610000}"/>
    <cellStyle name="Output 7 2 2 7" xfId="9856" xr:uid="{00000000-0005-0000-0000-0000C1610000}"/>
    <cellStyle name="Output 7 2 2 7 2" xfId="24782" xr:uid="{00000000-0005-0000-0000-0000C2610000}"/>
    <cellStyle name="Output 7 2 3" xfId="3554" xr:uid="{00000000-0005-0000-0000-0000C3610000}"/>
    <cellStyle name="Output 7 2 3 2" xfId="7616" xr:uid="{00000000-0005-0000-0000-0000C4610000}"/>
    <cellStyle name="Output 7 2 3 2 2" xfId="17254" xr:uid="{00000000-0005-0000-0000-0000C5610000}"/>
    <cellStyle name="Output 7 2 3 2 2 2" xfId="32086" xr:uid="{00000000-0005-0000-0000-0000C6610000}"/>
    <cellStyle name="Output 7 2 3 2 3" xfId="19077" xr:uid="{00000000-0005-0000-0000-0000C7610000}"/>
    <cellStyle name="Output 7 2 3 3" xfId="13890" xr:uid="{00000000-0005-0000-0000-0000C8610000}"/>
    <cellStyle name="Output 7 2 3 3 2" xfId="28722" xr:uid="{00000000-0005-0000-0000-0000C9610000}"/>
    <cellStyle name="Output 7 2 3 4" xfId="10871" xr:uid="{00000000-0005-0000-0000-0000CA610000}"/>
    <cellStyle name="Output 7 2 3 4 2" xfId="25703" xr:uid="{00000000-0005-0000-0000-0000CB610000}"/>
    <cellStyle name="Output 7 2 4" xfId="4424" xr:uid="{00000000-0005-0000-0000-0000CC610000}"/>
    <cellStyle name="Output 7 2 4 2" xfId="8463" xr:uid="{00000000-0005-0000-0000-0000CD610000}"/>
    <cellStyle name="Output 7 2 4 2 2" xfId="17684" xr:uid="{00000000-0005-0000-0000-0000CE610000}"/>
    <cellStyle name="Output 7 2 4 2 2 2" xfId="32516" xr:uid="{00000000-0005-0000-0000-0000CF610000}"/>
    <cellStyle name="Output 7 2 4 2 3" xfId="19366" xr:uid="{00000000-0005-0000-0000-0000D0610000}"/>
    <cellStyle name="Output 7 2 4 3" xfId="14753" xr:uid="{00000000-0005-0000-0000-0000D1610000}"/>
    <cellStyle name="Output 7 2 4 3 2" xfId="29585" xr:uid="{00000000-0005-0000-0000-0000D2610000}"/>
    <cellStyle name="Output 7 2 4 4" xfId="11292" xr:uid="{00000000-0005-0000-0000-0000D3610000}"/>
    <cellStyle name="Output 7 2 4 4 2" xfId="26124" xr:uid="{00000000-0005-0000-0000-0000D4610000}"/>
    <cellStyle name="Output 7 2 5" xfId="2414" xr:uid="{00000000-0005-0000-0000-0000D5610000}"/>
    <cellStyle name="Output 7 2 5 2" xfId="6526" xr:uid="{00000000-0005-0000-0000-0000D6610000}"/>
    <cellStyle name="Output 7 2 5 2 2" xfId="16582" xr:uid="{00000000-0005-0000-0000-0000D7610000}"/>
    <cellStyle name="Output 7 2 5 2 2 2" xfId="31414" xr:uid="{00000000-0005-0000-0000-0000D8610000}"/>
    <cellStyle name="Output 7 2 5 2 3" xfId="18654" xr:uid="{00000000-0005-0000-0000-0000D9610000}"/>
    <cellStyle name="Output 7 2 5 3" xfId="12753" xr:uid="{00000000-0005-0000-0000-0000DA610000}"/>
    <cellStyle name="Output 7 2 5 3 2" xfId="27585" xr:uid="{00000000-0005-0000-0000-0000DB610000}"/>
    <cellStyle name="Output 7 2 5 4" xfId="10232" xr:uid="{00000000-0005-0000-0000-0000DC610000}"/>
    <cellStyle name="Output 7 2 5 4 2" xfId="25064" xr:uid="{00000000-0005-0000-0000-0000DD610000}"/>
    <cellStyle name="Output 7 2 6" xfId="5539" xr:uid="{00000000-0005-0000-0000-0000DE610000}"/>
    <cellStyle name="Output 7 2 6 2" xfId="15774" xr:uid="{00000000-0005-0000-0000-0000DF610000}"/>
    <cellStyle name="Output 7 2 6 2 2" xfId="30606" xr:uid="{00000000-0005-0000-0000-0000E0610000}"/>
    <cellStyle name="Output 7 2 6 3" xfId="18296" xr:uid="{00000000-0005-0000-0000-0000E1610000}"/>
    <cellStyle name="Output 7 2 7" xfId="11789" xr:uid="{00000000-0005-0000-0000-0000E2610000}"/>
    <cellStyle name="Output 7 2 7 2" xfId="26621" xr:uid="{00000000-0005-0000-0000-0000E3610000}"/>
    <cellStyle name="Output 7 2 8" xfId="9460" xr:uid="{00000000-0005-0000-0000-0000E4610000}"/>
    <cellStyle name="Output 7 2 8 2" xfId="19764" xr:uid="{00000000-0005-0000-0000-0000E5610000}"/>
    <cellStyle name="Output 7 3" xfId="1532" xr:uid="{00000000-0005-0000-0000-0000E6610000}"/>
    <cellStyle name="Output 7 3 2" xfId="2029" xr:uid="{00000000-0005-0000-0000-0000E7610000}"/>
    <cellStyle name="Output 7 3 2 2" xfId="3639" xr:uid="{00000000-0005-0000-0000-0000E8610000}"/>
    <cellStyle name="Output 7 3 2 2 2" xfId="7698" xr:uid="{00000000-0005-0000-0000-0000E9610000}"/>
    <cellStyle name="Output 7 3 2 2 2 2" xfId="17296" xr:uid="{00000000-0005-0000-0000-0000EA610000}"/>
    <cellStyle name="Output 7 3 2 2 2 2 2" xfId="32128" xr:uid="{00000000-0005-0000-0000-0000EB610000}"/>
    <cellStyle name="Output 7 3 2 2 2 3" xfId="19110" xr:uid="{00000000-0005-0000-0000-0000EC610000}"/>
    <cellStyle name="Output 7 3 2 2 3" xfId="13974" xr:uid="{00000000-0005-0000-0000-0000ED610000}"/>
    <cellStyle name="Output 7 3 2 2 3 2" xfId="28806" xr:uid="{00000000-0005-0000-0000-0000EE610000}"/>
    <cellStyle name="Output 7 3 2 2 4" xfId="10912" xr:uid="{00000000-0005-0000-0000-0000EF610000}"/>
    <cellStyle name="Output 7 3 2 2 4 2" xfId="25744" xr:uid="{00000000-0005-0000-0000-0000F0610000}"/>
    <cellStyle name="Output 7 3 2 3" xfId="4997" xr:uid="{00000000-0005-0000-0000-0000F1610000}"/>
    <cellStyle name="Output 7 3 2 3 2" xfId="9036" xr:uid="{00000000-0005-0000-0000-0000F2610000}"/>
    <cellStyle name="Output 7 3 2 3 2 2" xfId="17974" xr:uid="{00000000-0005-0000-0000-0000F3610000}"/>
    <cellStyle name="Output 7 3 2 3 2 2 2" xfId="32806" xr:uid="{00000000-0005-0000-0000-0000F4610000}"/>
    <cellStyle name="Output 7 3 2 3 2 3" xfId="19558" xr:uid="{00000000-0005-0000-0000-0000F5610000}"/>
    <cellStyle name="Output 7 3 2 3 3" xfId="15319" xr:uid="{00000000-0005-0000-0000-0000F6610000}"/>
    <cellStyle name="Output 7 3 2 3 3 2" xfId="30151" xr:uid="{00000000-0005-0000-0000-0000F7610000}"/>
    <cellStyle name="Output 7 3 2 3 4" xfId="11575" xr:uid="{00000000-0005-0000-0000-0000F8610000}"/>
    <cellStyle name="Output 7 3 2 3 4 2" xfId="26407" xr:uid="{00000000-0005-0000-0000-0000F9610000}"/>
    <cellStyle name="Output 7 3 2 4" xfId="2987" xr:uid="{00000000-0005-0000-0000-0000FA610000}"/>
    <cellStyle name="Output 7 3 2 4 2" xfId="7067" xr:uid="{00000000-0005-0000-0000-0000FB610000}"/>
    <cellStyle name="Output 7 3 2 4 2 2" xfId="16866" xr:uid="{00000000-0005-0000-0000-0000FC610000}"/>
    <cellStyle name="Output 7 3 2 4 2 2 2" xfId="31698" xr:uid="{00000000-0005-0000-0000-0000FD610000}"/>
    <cellStyle name="Output 7 3 2 4 2 3" xfId="18850" xr:uid="{00000000-0005-0000-0000-0000FE610000}"/>
    <cellStyle name="Output 7 3 2 4 3" xfId="13325" xr:uid="{00000000-0005-0000-0000-0000FF610000}"/>
    <cellStyle name="Output 7 3 2 4 3 2" xfId="28157" xr:uid="{00000000-0005-0000-0000-000000620000}"/>
    <cellStyle name="Output 7 3 2 4 4" xfId="10521" xr:uid="{00000000-0005-0000-0000-000001620000}"/>
    <cellStyle name="Output 7 3 2 4 4 2" xfId="25353" xr:uid="{00000000-0005-0000-0000-000002620000}"/>
    <cellStyle name="Output 7 3 2 5" xfId="6159" xr:uid="{00000000-0005-0000-0000-000003620000}"/>
    <cellStyle name="Output 7 3 2 5 2" xfId="16346" xr:uid="{00000000-0005-0000-0000-000004620000}"/>
    <cellStyle name="Output 7 3 2 5 2 2" xfId="31178" xr:uid="{00000000-0005-0000-0000-000005620000}"/>
    <cellStyle name="Output 7 3 2 5 3" xfId="18491" xr:uid="{00000000-0005-0000-0000-000006620000}"/>
    <cellStyle name="Output 7 3 2 6" xfId="12416" xr:uid="{00000000-0005-0000-0000-000007620000}"/>
    <cellStyle name="Output 7 3 2 6 2" xfId="27248" xr:uid="{00000000-0005-0000-0000-000008620000}"/>
    <cellStyle name="Output 7 3 2 7" xfId="9998" xr:uid="{00000000-0005-0000-0000-000009620000}"/>
    <cellStyle name="Output 7 3 2 7 2" xfId="24830" xr:uid="{00000000-0005-0000-0000-00000A620000}"/>
    <cellStyle name="Output 7 3 3" xfId="3303" xr:uid="{00000000-0005-0000-0000-00000B620000}"/>
    <cellStyle name="Output 7 3 3 2" xfId="7367" xr:uid="{00000000-0005-0000-0000-00000C620000}"/>
    <cellStyle name="Output 7 3 3 2 2" xfId="17106" xr:uid="{00000000-0005-0000-0000-00000D620000}"/>
    <cellStyle name="Output 7 3 3 2 2 2" xfId="31938" xr:uid="{00000000-0005-0000-0000-00000E620000}"/>
    <cellStyle name="Output 7 3 3 2 3" xfId="18990" xr:uid="{00000000-0005-0000-0000-00000F620000}"/>
    <cellStyle name="Output 7 3 3 3" xfId="13640" xr:uid="{00000000-0005-0000-0000-000010620000}"/>
    <cellStyle name="Output 7 3 3 3 2" xfId="28472" xr:uid="{00000000-0005-0000-0000-000011620000}"/>
    <cellStyle name="Output 7 3 3 4" xfId="10730" xr:uid="{00000000-0005-0000-0000-000012620000}"/>
    <cellStyle name="Output 7 3 3 4 2" xfId="25562" xr:uid="{00000000-0005-0000-0000-000013620000}"/>
    <cellStyle name="Output 7 3 4" xfId="4577" xr:uid="{00000000-0005-0000-0000-000014620000}"/>
    <cellStyle name="Output 7 3 4 2" xfId="8616" xr:uid="{00000000-0005-0000-0000-000015620000}"/>
    <cellStyle name="Output 7 3 4 2 2" xfId="17734" xr:uid="{00000000-0005-0000-0000-000016620000}"/>
    <cellStyle name="Output 7 3 4 2 2 2" xfId="32566" xr:uid="{00000000-0005-0000-0000-000017620000}"/>
    <cellStyle name="Output 7 3 4 2 3" xfId="19398" xr:uid="{00000000-0005-0000-0000-000018620000}"/>
    <cellStyle name="Output 7 3 4 3" xfId="14904" xr:uid="{00000000-0005-0000-0000-000019620000}"/>
    <cellStyle name="Output 7 3 4 3 2" xfId="29736" xr:uid="{00000000-0005-0000-0000-00001A620000}"/>
    <cellStyle name="Output 7 3 4 4" xfId="11340" xr:uid="{00000000-0005-0000-0000-00001B620000}"/>
    <cellStyle name="Output 7 3 4 4 2" xfId="26172" xr:uid="{00000000-0005-0000-0000-00001C620000}"/>
    <cellStyle name="Output 7 3 5" xfId="2567" xr:uid="{00000000-0005-0000-0000-00001D620000}"/>
    <cellStyle name="Output 7 3 5 2" xfId="6673" xr:uid="{00000000-0005-0000-0000-00001E620000}"/>
    <cellStyle name="Output 7 3 5 2 2" xfId="16631" xr:uid="{00000000-0005-0000-0000-00001F620000}"/>
    <cellStyle name="Output 7 3 5 2 2 2" xfId="31463" xr:uid="{00000000-0005-0000-0000-000020620000}"/>
    <cellStyle name="Output 7 3 5 2 3" xfId="18686" xr:uid="{00000000-0005-0000-0000-000021620000}"/>
    <cellStyle name="Output 7 3 5 3" xfId="12905" xr:uid="{00000000-0005-0000-0000-000022620000}"/>
    <cellStyle name="Output 7 3 5 3 2" xfId="27737" xr:uid="{00000000-0005-0000-0000-000023620000}"/>
    <cellStyle name="Output 7 3 5 4" xfId="10281" xr:uid="{00000000-0005-0000-0000-000024620000}"/>
    <cellStyle name="Output 7 3 5 4 2" xfId="25113" xr:uid="{00000000-0005-0000-0000-000025620000}"/>
    <cellStyle name="Output 7 3 6" xfId="5690" xr:uid="{00000000-0005-0000-0000-000026620000}"/>
    <cellStyle name="Output 7 3 6 2" xfId="15925" xr:uid="{00000000-0005-0000-0000-000027620000}"/>
    <cellStyle name="Output 7 3 6 2 2" xfId="30757" xr:uid="{00000000-0005-0000-0000-000028620000}"/>
    <cellStyle name="Output 7 3 6 3" xfId="18328" xr:uid="{00000000-0005-0000-0000-000029620000}"/>
    <cellStyle name="Output 7 3 7" xfId="11945" xr:uid="{00000000-0005-0000-0000-00002A620000}"/>
    <cellStyle name="Output 7 3 7 2" xfId="26777" xr:uid="{00000000-0005-0000-0000-00002B620000}"/>
    <cellStyle name="Output 7 3 8" xfId="9603" xr:uid="{00000000-0005-0000-0000-00002C620000}"/>
    <cellStyle name="Output 7 3 8 2" xfId="19905" xr:uid="{00000000-0005-0000-0000-00002D620000}"/>
    <cellStyle name="Output 7 4" xfId="1587" xr:uid="{00000000-0005-0000-0000-00002E620000}"/>
    <cellStyle name="Output 7 4 2" xfId="2084" xr:uid="{00000000-0005-0000-0000-00002F620000}"/>
    <cellStyle name="Output 7 4 2 2" xfId="3488" xr:uid="{00000000-0005-0000-0000-000030620000}"/>
    <cellStyle name="Output 7 4 2 2 2" xfId="7550" xr:uid="{00000000-0005-0000-0000-000031620000}"/>
    <cellStyle name="Output 7 4 2 2 2 2" xfId="17212" xr:uid="{00000000-0005-0000-0000-000032620000}"/>
    <cellStyle name="Output 7 4 2 2 2 2 2" xfId="32044" xr:uid="{00000000-0005-0000-0000-000033620000}"/>
    <cellStyle name="Output 7 4 2 2 2 3" xfId="19049" xr:uid="{00000000-0005-0000-0000-000034620000}"/>
    <cellStyle name="Output 7 4 2 2 3" xfId="13825" xr:uid="{00000000-0005-0000-0000-000035620000}"/>
    <cellStyle name="Output 7 4 2 2 3 2" xfId="28657" xr:uid="{00000000-0005-0000-0000-000036620000}"/>
    <cellStyle name="Output 7 4 2 2 4" xfId="10830" xr:uid="{00000000-0005-0000-0000-000037620000}"/>
    <cellStyle name="Output 7 4 2 2 4 2" xfId="25662" xr:uid="{00000000-0005-0000-0000-000038620000}"/>
    <cellStyle name="Output 7 4 2 3" xfId="5052" xr:uid="{00000000-0005-0000-0000-000039620000}"/>
    <cellStyle name="Output 7 4 2 3 2" xfId="9091" xr:uid="{00000000-0005-0000-0000-00003A620000}"/>
    <cellStyle name="Output 7 4 2 3 2 2" xfId="18024" xr:uid="{00000000-0005-0000-0000-00003B620000}"/>
    <cellStyle name="Output 7 4 2 3 2 2 2" xfId="32856" xr:uid="{00000000-0005-0000-0000-00003C620000}"/>
    <cellStyle name="Output 7 4 2 3 2 3" xfId="19590" xr:uid="{00000000-0005-0000-0000-00003D620000}"/>
    <cellStyle name="Output 7 4 2 3 3" xfId="15373" xr:uid="{00000000-0005-0000-0000-00003E620000}"/>
    <cellStyle name="Output 7 4 2 3 3 2" xfId="30205" xr:uid="{00000000-0005-0000-0000-00003F620000}"/>
    <cellStyle name="Output 7 4 2 3 4" xfId="11624" xr:uid="{00000000-0005-0000-0000-000040620000}"/>
    <cellStyle name="Output 7 4 2 3 4 2" xfId="26456" xr:uid="{00000000-0005-0000-0000-000041620000}"/>
    <cellStyle name="Output 7 4 2 4" xfId="3042" xr:uid="{00000000-0005-0000-0000-000042620000}"/>
    <cellStyle name="Output 7 4 2 4 2" xfId="7117" xr:uid="{00000000-0005-0000-0000-000043620000}"/>
    <cellStyle name="Output 7 4 2 4 2 2" xfId="16915" xr:uid="{00000000-0005-0000-0000-000044620000}"/>
    <cellStyle name="Output 7 4 2 4 2 2 2" xfId="31747" xr:uid="{00000000-0005-0000-0000-000045620000}"/>
    <cellStyle name="Output 7 4 2 4 2 3" xfId="18883" xr:uid="{00000000-0005-0000-0000-000046620000}"/>
    <cellStyle name="Output 7 4 2 4 3" xfId="13380" xr:uid="{00000000-0005-0000-0000-000047620000}"/>
    <cellStyle name="Output 7 4 2 4 3 2" xfId="28212" xr:uid="{00000000-0005-0000-0000-000048620000}"/>
    <cellStyle name="Output 7 4 2 4 4" xfId="10571" xr:uid="{00000000-0005-0000-0000-000049620000}"/>
    <cellStyle name="Output 7 4 2 4 4 2" xfId="25403" xr:uid="{00000000-0005-0000-0000-00004A620000}"/>
    <cellStyle name="Output 7 4 2 5" xfId="6209" xr:uid="{00000000-0005-0000-0000-00004B620000}"/>
    <cellStyle name="Output 7 4 2 5 2" xfId="16395" xr:uid="{00000000-0005-0000-0000-00004C620000}"/>
    <cellStyle name="Output 7 4 2 5 2 2" xfId="31227" xr:uid="{00000000-0005-0000-0000-00004D620000}"/>
    <cellStyle name="Output 7 4 2 5 3" xfId="18524" xr:uid="{00000000-0005-0000-0000-00004E620000}"/>
    <cellStyle name="Output 7 4 2 6" xfId="12465" xr:uid="{00000000-0005-0000-0000-00004F620000}"/>
    <cellStyle name="Output 7 4 2 6 2" xfId="27297" xr:uid="{00000000-0005-0000-0000-000050620000}"/>
    <cellStyle name="Output 7 4 2 7" xfId="10047" xr:uid="{00000000-0005-0000-0000-000051620000}"/>
    <cellStyle name="Output 7 4 2 7 2" xfId="24879" xr:uid="{00000000-0005-0000-0000-000052620000}"/>
    <cellStyle name="Output 7 4 3" xfId="3545" xr:uid="{00000000-0005-0000-0000-000053620000}"/>
    <cellStyle name="Output 7 4 3 2" xfId="7607" xr:uid="{00000000-0005-0000-0000-000054620000}"/>
    <cellStyle name="Output 7 4 3 2 2" xfId="17249" xr:uid="{00000000-0005-0000-0000-000055620000}"/>
    <cellStyle name="Output 7 4 3 2 2 2" xfId="32081" xr:uid="{00000000-0005-0000-0000-000056620000}"/>
    <cellStyle name="Output 7 4 3 2 3" xfId="19073" xr:uid="{00000000-0005-0000-0000-000057620000}"/>
    <cellStyle name="Output 7 4 3 3" xfId="13881" xr:uid="{00000000-0005-0000-0000-000058620000}"/>
    <cellStyle name="Output 7 4 3 3 2" xfId="28713" xr:uid="{00000000-0005-0000-0000-000059620000}"/>
    <cellStyle name="Output 7 4 3 4" xfId="10866" xr:uid="{00000000-0005-0000-0000-00005A620000}"/>
    <cellStyle name="Output 7 4 3 4 2" xfId="25698" xr:uid="{00000000-0005-0000-0000-00005B620000}"/>
    <cellStyle name="Output 7 4 4" xfId="4632" xr:uid="{00000000-0005-0000-0000-00005C620000}"/>
    <cellStyle name="Output 7 4 4 2" xfId="8671" xr:uid="{00000000-0005-0000-0000-00005D620000}"/>
    <cellStyle name="Output 7 4 4 2 2" xfId="17784" xr:uid="{00000000-0005-0000-0000-00005E620000}"/>
    <cellStyle name="Output 7 4 4 2 2 2" xfId="32616" xr:uid="{00000000-0005-0000-0000-00005F620000}"/>
    <cellStyle name="Output 7 4 4 2 3" xfId="19430" xr:uid="{00000000-0005-0000-0000-000060620000}"/>
    <cellStyle name="Output 7 4 4 3" xfId="14958" xr:uid="{00000000-0005-0000-0000-000061620000}"/>
    <cellStyle name="Output 7 4 4 3 2" xfId="29790" xr:uid="{00000000-0005-0000-0000-000062620000}"/>
    <cellStyle name="Output 7 4 4 4" xfId="11389" xr:uid="{00000000-0005-0000-0000-000063620000}"/>
    <cellStyle name="Output 7 4 4 4 2" xfId="26221" xr:uid="{00000000-0005-0000-0000-000064620000}"/>
    <cellStyle name="Output 7 4 5" xfId="2622" xr:uid="{00000000-0005-0000-0000-000065620000}"/>
    <cellStyle name="Output 7 4 5 2" xfId="6723" xr:uid="{00000000-0005-0000-0000-000066620000}"/>
    <cellStyle name="Output 7 4 5 2 2" xfId="16680" xr:uid="{00000000-0005-0000-0000-000067620000}"/>
    <cellStyle name="Output 7 4 5 2 2 2" xfId="31512" xr:uid="{00000000-0005-0000-0000-000068620000}"/>
    <cellStyle name="Output 7 4 5 2 3" xfId="18719" xr:uid="{00000000-0005-0000-0000-000069620000}"/>
    <cellStyle name="Output 7 4 5 3" xfId="12960" xr:uid="{00000000-0005-0000-0000-00006A620000}"/>
    <cellStyle name="Output 7 4 5 3 2" xfId="27792" xr:uid="{00000000-0005-0000-0000-00006B620000}"/>
    <cellStyle name="Output 7 4 5 4" xfId="10331" xr:uid="{00000000-0005-0000-0000-00006C620000}"/>
    <cellStyle name="Output 7 4 5 4 2" xfId="25163" xr:uid="{00000000-0005-0000-0000-00006D620000}"/>
    <cellStyle name="Output 7 4 6" xfId="5739" xr:uid="{00000000-0005-0000-0000-00006E620000}"/>
    <cellStyle name="Output 7 4 6 2" xfId="15974" xr:uid="{00000000-0005-0000-0000-00006F620000}"/>
    <cellStyle name="Output 7 4 6 2 2" xfId="30806" xr:uid="{00000000-0005-0000-0000-000070620000}"/>
    <cellStyle name="Output 7 4 6 3" xfId="18360" xr:uid="{00000000-0005-0000-0000-000071620000}"/>
    <cellStyle name="Output 7 4 7" xfId="11994" xr:uid="{00000000-0005-0000-0000-000072620000}"/>
    <cellStyle name="Output 7 4 7 2" xfId="26826" xr:uid="{00000000-0005-0000-0000-000073620000}"/>
    <cellStyle name="Output 7 4 8" xfId="9653" xr:uid="{00000000-0005-0000-0000-000074620000}"/>
    <cellStyle name="Output 7 4 8 2" xfId="19954" xr:uid="{00000000-0005-0000-0000-000075620000}"/>
    <cellStyle name="Output 7 5" xfId="1637" xr:uid="{00000000-0005-0000-0000-000076620000}"/>
    <cellStyle name="Output 7 5 2" xfId="2134" xr:uid="{00000000-0005-0000-0000-000077620000}"/>
    <cellStyle name="Output 7 5 2 2" xfId="3415" xr:uid="{00000000-0005-0000-0000-000078620000}"/>
    <cellStyle name="Output 7 5 2 2 2" xfId="7478" xr:uid="{00000000-0005-0000-0000-000079620000}"/>
    <cellStyle name="Output 7 5 2 2 2 2" xfId="17177" xr:uid="{00000000-0005-0000-0000-00007A620000}"/>
    <cellStyle name="Output 7 5 2 2 2 2 2" xfId="32009" xr:uid="{00000000-0005-0000-0000-00007B620000}"/>
    <cellStyle name="Output 7 5 2 2 2 3" xfId="19026" xr:uid="{00000000-0005-0000-0000-00007C620000}"/>
    <cellStyle name="Output 7 5 2 2 3" xfId="13752" xr:uid="{00000000-0005-0000-0000-00007D620000}"/>
    <cellStyle name="Output 7 5 2 2 3 2" xfId="28584" xr:uid="{00000000-0005-0000-0000-00007E620000}"/>
    <cellStyle name="Output 7 5 2 2 4" xfId="10796" xr:uid="{00000000-0005-0000-0000-00007F620000}"/>
    <cellStyle name="Output 7 5 2 2 4 2" xfId="25628" xr:uid="{00000000-0005-0000-0000-000080620000}"/>
    <cellStyle name="Output 7 5 2 3" xfId="5102" xr:uid="{00000000-0005-0000-0000-000081620000}"/>
    <cellStyle name="Output 7 5 2 3 2" xfId="9141" xr:uid="{00000000-0005-0000-0000-000082620000}"/>
    <cellStyle name="Output 7 5 2 3 2 2" xfId="18069" xr:uid="{00000000-0005-0000-0000-000083620000}"/>
    <cellStyle name="Output 7 5 2 3 2 2 2" xfId="32901" xr:uid="{00000000-0005-0000-0000-000084620000}"/>
    <cellStyle name="Output 7 5 2 3 2 3" xfId="19622" xr:uid="{00000000-0005-0000-0000-000085620000}"/>
    <cellStyle name="Output 7 5 2 3 3" xfId="15422" xr:uid="{00000000-0005-0000-0000-000086620000}"/>
    <cellStyle name="Output 7 5 2 3 3 2" xfId="30254" xr:uid="{00000000-0005-0000-0000-000087620000}"/>
    <cellStyle name="Output 7 5 2 3 4" xfId="11668" xr:uid="{00000000-0005-0000-0000-000088620000}"/>
    <cellStyle name="Output 7 5 2 3 4 2" xfId="26500" xr:uid="{00000000-0005-0000-0000-000089620000}"/>
    <cellStyle name="Output 7 5 2 4" xfId="3092" xr:uid="{00000000-0005-0000-0000-00008A620000}"/>
    <cellStyle name="Output 7 5 2 4 2" xfId="7162" xr:uid="{00000000-0005-0000-0000-00008B620000}"/>
    <cellStyle name="Output 7 5 2 4 2 2" xfId="16959" xr:uid="{00000000-0005-0000-0000-00008C620000}"/>
    <cellStyle name="Output 7 5 2 4 2 2 2" xfId="31791" xr:uid="{00000000-0005-0000-0000-00008D620000}"/>
    <cellStyle name="Output 7 5 2 4 2 3" xfId="18916" xr:uid="{00000000-0005-0000-0000-00008E620000}"/>
    <cellStyle name="Output 7 5 2 4 3" xfId="13430" xr:uid="{00000000-0005-0000-0000-00008F620000}"/>
    <cellStyle name="Output 7 5 2 4 3 2" xfId="28262" xr:uid="{00000000-0005-0000-0000-000090620000}"/>
    <cellStyle name="Output 7 5 2 4 4" xfId="10616" xr:uid="{00000000-0005-0000-0000-000091620000}"/>
    <cellStyle name="Output 7 5 2 4 4 2" xfId="25448" xr:uid="{00000000-0005-0000-0000-000092620000}"/>
    <cellStyle name="Output 7 5 2 5" xfId="6254" xr:uid="{00000000-0005-0000-0000-000093620000}"/>
    <cellStyle name="Output 7 5 2 5 2" xfId="16439" xr:uid="{00000000-0005-0000-0000-000094620000}"/>
    <cellStyle name="Output 7 5 2 5 2 2" xfId="31271" xr:uid="{00000000-0005-0000-0000-000095620000}"/>
    <cellStyle name="Output 7 5 2 5 3" xfId="18557" xr:uid="{00000000-0005-0000-0000-000096620000}"/>
    <cellStyle name="Output 7 5 2 6" xfId="12509" xr:uid="{00000000-0005-0000-0000-000097620000}"/>
    <cellStyle name="Output 7 5 2 6 2" xfId="27341" xr:uid="{00000000-0005-0000-0000-000098620000}"/>
    <cellStyle name="Output 7 5 2 7" xfId="10091" xr:uid="{00000000-0005-0000-0000-000099620000}"/>
    <cellStyle name="Output 7 5 2 7 2" xfId="24923" xr:uid="{00000000-0005-0000-0000-00009A620000}"/>
    <cellStyle name="Output 7 5 3" xfId="4006" xr:uid="{00000000-0005-0000-0000-00009B620000}"/>
    <cellStyle name="Output 7 5 3 2" xfId="8053" xr:uid="{00000000-0005-0000-0000-00009C620000}"/>
    <cellStyle name="Output 7 5 3 2 2" xfId="17470" xr:uid="{00000000-0005-0000-0000-00009D620000}"/>
    <cellStyle name="Output 7 5 3 2 2 2" xfId="32302" xr:uid="{00000000-0005-0000-0000-00009E620000}"/>
    <cellStyle name="Output 7 5 3 2 3" xfId="19231" xr:uid="{00000000-0005-0000-0000-00009F620000}"/>
    <cellStyle name="Output 7 5 3 3" xfId="14338" xr:uid="{00000000-0005-0000-0000-0000A0620000}"/>
    <cellStyle name="Output 7 5 3 3 2" xfId="29170" xr:uid="{00000000-0005-0000-0000-0000A1620000}"/>
    <cellStyle name="Output 7 5 3 4" xfId="11087" xr:uid="{00000000-0005-0000-0000-0000A2620000}"/>
    <cellStyle name="Output 7 5 3 4 2" xfId="25919" xr:uid="{00000000-0005-0000-0000-0000A3620000}"/>
    <cellStyle name="Output 7 5 4" xfId="4682" xr:uid="{00000000-0005-0000-0000-0000A4620000}"/>
    <cellStyle name="Output 7 5 4 2" xfId="8721" xr:uid="{00000000-0005-0000-0000-0000A5620000}"/>
    <cellStyle name="Output 7 5 4 2 2" xfId="17829" xr:uid="{00000000-0005-0000-0000-0000A6620000}"/>
    <cellStyle name="Output 7 5 4 2 2 2" xfId="32661" xr:uid="{00000000-0005-0000-0000-0000A7620000}"/>
    <cellStyle name="Output 7 5 4 2 3" xfId="19462" xr:uid="{00000000-0005-0000-0000-0000A8620000}"/>
    <cellStyle name="Output 7 5 4 3" xfId="15007" xr:uid="{00000000-0005-0000-0000-0000A9620000}"/>
    <cellStyle name="Output 7 5 4 3 2" xfId="29839" xr:uid="{00000000-0005-0000-0000-0000AA620000}"/>
    <cellStyle name="Output 7 5 4 4" xfId="11433" xr:uid="{00000000-0005-0000-0000-0000AB620000}"/>
    <cellStyle name="Output 7 5 4 4 2" xfId="26265" xr:uid="{00000000-0005-0000-0000-0000AC620000}"/>
    <cellStyle name="Output 7 5 5" xfId="2672" xr:uid="{00000000-0005-0000-0000-0000AD620000}"/>
    <cellStyle name="Output 7 5 5 2" xfId="6768" xr:uid="{00000000-0005-0000-0000-0000AE620000}"/>
    <cellStyle name="Output 7 5 5 2 2" xfId="16724" xr:uid="{00000000-0005-0000-0000-0000AF620000}"/>
    <cellStyle name="Output 7 5 5 2 2 2" xfId="31556" xr:uid="{00000000-0005-0000-0000-0000B0620000}"/>
    <cellStyle name="Output 7 5 5 2 3" xfId="18752" xr:uid="{00000000-0005-0000-0000-0000B1620000}"/>
    <cellStyle name="Output 7 5 5 3" xfId="13010" xr:uid="{00000000-0005-0000-0000-0000B2620000}"/>
    <cellStyle name="Output 7 5 5 3 2" xfId="27842" xr:uid="{00000000-0005-0000-0000-0000B3620000}"/>
    <cellStyle name="Output 7 5 5 4" xfId="10376" xr:uid="{00000000-0005-0000-0000-0000B4620000}"/>
    <cellStyle name="Output 7 5 5 4 2" xfId="25208" xr:uid="{00000000-0005-0000-0000-0000B5620000}"/>
    <cellStyle name="Output 7 5 6" xfId="5784" xr:uid="{00000000-0005-0000-0000-0000B6620000}"/>
    <cellStyle name="Output 7 5 6 2" xfId="16018" xr:uid="{00000000-0005-0000-0000-0000B7620000}"/>
    <cellStyle name="Output 7 5 6 2 2" xfId="30850" xr:uid="{00000000-0005-0000-0000-0000B8620000}"/>
    <cellStyle name="Output 7 5 6 3" xfId="18393" xr:uid="{00000000-0005-0000-0000-0000B9620000}"/>
    <cellStyle name="Output 7 5 7" xfId="12038" xr:uid="{00000000-0005-0000-0000-0000BA620000}"/>
    <cellStyle name="Output 7 5 7 2" xfId="26870" xr:uid="{00000000-0005-0000-0000-0000BB620000}"/>
    <cellStyle name="Output 7 5 8" xfId="9698" xr:uid="{00000000-0005-0000-0000-0000BC620000}"/>
    <cellStyle name="Output 7 5 8 2" xfId="19998" xr:uid="{00000000-0005-0000-0000-0000BD620000}"/>
    <cellStyle name="Output 7 6" xfId="1788" xr:uid="{00000000-0005-0000-0000-0000BE620000}"/>
    <cellStyle name="Output 7 6 2" xfId="3810" xr:uid="{00000000-0005-0000-0000-0000BF620000}"/>
    <cellStyle name="Output 7 6 2 2" xfId="7864" xr:uid="{00000000-0005-0000-0000-0000C0620000}"/>
    <cellStyle name="Output 7 6 2 2 2" xfId="17377" xr:uid="{00000000-0005-0000-0000-0000C1620000}"/>
    <cellStyle name="Output 7 6 2 2 2 2" xfId="32209" xr:uid="{00000000-0005-0000-0000-0000C2620000}"/>
    <cellStyle name="Output 7 6 2 2 3" xfId="19162" xr:uid="{00000000-0005-0000-0000-0000C3620000}"/>
    <cellStyle name="Output 7 6 2 3" xfId="14145" xr:uid="{00000000-0005-0000-0000-0000C4620000}"/>
    <cellStyle name="Output 7 6 2 3 2" xfId="28977" xr:uid="{00000000-0005-0000-0000-0000C5620000}"/>
    <cellStyle name="Output 7 6 2 4" xfId="10995" xr:uid="{00000000-0005-0000-0000-0000C6620000}"/>
    <cellStyle name="Output 7 6 2 4 2" xfId="25827" xr:uid="{00000000-0005-0000-0000-0000C7620000}"/>
    <cellStyle name="Output 7 6 3" xfId="4766" xr:uid="{00000000-0005-0000-0000-0000C8620000}"/>
    <cellStyle name="Output 7 6 3 2" xfId="8805" xr:uid="{00000000-0005-0000-0000-0000C9620000}"/>
    <cellStyle name="Output 7 6 3 2 2" xfId="17877" xr:uid="{00000000-0005-0000-0000-0000CA620000}"/>
    <cellStyle name="Output 7 6 3 2 2 2" xfId="32709" xr:uid="{00000000-0005-0000-0000-0000CB620000}"/>
    <cellStyle name="Output 7 6 3 2 3" xfId="19494" xr:uid="{00000000-0005-0000-0000-0000CC620000}"/>
    <cellStyle name="Output 7 6 3 3" xfId="15090" xr:uid="{00000000-0005-0000-0000-0000CD620000}"/>
    <cellStyle name="Output 7 6 3 3 2" xfId="29922" xr:uid="{00000000-0005-0000-0000-0000CE620000}"/>
    <cellStyle name="Output 7 6 3 4" xfId="11480" xr:uid="{00000000-0005-0000-0000-0000CF620000}"/>
    <cellStyle name="Output 7 6 3 4 2" xfId="26312" xr:uid="{00000000-0005-0000-0000-0000D0620000}"/>
    <cellStyle name="Output 7 6 4" xfId="2756" xr:uid="{00000000-0005-0000-0000-0000D1620000}"/>
    <cellStyle name="Output 7 6 4 2" xfId="6847" xr:uid="{00000000-0005-0000-0000-0000D2620000}"/>
    <cellStyle name="Output 7 6 4 2 2" xfId="16771" xr:uid="{00000000-0005-0000-0000-0000D3620000}"/>
    <cellStyle name="Output 7 6 4 2 2 2" xfId="31603" xr:uid="{00000000-0005-0000-0000-0000D4620000}"/>
    <cellStyle name="Output 7 6 4 2 3" xfId="18785" xr:uid="{00000000-0005-0000-0000-0000D5620000}"/>
    <cellStyle name="Output 7 6 4 3" xfId="13094" xr:uid="{00000000-0005-0000-0000-0000D6620000}"/>
    <cellStyle name="Output 7 6 4 3 2" xfId="27926" xr:uid="{00000000-0005-0000-0000-0000D7620000}"/>
    <cellStyle name="Output 7 6 4 4" xfId="10424" xr:uid="{00000000-0005-0000-0000-0000D8620000}"/>
    <cellStyle name="Output 7 6 4 4 2" xfId="25256" xr:uid="{00000000-0005-0000-0000-0000D9620000}"/>
    <cellStyle name="Output 7 6 5" xfId="5920" xr:uid="{00000000-0005-0000-0000-0000DA620000}"/>
    <cellStyle name="Output 7 6 5 2" xfId="16112" xr:uid="{00000000-0005-0000-0000-0000DB620000}"/>
    <cellStyle name="Output 7 6 5 2 2" xfId="30944" xr:uid="{00000000-0005-0000-0000-0000DC620000}"/>
    <cellStyle name="Output 7 6 5 3" xfId="18427" xr:uid="{00000000-0005-0000-0000-0000DD620000}"/>
    <cellStyle name="Output 7 6 6" xfId="12182" xr:uid="{00000000-0005-0000-0000-0000DE620000}"/>
    <cellStyle name="Output 7 6 6 2" xfId="27014" xr:uid="{00000000-0005-0000-0000-0000DF620000}"/>
    <cellStyle name="Output 7 6 7" xfId="9778" xr:uid="{00000000-0005-0000-0000-0000E0620000}"/>
    <cellStyle name="Output 7 6 7 2" xfId="24735" xr:uid="{00000000-0005-0000-0000-0000E1620000}"/>
    <cellStyle name="Output 7 7" xfId="2178" xr:uid="{00000000-0005-0000-0000-0000E2620000}"/>
    <cellStyle name="Output 7 7 2" xfId="4312" xr:uid="{00000000-0005-0000-0000-0000E3620000}"/>
    <cellStyle name="Output 7 7 2 2" xfId="8351" xr:uid="{00000000-0005-0000-0000-0000E4620000}"/>
    <cellStyle name="Output 7 7 2 2 2" xfId="17630" xr:uid="{00000000-0005-0000-0000-0000E5620000}"/>
    <cellStyle name="Output 7 7 2 2 2 2" xfId="32462" xr:uid="{00000000-0005-0000-0000-0000E6620000}"/>
    <cellStyle name="Output 7 7 2 2 3" xfId="19333" xr:uid="{00000000-0005-0000-0000-0000E7620000}"/>
    <cellStyle name="Output 7 7 2 3" xfId="14643" xr:uid="{00000000-0005-0000-0000-0000E8620000}"/>
    <cellStyle name="Output 7 7 2 3 2" xfId="29475" xr:uid="{00000000-0005-0000-0000-0000E9620000}"/>
    <cellStyle name="Output 7 7 2 4" xfId="11240" xr:uid="{00000000-0005-0000-0000-0000EA620000}"/>
    <cellStyle name="Output 7 7 2 4 2" xfId="26072" xr:uid="{00000000-0005-0000-0000-0000EB620000}"/>
    <cellStyle name="Output 7 7 3" xfId="5146" xr:uid="{00000000-0005-0000-0000-0000EC620000}"/>
    <cellStyle name="Output 7 7 3 2" xfId="9185" xr:uid="{00000000-0005-0000-0000-0000ED620000}"/>
    <cellStyle name="Output 7 7 3 2 2" xfId="18108" xr:uid="{00000000-0005-0000-0000-0000EE620000}"/>
    <cellStyle name="Output 7 7 3 2 2 2" xfId="32940" xr:uid="{00000000-0005-0000-0000-0000EF620000}"/>
    <cellStyle name="Output 7 7 3 2 3" xfId="19659" xr:uid="{00000000-0005-0000-0000-0000F0620000}"/>
    <cellStyle name="Output 7 7 3 3" xfId="15464" xr:uid="{00000000-0005-0000-0000-0000F1620000}"/>
    <cellStyle name="Output 7 7 3 3 2" xfId="30296" xr:uid="{00000000-0005-0000-0000-0000F2620000}"/>
    <cellStyle name="Output 7 7 3 4" xfId="11705" xr:uid="{00000000-0005-0000-0000-0000F3620000}"/>
    <cellStyle name="Output 7 7 3 4 2" xfId="26537" xr:uid="{00000000-0005-0000-0000-0000F4620000}"/>
    <cellStyle name="Output 7 7 4" xfId="4176" xr:uid="{00000000-0005-0000-0000-0000F5620000}"/>
    <cellStyle name="Output 7 7 4 2" xfId="8217" xr:uid="{00000000-0005-0000-0000-0000F6620000}"/>
    <cellStyle name="Output 7 7 4 2 2" xfId="17564" xr:uid="{00000000-0005-0000-0000-0000F7620000}"/>
    <cellStyle name="Output 7 7 4 2 2 2" xfId="32396" xr:uid="{00000000-0005-0000-0000-0000F8620000}"/>
    <cellStyle name="Output 7 7 4 2 3" xfId="19302" xr:uid="{00000000-0005-0000-0000-0000F9620000}"/>
    <cellStyle name="Output 7 7 4 3" xfId="14508" xr:uid="{00000000-0005-0000-0000-0000FA620000}"/>
    <cellStyle name="Output 7 7 4 3 2" xfId="29340" xr:uid="{00000000-0005-0000-0000-0000FB620000}"/>
    <cellStyle name="Output 7 7 4 4" xfId="11184" xr:uid="{00000000-0005-0000-0000-0000FC620000}"/>
    <cellStyle name="Output 7 7 4 4 2" xfId="26016" xr:uid="{00000000-0005-0000-0000-0000FD620000}"/>
    <cellStyle name="Output 7 7 5" xfId="6292" xr:uid="{00000000-0005-0000-0000-0000FE620000}"/>
    <cellStyle name="Output 7 7 5 2" xfId="16476" xr:uid="{00000000-0005-0000-0000-0000FF620000}"/>
    <cellStyle name="Output 7 7 5 2 2" xfId="31308" xr:uid="{00000000-0005-0000-0000-000000630000}"/>
    <cellStyle name="Output 7 7 5 3" xfId="18595" xr:uid="{00000000-0005-0000-0000-000001630000}"/>
    <cellStyle name="Output 7 7 6" xfId="12546" xr:uid="{00000000-0005-0000-0000-000002630000}"/>
    <cellStyle name="Output 7 7 6 2" xfId="27378" xr:uid="{00000000-0005-0000-0000-000003630000}"/>
    <cellStyle name="Output 7 7 7" xfId="10128" xr:uid="{00000000-0005-0000-0000-000004630000}"/>
    <cellStyle name="Output 7 7 7 2" xfId="24960" xr:uid="{00000000-0005-0000-0000-000005630000}"/>
    <cellStyle name="Output 7 8" xfId="3739" xr:uid="{00000000-0005-0000-0000-000006630000}"/>
    <cellStyle name="Output 7 8 2" xfId="7795" xr:uid="{00000000-0005-0000-0000-000007630000}"/>
    <cellStyle name="Output 7 8 2 2" xfId="17342" xr:uid="{00000000-0005-0000-0000-000008630000}"/>
    <cellStyle name="Output 7 8 2 2 2" xfId="32174" xr:uid="{00000000-0005-0000-0000-000009630000}"/>
    <cellStyle name="Output 7 8 2 3" xfId="19137" xr:uid="{00000000-0005-0000-0000-00000A630000}"/>
    <cellStyle name="Output 7 8 3" xfId="14074" xr:uid="{00000000-0005-0000-0000-00000B630000}"/>
    <cellStyle name="Output 7 8 3 2" xfId="28906" xr:uid="{00000000-0005-0000-0000-00000C630000}"/>
    <cellStyle name="Output 7 8 4" xfId="10958" xr:uid="{00000000-0005-0000-0000-00000D630000}"/>
    <cellStyle name="Output 7 8 4 2" xfId="25790" xr:uid="{00000000-0005-0000-0000-00000E630000}"/>
    <cellStyle name="Output 7 9" xfId="3687" xr:uid="{00000000-0005-0000-0000-00000F630000}"/>
    <cellStyle name="Output 7 9 2" xfId="7744" xr:uid="{00000000-0005-0000-0000-000010630000}"/>
    <cellStyle name="Output 7 9 2 2" xfId="17315" xr:uid="{00000000-0005-0000-0000-000011630000}"/>
    <cellStyle name="Output 7 9 2 2 2" xfId="32147" xr:uid="{00000000-0005-0000-0000-000012630000}"/>
    <cellStyle name="Output 7 9 2 3" xfId="19122" xr:uid="{00000000-0005-0000-0000-000013630000}"/>
    <cellStyle name="Output 7 9 3" xfId="14022" xr:uid="{00000000-0005-0000-0000-000014630000}"/>
    <cellStyle name="Output 7 9 3 2" xfId="28854" xr:uid="{00000000-0005-0000-0000-000015630000}"/>
    <cellStyle name="Output 7 9 4" xfId="10932" xr:uid="{00000000-0005-0000-0000-000016630000}"/>
    <cellStyle name="Output 7 9 4 2" xfId="25764" xr:uid="{00000000-0005-0000-0000-000017630000}"/>
    <cellStyle name="Output 8" xfId="1244" xr:uid="{00000000-0005-0000-0000-000018630000}"/>
    <cellStyle name="Output 8 10" xfId="2330" xr:uid="{00000000-0005-0000-0000-000019630000}"/>
    <cellStyle name="Output 8 10 2" xfId="6442" xr:uid="{00000000-0005-0000-0000-00001A630000}"/>
    <cellStyle name="Output 8 10 2 2" xfId="16535" xr:uid="{00000000-0005-0000-0000-00001B630000}"/>
    <cellStyle name="Output 8 10 2 2 2" xfId="31367" xr:uid="{00000000-0005-0000-0000-00001C630000}"/>
    <cellStyle name="Output 8 10 2 3" xfId="18623" xr:uid="{00000000-0005-0000-0000-00001D630000}"/>
    <cellStyle name="Output 8 10 3" xfId="12670" xr:uid="{00000000-0005-0000-0000-00001E630000}"/>
    <cellStyle name="Output 8 10 3 2" xfId="27502" xr:uid="{00000000-0005-0000-0000-00001F630000}"/>
    <cellStyle name="Output 8 10 4" xfId="10186" xr:uid="{00000000-0005-0000-0000-000020630000}"/>
    <cellStyle name="Output 8 10 4 2" xfId="25018" xr:uid="{00000000-0005-0000-0000-000021630000}"/>
    <cellStyle name="Output 8 11" xfId="5293" xr:uid="{00000000-0005-0000-0000-000022630000}"/>
    <cellStyle name="Output 8 11 2" xfId="9301" xr:uid="{00000000-0005-0000-0000-000023630000}"/>
    <cellStyle name="Output 8 11 2 2" xfId="18168" xr:uid="{00000000-0005-0000-0000-000024630000}"/>
    <cellStyle name="Output 8 11 2 2 2" xfId="33000" xr:uid="{00000000-0005-0000-0000-000025630000}"/>
    <cellStyle name="Output 8 11 2 3" xfId="19687" xr:uid="{00000000-0005-0000-0000-000026630000}"/>
    <cellStyle name="Output 8 11 3" xfId="15609" xr:uid="{00000000-0005-0000-0000-000027630000}"/>
    <cellStyle name="Output 8 11 3 2" xfId="30441" xr:uid="{00000000-0005-0000-0000-000028630000}"/>
    <cellStyle name="Output 8 12" xfId="5451" xr:uid="{00000000-0005-0000-0000-000029630000}"/>
    <cellStyle name="Output 8 12 2" xfId="15687" xr:uid="{00000000-0005-0000-0000-00002A630000}"/>
    <cellStyle name="Output 8 12 2 2" xfId="30519" xr:uid="{00000000-0005-0000-0000-00002B630000}"/>
    <cellStyle name="Output 8 12 3" xfId="18264" xr:uid="{00000000-0005-0000-0000-00002C630000}"/>
    <cellStyle name="Output 8 13" xfId="9340" xr:uid="{00000000-0005-0000-0000-00002D630000}"/>
    <cellStyle name="Output 8 13 2" xfId="24646" xr:uid="{00000000-0005-0000-0000-00002E630000}"/>
    <cellStyle name="Output 8 14" xfId="5329" xr:uid="{00000000-0005-0000-0000-00002F630000}"/>
    <cellStyle name="Output 8 14 2" xfId="18203" xr:uid="{00000000-0005-0000-0000-000030630000}"/>
    <cellStyle name="Output 8 2" xfId="1363" xr:uid="{00000000-0005-0000-0000-000031630000}"/>
    <cellStyle name="Output 8 2 2" xfId="1867" xr:uid="{00000000-0005-0000-0000-000032630000}"/>
    <cellStyle name="Output 8 2 2 2" xfId="3473" xr:uid="{00000000-0005-0000-0000-000033630000}"/>
    <cellStyle name="Output 8 2 2 2 2" xfId="7535" xr:uid="{00000000-0005-0000-0000-000034630000}"/>
    <cellStyle name="Output 8 2 2 2 2 2" xfId="17205" xr:uid="{00000000-0005-0000-0000-000035630000}"/>
    <cellStyle name="Output 8 2 2 2 2 2 2" xfId="32037" xr:uid="{00000000-0005-0000-0000-000036630000}"/>
    <cellStyle name="Output 8 2 2 2 2 3" xfId="19044" xr:uid="{00000000-0005-0000-0000-000037630000}"/>
    <cellStyle name="Output 8 2 2 2 3" xfId="13810" xr:uid="{00000000-0005-0000-0000-000038630000}"/>
    <cellStyle name="Output 8 2 2 2 3 2" xfId="28642" xr:uid="{00000000-0005-0000-0000-000039630000}"/>
    <cellStyle name="Output 8 2 2 2 4" xfId="10823" xr:uid="{00000000-0005-0000-0000-00003A630000}"/>
    <cellStyle name="Output 8 2 2 2 4 2" xfId="25655" xr:uid="{00000000-0005-0000-0000-00003B630000}"/>
    <cellStyle name="Output 8 2 2 3" xfId="4845" xr:uid="{00000000-0005-0000-0000-00003C630000}"/>
    <cellStyle name="Output 8 2 2 3 2" xfId="8884" xr:uid="{00000000-0005-0000-0000-00003D630000}"/>
    <cellStyle name="Output 8 2 2 3 2 2" xfId="17925" xr:uid="{00000000-0005-0000-0000-00003E630000}"/>
    <cellStyle name="Output 8 2 2 3 2 2 2" xfId="32757" xr:uid="{00000000-0005-0000-0000-00003F630000}"/>
    <cellStyle name="Output 8 2 2 3 2 3" xfId="19527" xr:uid="{00000000-0005-0000-0000-000040630000}"/>
    <cellStyle name="Output 8 2 2 3 3" xfId="15169" xr:uid="{00000000-0005-0000-0000-000041630000}"/>
    <cellStyle name="Output 8 2 2 3 3 2" xfId="30001" xr:uid="{00000000-0005-0000-0000-000042630000}"/>
    <cellStyle name="Output 8 2 2 3 4" xfId="11528" xr:uid="{00000000-0005-0000-0000-000043630000}"/>
    <cellStyle name="Output 8 2 2 3 4 2" xfId="26360" xr:uid="{00000000-0005-0000-0000-000044630000}"/>
    <cellStyle name="Output 8 2 2 4" xfId="2835" xr:uid="{00000000-0005-0000-0000-000045630000}"/>
    <cellStyle name="Output 8 2 2 4 2" xfId="6926" xr:uid="{00000000-0005-0000-0000-000046630000}"/>
    <cellStyle name="Output 8 2 2 4 2 2" xfId="16819" xr:uid="{00000000-0005-0000-0000-000047630000}"/>
    <cellStyle name="Output 8 2 2 4 2 2 2" xfId="31651" xr:uid="{00000000-0005-0000-0000-000048630000}"/>
    <cellStyle name="Output 8 2 2 4 2 3" xfId="18818" xr:uid="{00000000-0005-0000-0000-000049630000}"/>
    <cellStyle name="Output 8 2 2 4 3" xfId="13173" xr:uid="{00000000-0005-0000-0000-00004A630000}"/>
    <cellStyle name="Output 8 2 2 4 3 2" xfId="28005" xr:uid="{00000000-0005-0000-0000-00004B630000}"/>
    <cellStyle name="Output 8 2 2 4 4" xfId="10472" xr:uid="{00000000-0005-0000-0000-00004C630000}"/>
    <cellStyle name="Output 8 2 2 4 4 2" xfId="25304" xr:uid="{00000000-0005-0000-0000-00004D630000}"/>
    <cellStyle name="Output 8 2 2 5" xfId="5999" xr:uid="{00000000-0005-0000-0000-00004E630000}"/>
    <cellStyle name="Output 8 2 2 5 2" xfId="16191" xr:uid="{00000000-0005-0000-0000-00004F630000}"/>
    <cellStyle name="Output 8 2 2 5 2 2" xfId="31023" xr:uid="{00000000-0005-0000-0000-000050630000}"/>
    <cellStyle name="Output 8 2 2 5 3" xfId="18460" xr:uid="{00000000-0005-0000-0000-000051630000}"/>
    <cellStyle name="Output 8 2 2 6" xfId="12261" xr:uid="{00000000-0005-0000-0000-000052630000}"/>
    <cellStyle name="Output 8 2 2 6 2" xfId="27093" xr:uid="{00000000-0005-0000-0000-000053630000}"/>
    <cellStyle name="Output 8 2 2 7" xfId="9857" xr:uid="{00000000-0005-0000-0000-000054630000}"/>
    <cellStyle name="Output 8 2 2 7 2" xfId="24783" xr:uid="{00000000-0005-0000-0000-000055630000}"/>
    <cellStyle name="Output 8 2 3" xfId="4112" xr:uid="{00000000-0005-0000-0000-000056630000}"/>
    <cellStyle name="Output 8 2 3 2" xfId="8158" xr:uid="{00000000-0005-0000-0000-000057630000}"/>
    <cellStyle name="Output 8 2 3 2 2" xfId="17526" xr:uid="{00000000-0005-0000-0000-000058630000}"/>
    <cellStyle name="Output 8 2 3 2 2 2" xfId="32358" xr:uid="{00000000-0005-0000-0000-000059630000}"/>
    <cellStyle name="Output 8 2 3 2 3" xfId="19272" xr:uid="{00000000-0005-0000-0000-00005A630000}"/>
    <cellStyle name="Output 8 2 3 3" xfId="14444" xr:uid="{00000000-0005-0000-0000-00005B630000}"/>
    <cellStyle name="Output 8 2 3 3 2" xfId="29276" xr:uid="{00000000-0005-0000-0000-00005C630000}"/>
    <cellStyle name="Output 8 2 3 4" xfId="11143" xr:uid="{00000000-0005-0000-0000-00005D630000}"/>
    <cellStyle name="Output 8 2 3 4 2" xfId="25975" xr:uid="{00000000-0005-0000-0000-00005E630000}"/>
    <cellStyle name="Output 8 2 4" xfId="4425" xr:uid="{00000000-0005-0000-0000-00005F630000}"/>
    <cellStyle name="Output 8 2 4 2" xfId="8464" xr:uid="{00000000-0005-0000-0000-000060630000}"/>
    <cellStyle name="Output 8 2 4 2 2" xfId="17685" xr:uid="{00000000-0005-0000-0000-000061630000}"/>
    <cellStyle name="Output 8 2 4 2 2 2" xfId="32517" xr:uid="{00000000-0005-0000-0000-000062630000}"/>
    <cellStyle name="Output 8 2 4 2 3" xfId="19367" xr:uid="{00000000-0005-0000-0000-000063630000}"/>
    <cellStyle name="Output 8 2 4 3" xfId="14754" xr:uid="{00000000-0005-0000-0000-000064630000}"/>
    <cellStyle name="Output 8 2 4 3 2" xfId="29586" xr:uid="{00000000-0005-0000-0000-000065630000}"/>
    <cellStyle name="Output 8 2 4 4" xfId="11293" xr:uid="{00000000-0005-0000-0000-000066630000}"/>
    <cellStyle name="Output 8 2 4 4 2" xfId="26125" xr:uid="{00000000-0005-0000-0000-000067630000}"/>
    <cellStyle name="Output 8 2 5" xfId="2415" xr:uid="{00000000-0005-0000-0000-000068630000}"/>
    <cellStyle name="Output 8 2 5 2" xfId="6527" xr:uid="{00000000-0005-0000-0000-000069630000}"/>
    <cellStyle name="Output 8 2 5 2 2" xfId="16583" xr:uid="{00000000-0005-0000-0000-00006A630000}"/>
    <cellStyle name="Output 8 2 5 2 2 2" xfId="31415" xr:uid="{00000000-0005-0000-0000-00006B630000}"/>
    <cellStyle name="Output 8 2 5 2 3" xfId="18655" xr:uid="{00000000-0005-0000-0000-00006C630000}"/>
    <cellStyle name="Output 8 2 5 3" xfId="12754" xr:uid="{00000000-0005-0000-0000-00006D630000}"/>
    <cellStyle name="Output 8 2 5 3 2" xfId="27586" xr:uid="{00000000-0005-0000-0000-00006E630000}"/>
    <cellStyle name="Output 8 2 5 4" xfId="10233" xr:uid="{00000000-0005-0000-0000-00006F630000}"/>
    <cellStyle name="Output 8 2 5 4 2" xfId="25065" xr:uid="{00000000-0005-0000-0000-000070630000}"/>
    <cellStyle name="Output 8 2 6" xfId="5540" xr:uid="{00000000-0005-0000-0000-000071630000}"/>
    <cellStyle name="Output 8 2 6 2" xfId="15775" xr:uid="{00000000-0005-0000-0000-000072630000}"/>
    <cellStyle name="Output 8 2 6 2 2" xfId="30607" xr:uid="{00000000-0005-0000-0000-000073630000}"/>
    <cellStyle name="Output 8 2 6 3" xfId="18297" xr:uid="{00000000-0005-0000-0000-000074630000}"/>
    <cellStyle name="Output 8 2 7" xfId="11790" xr:uid="{00000000-0005-0000-0000-000075630000}"/>
    <cellStyle name="Output 8 2 7 2" xfId="26622" xr:uid="{00000000-0005-0000-0000-000076630000}"/>
    <cellStyle name="Output 8 2 8" xfId="9461" xr:uid="{00000000-0005-0000-0000-000077630000}"/>
    <cellStyle name="Output 8 2 8 2" xfId="19765" xr:uid="{00000000-0005-0000-0000-000078630000}"/>
    <cellStyle name="Output 8 3" xfId="1533" xr:uid="{00000000-0005-0000-0000-000079630000}"/>
    <cellStyle name="Output 8 3 2" xfId="2030" xr:uid="{00000000-0005-0000-0000-00007A630000}"/>
    <cellStyle name="Output 8 3 2 2" xfId="3808" xr:uid="{00000000-0005-0000-0000-00007B630000}"/>
    <cellStyle name="Output 8 3 2 2 2" xfId="7863" xr:uid="{00000000-0005-0000-0000-00007C630000}"/>
    <cellStyle name="Output 8 3 2 2 2 2" xfId="17376" xr:uid="{00000000-0005-0000-0000-00007D630000}"/>
    <cellStyle name="Output 8 3 2 2 2 2 2" xfId="32208" xr:uid="{00000000-0005-0000-0000-00007E630000}"/>
    <cellStyle name="Output 8 3 2 2 2 3" xfId="19161" xr:uid="{00000000-0005-0000-0000-00007F630000}"/>
    <cellStyle name="Output 8 3 2 2 3" xfId="14143" xr:uid="{00000000-0005-0000-0000-000080630000}"/>
    <cellStyle name="Output 8 3 2 2 3 2" xfId="28975" xr:uid="{00000000-0005-0000-0000-000081630000}"/>
    <cellStyle name="Output 8 3 2 2 4" xfId="10993" xr:uid="{00000000-0005-0000-0000-000082630000}"/>
    <cellStyle name="Output 8 3 2 2 4 2" xfId="25825" xr:uid="{00000000-0005-0000-0000-000083630000}"/>
    <cellStyle name="Output 8 3 2 3" xfId="4998" xr:uid="{00000000-0005-0000-0000-000084630000}"/>
    <cellStyle name="Output 8 3 2 3 2" xfId="9037" xr:uid="{00000000-0005-0000-0000-000085630000}"/>
    <cellStyle name="Output 8 3 2 3 2 2" xfId="17975" xr:uid="{00000000-0005-0000-0000-000086630000}"/>
    <cellStyle name="Output 8 3 2 3 2 2 2" xfId="32807" xr:uid="{00000000-0005-0000-0000-000087630000}"/>
    <cellStyle name="Output 8 3 2 3 2 3" xfId="19559" xr:uid="{00000000-0005-0000-0000-000088630000}"/>
    <cellStyle name="Output 8 3 2 3 3" xfId="15320" xr:uid="{00000000-0005-0000-0000-000089630000}"/>
    <cellStyle name="Output 8 3 2 3 3 2" xfId="30152" xr:uid="{00000000-0005-0000-0000-00008A630000}"/>
    <cellStyle name="Output 8 3 2 3 4" xfId="11576" xr:uid="{00000000-0005-0000-0000-00008B630000}"/>
    <cellStyle name="Output 8 3 2 3 4 2" xfId="26408" xr:uid="{00000000-0005-0000-0000-00008C630000}"/>
    <cellStyle name="Output 8 3 2 4" xfId="2988" xr:uid="{00000000-0005-0000-0000-00008D630000}"/>
    <cellStyle name="Output 8 3 2 4 2" xfId="7068" xr:uid="{00000000-0005-0000-0000-00008E630000}"/>
    <cellStyle name="Output 8 3 2 4 2 2" xfId="16867" xr:uid="{00000000-0005-0000-0000-00008F630000}"/>
    <cellStyle name="Output 8 3 2 4 2 2 2" xfId="31699" xr:uid="{00000000-0005-0000-0000-000090630000}"/>
    <cellStyle name="Output 8 3 2 4 2 3" xfId="18851" xr:uid="{00000000-0005-0000-0000-000091630000}"/>
    <cellStyle name="Output 8 3 2 4 3" xfId="13326" xr:uid="{00000000-0005-0000-0000-000092630000}"/>
    <cellStyle name="Output 8 3 2 4 3 2" xfId="28158" xr:uid="{00000000-0005-0000-0000-000093630000}"/>
    <cellStyle name="Output 8 3 2 4 4" xfId="10522" xr:uid="{00000000-0005-0000-0000-000094630000}"/>
    <cellStyle name="Output 8 3 2 4 4 2" xfId="25354" xr:uid="{00000000-0005-0000-0000-000095630000}"/>
    <cellStyle name="Output 8 3 2 5" xfId="6160" xr:uid="{00000000-0005-0000-0000-000096630000}"/>
    <cellStyle name="Output 8 3 2 5 2" xfId="16347" xr:uid="{00000000-0005-0000-0000-000097630000}"/>
    <cellStyle name="Output 8 3 2 5 2 2" xfId="31179" xr:uid="{00000000-0005-0000-0000-000098630000}"/>
    <cellStyle name="Output 8 3 2 5 3" xfId="18492" xr:uid="{00000000-0005-0000-0000-000099630000}"/>
    <cellStyle name="Output 8 3 2 6" xfId="12417" xr:uid="{00000000-0005-0000-0000-00009A630000}"/>
    <cellStyle name="Output 8 3 2 6 2" xfId="27249" xr:uid="{00000000-0005-0000-0000-00009B630000}"/>
    <cellStyle name="Output 8 3 2 7" xfId="9999" xr:uid="{00000000-0005-0000-0000-00009C630000}"/>
    <cellStyle name="Output 8 3 2 7 2" xfId="24831" xr:uid="{00000000-0005-0000-0000-00009D630000}"/>
    <cellStyle name="Output 8 3 3" xfId="3292" xr:uid="{00000000-0005-0000-0000-00009E630000}"/>
    <cellStyle name="Output 8 3 3 2" xfId="7356" xr:uid="{00000000-0005-0000-0000-00009F630000}"/>
    <cellStyle name="Output 8 3 3 2 2" xfId="17098" xr:uid="{00000000-0005-0000-0000-0000A0630000}"/>
    <cellStyle name="Output 8 3 3 2 2 2" xfId="31930" xr:uid="{00000000-0005-0000-0000-0000A1630000}"/>
    <cellStyle name="Output 8 3 3 2 3" xfId="18986" xr:uid="{00000000-0005-0000-0000-0000A2630000}"/>
    <cellStyle name="Output 8 3 3 3" xfId="13629" xr:uid="{00000000-0005-0000-0000-0000A3630000}"/>
    <cellStyle name="Output 8 3 3 3 2" xfId="28461" xr:uid="{00000000-0005-0000-0000-0000A4630000}"/>
    <cellStyle name="Output 8 3 3 4" xfId="10724" xr:uid="{00000000-0005-0000-0000-0000A5630000}"/>
    <cellStyle name="Output 8 3 3 4 2" xfId="25556" xr:uid="{00000000-0005-0000-0000-0000A6630000}"/>
    <cellStyle name="Output 8 3 4" xfId="4578" xr:uid="{00000000-0005-0000-0000-0000A7630000}"/>
    <cellStyle name="Output 8 3 4 2" xfId="8617" xr:uid="{00000000-0005-0000-0000-0000A8630000}"/>
    <cellStyle name="Output 8 3 4 2 2" xfId="17735" xr:uid="{00000000-0005-0000-0000-0000A9630000}"/>
    <cellStyle name="Output 8 3 4 2 2 2" xfId="32567" xr:uid="{00000000-0005-0000-0000-0000AA630000}"/>
    <cellStyle name="Output 8 3 4 2 3" xfId="19399" xr:uid="{00000000-0005-0000-0000-0000AB630000}"/>
    <cellStyle name="Output 8 3 4 3" xfId="14905" xr:uid="{00000000-0005-0000-0000-0000AC630000}"/>
    <cellStyle name="Output 8 3 4 3 2" xfId="29737" xr:uid="{00000000-0005-0000-0000-0000AD630000}"/>
    <cellStyle name="Output 8 3 4 4" xfId="11341" xr:uid="{00000000-0005-0000-0000-0000AE630000}"/>
    <cellStyle name="Output 8 3 4 4 2" xfId="26173" xr:uid="{00000000-0005-0000-0000-0000AF630000}"/>
    <cellStyle name="Output 8 3 5" xfId="2568" xr:uid="{00000000-0005-0000-0000-0000B0630000}"/>
    <cellStyle name="Output 8 3 5 2" xfId="6674" xr:uid="{00000000-0005-0000-0000-0000B1630000}"/>
    <cellStyle name="Output 8 3 5 2 2" xfId="16632" xr:uid="{00000000-0005-0000-0000-0000B2630000}"/>
    <cellStyle name="Output 8 3 5 2 2 2" xfId="31464" xr:uid="{00000000-0005-0000-0000-0000B3630000}"/>
    <cellStyle name="Output 8 3 5 2 3" xfId="18687" xr:uid="{00000000-0005-0000-0000-0000B4630000}"/>
    <cellStyle name="Output 8 3 5 3" xfId="12906" xr:uid="{00000000-0005-0000-0000-0000B5630000}"/>
    <cellStyle name="Output 8 3 5 3 2" xfId="27738" xr:uid="{00000000-0005-0000-0000-0000B6630000}"/>
    <cellStyle name="Output 8 3 5 4" xfId="10282" xr:uid="{00000000-0005-0000-0000-0000B7630000}"/>
    <cellStyle name="Output 8 3 5 4 2" xfId="25114" xr:uid="{00000000-0005-0000-0000-0000B8630000}"/>
    <cellStyle name="Output 8 3 6" xfId="5691" xr:uid="{00000000-0005-0000-0000-0000B9630000}"/>
    <cellStyle name="Output 8 3 6 2" xfId="15926" xr:uid="{00000000-0005-0000-0000-0000BA630000}"/>
    <cellStyle name="Output 8 3 6 2 2" xfId="30758" xr:uid="{00000000-0005-0000-0000-0000BB630000}"/>
    <cellStyle name="Output 8 3 6 3" xfId="18329" xr:uid="{00000000-0005-0000-0000-0000BC630000}"/>
    <cellStyle name="Output 8 3 7" xfId="11946" xr:uid="{00000000-0005-0000-0000-0000BD630000}"/>
    <cellStyle name="Output 8 3 7 2" xfId="26778" xr:uid="{00000000-0005-0000-0000-0000BE630000}"/>
    <cellStyle name="Output 8 3 8" xfId="9604" xr:uid="{00000000-0005-0000-0000-0000BF630000}"/>
    <cellStyle name="Output 8 3 8 2" xfId="19906" xr:uid="{00000000-0005-0000-0000-0000C0630000}"/>
    <cellStyle name="Output 8 4" xfId="1588" xr:uid="{00000000-0005-0000-0000-0000C1630000}"/>
    <cellStyle name="Output 8 4 2" xfId="2085" xr:uid="{00000000-0005-0000-0000-0000C2630000}"/>
    <cellStyle name="Output 8 4 2 2" xfId="3800" xr:uid="{00000000-0005-0000-0000-0000C3630000}"/>
    <cellStyle name="Output 8 4 2 2 2" xfId="7855" xr:uid="{00000000-0005-0000-0000-0000C4630000}"/>
    <cellStyle name="Output 8 4 2 2 2 2" xfId="17370" xr:uid="{00000000-0005-0000-0000-0000C5630000}"/>
    <cellStyle name="Output 8 4 2 2 2 2 2" xfId="32202" xr:uid="{00000000-0005-0000-0000-0000C6630000}"/>
    <cellStyle name="Output 8 4 2 2 2 3" xfId="19157" xr:uid="{00000000-0005-0000-0000-0000C7630000}"/>
    <cellStyle name="Output 8 4 2 2 3" xfId="14135" xr:uid="{00000000-0005-0000-0000-0000C8630000}"/>
    <cellStyle name="Output 8 4 2 2 3 2" xfId="28967" xr:uid="{00000000-0005-0000-0000-0000C9630000}"/>
    <cellStyle name="Output 8 4 2 2 4" xfId="10987" xr:uid="{00000000-0005-0000-0000-0000CA630000}"/>
    <cellStyle name="Output 8 4 2 2 4 2" xfId="25819" xr:uid="{00000000-0005-0000-0000-0000CB630000}"/>
    <cellStyle name="Output 8 4 2 3" xfId="5053" xr:uid="{00000000-0005-0000-0000-0000CC630000}"/>
    <cellStyle name="Output 8 4 2 3 2" xfId="9092" xr:uid="{00000000-0005-0000-0000-0000CD630000}"/>
    <cellStyle name="Output 8 4 2 3 2 2" xfId="18025" xr:uid="{00000000-0005-0000-0000-0000CE630000}"/>
    <cellStyle name="Output 8 4 2 3 2 2 2" xfId="32857" xr:uid="{00000000-0005-0000-0000-0000CF630000}"/>
    <cellStyle name="Output 8 4 2 3 2 3" xfId="19591" xr:uid="{00000000-0005-0000-0000-0000D0630000}"/>
    <cellStyle name="Output 8 4 2 3 3" xfId="15374" xr:uid="{00000000-0005-0000-0000-0000D1630000}"/>
    <cellStyle name="Output 8 4 2 3 3 2" xfId="30206" xr:uid="{00000000-0005-0000-0000-0000D2630000}"/>
    <cellStyle name="Output 8 4 2 3 4" xfId="11625" xr:uid="{00000000-0005-0000-0000-0000D3630000}"/>
    <cellStyle name="Output 8 4 2 3 4 2" xfId="26457" xr:uid="{00000000-0005-0000-0000-0000D4630000}"/>
    <cellStyle name="Output 8 4 2 4" xfId="3043" xr:uid="{00000000-0005-0000-0000-0000D5630000}"/>
    <cellStyle name="Output 8 4 2 4 2" xfId="7118" xr:uid="{00000000-0005-0000-0000-0000D6630000}"/>
    <cellStyle name="Output 8 4 2 4 2 2" xfId="16916" xr:uid="{00000000-0005-0000-0000-0000D7630000}"/>
    <cellStyle name="Output 8 4 2 4 2 2 2" xfId="31748" xr:uid="{00000000-0005-0000-0000-0000D8630000}"/>
    <cellStyle name="Output 8 4 2 4 2 3" xfId="18884" xr:uid="{00000000-0005-0000-0000-0000D9630000}"/>
    <cellStyle name="Output 8 4 2 4 3" xfId="13381" xr:uid="{00000000-0005-0000-0000-0000DA630000}"/>
    <cellStyle name="Output 8 4 2 4 3 2" xfId="28213" xr:uid="{00000000-0005-0000-0000-0000DB630000}"/>
    <cellStyle name="Output 8 4 2 4 4" xfId="10572" xr:uid="{00000000-0005-0000-0000-0000DC630000}"/>
    <cellStyle name="Output 8 4 2 4 4 2" xfId="25404" xr:uid="{00000000-0005-0000-0000-0000DD630000}"/>
    <cellStyle name="Output 8 4 2 5" xfId="6210" xr:uid="{00000000-0005-0000-0000-0000DE630000}"/>
    <cellStyle name="Output 8 4 2 5 2" xfId="16396" xr:uid="{00000000-0005-0000-0000-0000DF630000}"/>
    <cellStyle name="Output 8 4 2 5 2 2" xfId="31228" xr:uid="{00000000-0005-0000-0000-0000E0630000}"/>
    <cellStyle name="Output 8 4 2 5 3" xfId="18525" xr:uid="{00000000-0005-0000-0000-0000E1630000}"/>
    <cellStyle name="Output 8 4 2 6" xfId="12466" xr:uid="{00000000-0005-0000-0000-0000E2630000}"/>
    <cellStyle name="Output 8 4 2 6 2" xfId="27298" xr:uid="{00000000-0005-0000-0000-0000E3630000}"/>
    <cellStyle name="Output 8 4 2 7" xfId="10048" xr:uid="{00000000-0005-0000-0000-0000E4630000}"/>
    <cellStyle name="Output 8 4 2 7 2" xfId="24880" xr:uid="{00000000-0005-0000-0000-0000E5630000}"/>
    <cellStyle name="Output 8 4 3" xfId="3601" xr:uid="{00000000-0005-0000-0000-0000E6630000}"/>
    <cellStyle name="Output 8 4 3 2" xfId="7662" xr:uid="{00000000-0005-0000-0000-0000E7630000}"/>
    <cellStyle name="Output 8 4 3 2 2" xfId="17279" xr:uid="{00000000-0005-0000-0000-0000E8630000}"/>
    <cellStyle name="Output 8 4 3 2 2 2" xfId="32111" xr:uid="{00000000-0005-0000-0000-0000E9630000}"/>
    <cellStyle name="Output 8 4 3 2 3" xfId="19098" xr:uid="{00000000-0005-0000-0000-0000EA630000}"/>
    <cellStyle name="Output 8 4 3 3" xfId="13937" xr:uid="{00000000-0005-0000-0000-0000EB630000}"/>
    <cellStyle name="Output 8 4 3 3 2" xfId="28769" xr:uid="{00000000-0005-0000-0000-0000EC630000}"/>
    <cellStyle name="Output 8 4 3 4" xfId="10896" xr:uid="{00000000-0005-0000-0000-0000ED630000}"/>
    <cellStyle name="Output 8 4 3 4 2" xfId="25728" xr:uid="{00000000-0005-0000-0000-0000EE630000}"/>
    <cellStyle name="Output 8 4 4" xfId="4633" xr:uid="{00000000-0005-0000-0000-0000EF630000}"/>
    <cellStyle name="Output 8 4 4 2" xfId="8672" xr:uid="{00000000-0005-0000-0000-0000F0630000}"/>
    <cellStyle name="Output 8 4 4 2 2" xfId="17785" xr:uid="{00000000-0005-0000-0000-0000F1630000}"/>
    <cellStyle name="Output 8 4 4 2 2 2" xfId="32617" xr:uid="{00000000-0005-0000-0000-0000F2630000}"/>
    <cellStyle name="Output 8 4 4 2 3" xfId="19431" xr:uid="{00000000-0005-0000-0000-0000F3630000}"/>
    <cellStyle name="Output 8 4 4 3" xfId="14959" xr:uid="{00000000-0005-0000-0000-0000F4630000}"/>
    <cellStyle name="Output 8 4 4 3 2" xfId="29791" xr:uid="{00000000-0005-0000-0000-0000F5630000}"/>
    <cellStyle name="Output 8 4 4 4" xfId="11390" xr:uid="{00000000-0005-0000-0000-0000F6630000}"/>
    <cellStyle name="Output 8 4 4 4 2" xfId="26222" xr:uid="{00000000-0005-0000-0000-0000F7630000}"/>
    <cellStyle name="Output 8 4 5" xfId="2623" xr:uid="{00000000-0005-0000-0000-0000F8630000}"/>
    <cellStyle name="Output 8 4 5 2" xfId="6724" xr:uid="{00000000-0005-0000-0000-0000F9630000}"/>
    <cellStyle name="Output 8 4 5 2 2" xfId="16681" xr:uid="{00000000-0005-0000-0000-0000FA630000}"/>
    <cellStyle name="Output 8 4 5 2 2 2" xfId="31513" xr:uid="{00000000-0005-0000-0000-0000FB630000}"/>
    <cellStyle name="Output 8 4 5 2 3" xfId="18720" xr:uid="{00000000-0005-0000-0000-0000FC630000}"/>
    <cellStyle name="Output 8 4 5 3" xfId="12961" xr:uid="{00000000-0005-0000-0000-0000FD630000}"/>
    <cellStyle name="Output 8 4 5 3 2" xfId="27793" xr:uid="{00000000-0005-0000-0000-0000FE630000}"/>
    <cellStyle name="Output 8 4 5 4" xfId="10332" xr:uid="{00000000-0005-0000-0000-0000FF630000}"/>
    <cellStyle name="Output 8 4 5 4 2" xfId="25164" xr:uid="{00000000-0005-0000-0000-000000640000}"/>
    <cellStyle name="Output 8 4 6" xfId="5740" xr:uid="{00000000-0005-0000-0000-000001640000}"/>
    <cellStyle name="Output 8 4 6 2" xfId="15975" xr:uid="{00000000-0005-0000-0000-000002640000}"/>
    <cellStyle name="Output 8 4 6 2 2" xfId="30807" xr:uid="{00000000-0005-0000-0000-000003640000}"/>
    <cellStyle name="Output 8 4 6 3" xfId="18361" xr:uid="{00000000-0005-0000-0000-000004640000}"/>
    <cellStyle name="Output 8 4 7" xfId="11995" xr:uid="{00000000-0005-0000-0000-000005640000}"/>
    <cellStyle name="Output 8 4 7 2" xfId="26827" xr:uid="{00000000-0005-0000-0000-000006640000}"/>
    <cellStyle name="Output 8 4 8" xfId="9654" xr:uid="{00000000-0005-0000-0000-000007640000}"/>
    <cellStyle name="Output 8 4 8 2" xfId="19955" xr:uid="{00000000-0005-0000-0000-000008640000}"/>
    <cellStyle name="Output 8 5" xfId="1638" xr:uid="{00000000-0005-0000-0000-000009640000}"/>
    <cellStyle name="Output 8 5 2" xfId="2135" xr:uid="{00000000-0005-0000-0000-00000A640000}"/>
    <cellStyle name="Output 8 5 2 2" xfId="3874" xr:uid="{00000000-0005-0000-0000-00000B640000}"/>
    <cellStyle name="Output 8 5 2 2 2" xfId="7926" xr:uid="{00000000-0005-0000-0000-00000C640000}"/>
    <cellStyle name="Output 8 5 2 2 2 2" xfId="17405" xr:uid="{00000000-0005-0000-0000-00000D640000}"/>
    <cellStyle name="Output 8 5 2 2 2 2 2" xfId="32237" xr:uid="{00000000-0005-0000-0000-00000E640000}"/>
    <cellStyle name="Output 8 5 2 2 2 3" xfId="19183" xr:uid="{00000000-0005-0000-0000-00000F640000}"/>
    <cellStyle name="Output 8 5 2 2 3" xfId="14209" xr:uid="{00000000-0005-0000-0000-000010640000}"/>
    <cellStyle name="Output 8 5 2 2 3 2" xfId="29041" xr:uid="{00000000-0005-0000-0000-000011640000}"/>
    <cellStyle name="Output 8 5 2 2 4" xfId="11024" xr:uid="{00000000-0005-0000-0000-000012640000}"/>
    <cellStyle name="Output 8 5 2 2 4 2" xfId="25856" xr:uid="{00000000-0005-0000-0000-000013640000}"/>
    <cellStyle name="Output 8 5 2 3" xfId="5103" xr:uid="{00000000-0005-0000-0000-000014640000}"/>
    <cellStyle name="Output 8 5 2 3 2" xfId="9142" xr:uid="{00000000-0005-0000-0000-000015640000}"/>
    <cellStyle name="Output 8 5 2 3 2 2" xfId="18070" xr:uid="{00000000-0005-0000-0000-000016640000}"/>
    <cellStyle name="Output 8 5 2 3 2 2 2" xfId="32902" xr:uid="{00000000-0005-0000-0000-000017640000}"/>
    <cellStyle name="Output 8 5 2 3 2 3" xfId="19623" xr:uid="{00000000-0005-0000-0000-000018640000}"/>
    <cellStyle name="Output 8 5 2 3 3" xfId="15423" xr:uid="{00000000-0005-0000-0000-000019640000}"/>
    <cellStyle name="Output 8 5 2 3 3 2" xfId="30255" xr:uid="{00000000-0005-0000-0000-00001A640000}"/>
    <cellStyle name="Output 8 5 2 3 4" xfId="11669" xr:uid="{00000000-0005-0000-0000-00001B640000}"/>
    <cellStyle name="Output 8 5 2 3 4 2" xfId="26501" xr:uid="{00000000-0005-0000-0000-00001C640000}"/>
    <cellStyle name="Output 8 5 2 4" xfId="3093" xr:uid="{00000000-0005-0000-0000-00001D640000}"/>
    <cellStyle name="Output 8 5 2 4 2" xfId="7163" xr:uid="{00000000-0005-0000-0000-00001E640000}"/>
    <cellStyle name="Output 8 5 2 4 2 2" xfId="16960" xr:uid="{00000000-0005-0000-0000-00001F640000}"/>
    <cellStyle name="Output 8 5 2 4 2 2 2" xfId="31792" xr:uid="{00000000-0005-0000-0000-000020640000}"/>
    <cellStyle name="Output 8 5 2 4 2 3" xfId="18917" xr:uid="{00000000-0005-0000-0000-000021640000}"/>
    <cellStyle name="Output 8 5 2 4 3" xfId="13431" xr:uid="{00000000-0005-0000-0000-000022640000}"/>
    <cellStyle name="Output 8 5 2 4 3 2" xfId="28263" xr:uid="{00000000-0005-0000-0000-000023640000}"/>
    <cellStyle name="Output 8 5 2 4 4" xfId="10617" xr:uid="{00000000-0005-0000-0000-000024640000}"/>
    <cellStyle name="Output 8 5 2 4 4 2" xfId="25449" xr:uid="{00000000-0005-0000-0000-000025640000}"/>
    <cellStyle name="Output 8 5 2 5" xfId="6255" xr:uid="{00000000-0005-0000-0000-000026640000}"/>
    <cellStyle name="Output 8 5 2 5 2" xfId="16440" xr:uid="{00000000-0005-0000-0000-000027640000}"/>
    <cellStyle name="Output 8 5 2 5 2 2" xfId="31272" xr:uid="{00000000-0005-0000-0000-000028640000}"/>
    <cellStyle name="Output 8 5 2 5 3" xfId="18558" xr:uid="{00000000-0005-0000-0000-000029640000}"/>
    <cellStyle name="Output 8 5 2 6" xfId="12510" xr:uid="{00000000-0005-0000-0000-00002A640000}"/>
    <cellStyle name="Output 8 5 2 6 2" xfId="27342" xr:uid="{00000000-0005-0000-0000-00002B640000}"/>
    <cellStyle name="Output 8 5 2 7" xfId="10092" xr:uid="{00000000-0005-0000-0000-00002C640000}"/>
    <cellStyle name="Output 8 5 2 7 2" xfId="24924" xr:uid="{00000000-0005-0000-0000-00002D640000}"/>
    <cellStyle name="Output 8 5 3" xfId="3893" xr:uid="{00000000-0005-0000-0000-00002E640000}"/>
    <cellStyle name="Output 8 5 3 2" xfId="7944" xr:uid="{00000000-0005-0000-0000-00002F640000}"/>
    <cellStyle name="Output 8 5 3 2 2" xfId="17416" xr:uid="{00000000-0005-0000-0000-000030640000}"/>
    <cellStyle name="Output 8 5 3 2 2 2" xfId="32248" xr:uid="{00000000-0005-0000-0000-000031640000}"/>
    <cellStyle name="Output 8 5 3 2 3" xfId="19189" xr:uid="{00000000-0005-0000-0000-000032640000}"/>
    <cellStyle name="Output 8 5 3 3" xfId="14226" xr:uid="{00000000-0005-0000-0000-000033640000}"/>
    <cellStyle name="Output 8 5 3 3 2" xfId="29058" xr:uid="{00000000-0005-0000-0000-000034640000}"/>
    <cellStyle name="Output 8 5 3 4" xfId="11032" xr:uid="{00000000-0005-0000-0000-000035640000}"/>
    <cellStyle name="Output 8 5 3 4 2" xfId="25864" xr:uid="{00000000-0005-0000-0000-000036640000}"/>
    <cellStyle name="Output 8 5 4" xfId="4683" xr:uid="{00000000-0005-0000-0000-000037640000}"/>
    <cellStyle name="Output 8 5 4 2" xfId="8722" xr:uid="{00000000-0005-0000-0000-000038640000}"/>
    <cellStyle name="Output 8 5 4 2 2" xfId="17830" xr:uid="{00000000-0005-0000-0000-000039640000}"/>
    <cellStyle name="Output 8 5 4 2 2 2" xfId="32662" xr:uid="{00000000-0005-0000-0000-00003A640000}"/>
    <cellStyle name="Output 8 5 4 2 3" xfId="19463" xr:uid="{00000000-0005-0000-0000-00003B640000}"/>
    <cellStyle name="Output 8 5 4 3" xfId="15008" xr:uid="{00000000-0005-0000-0000-00003C640000}"/>
    <cellStyle name="Output 8 5 4 3 2" xfId="29840" xr:uid="{00000000-0005-0000-0000-00003D640000}"/>
    <cellStyle name="Output 8 5 4 4" xfId="11434" xr:uid="{00000000-0005-0000-0000-00003E640000}"/>
    <cellStyle name="Output 8 5 4 4 2" xfId="26266" xr:uid="{00000000-0005-0000-0000-00003F640000}"/>
    <cellStyle name="Output 8 5 5" xfId="2673" xr:uid="{00000000-0005-0000-0000-000040640000}"/>
    <cellStyle name="Output 8 5 5 2" xfId="6769" xr:uid="{00000000-0005-0000-0000-000041640000}"/>
    <cellStyle name="Output 8 5 5 2 2" xfId="16725" xr:uid="{00000000-0005-0000-0000-000042640000}"/>
    <cellStyle name="Output 8 5 5 2 2 2" xfId="31557" xr:uid="{00000000-0005-0000-0000-000043640000}"/>
    <cellStyle name="Output 8 5 5 2 3" xfId="18753" xr:uid="{00000000-0005-0000-0000-000044640000}"/>
    <cellStyle name="Output 8 5 5 3" xfId="13011" xr:uid="{00000000-0005-0000-0000-000045640000}"/>
    <cellStyle name="Output 8 5 5 3 2" xfId="27843" xr:uid="{00000000-0005-0000-0000-000046640000}"/>
    <cellStyle name="Output 8 5 5 4" xfId="10377" xr:uid="{00000000-0005-0000-0000-000047640000}"/>
    <cellStyle name="Output 8 5 5 4 2" xfId="25209" xr:uid="{00000000-0005-0000-0000-000048640000}"/>
    <cellStyle name="Output 8 5 6" xfId="5785" xr:uid="{00000000-0005-0000-0000-000049640000}"/>
    <cellStyle name="Output 8 5 6 2" xfId="16019" xr:uid="{00000000-0005-0000-0000-00004A640000}"/>
    <cellStyle name="Output 8 5 6 2 2" xfId="30851" xr:uid="{00000000-0005-0000-0000-00004B640000}"/>
    <cellStyle name="Output 8 5 6 3" xfId="18394" xr:uid="{00000000-0005-0000-0000-00004C640000}"/>
    <cellStyle name="Output 8 5 7" xfId="12039" xr:uid="{00000000-0005-0000-0000-00004D640000}"/>
    <cellStyle name="Output 8 5 7 2" xfId="26871" xr:uid="{00000000-0005-0000-0000-00004E640000}"/>
    <cellStyle name="Output 8 5 8" xfId="9699" xr:uid="{00000000-0005-0000-0000-00004F640000}"/>
    <cellStyle name="Output 8 5 8 2" xfId="19999" xr:uid="{00000000-0005-0000-0000-000050640000}"/>
    <cellStyle name="Output 8 6" xfId="1789" xr:uid="{00000000-0005-0000-0000-000051640000}"/>
    <cellStyle name="Output 8 6 2" xfId="3375" xr:uid="{00000000-0005-0000-0000-000052640000}"/>
    <cellStyle name="Output 8 6 2 2" xfId="7438" xr:uid="{00000000-0005-0000-0000-000053640000}"/>
    <cellStyle name="Output 8 6 2 2 2" xfId="17147" xr:uid="{00000000-0005-0000-0000-000054640000}"/>
    <cellStyle name="Output 8 6 2 2 2 2" xfId="31979" xr:uid="{00000000-0005-0000-0000-000055640000}"/>
    <cellStyle name="Output 8 6 2 2 3" xfId="19014" xr:uid="{00000000-0005-0000-0000-000056640000}"/>
    <cellStyle name="Output 8 6 2 3" xfId="13712" xr:uid="{00000000-0005-0000-0000-000057640000}"/>
    <cellStyle name="Output 8 6 2 3 2" xfId="28544" xr:uid="{00000000-0005-0000-0000-000058640000}"/>
    <cellStyle name="Output 8 6 2 4" xfId="10766" xr:uid="{00000000-0005-0000-0000-000059640000}"/>
    <cellStyle name="Output 8 6 2 4 2" xfId="25598" xr:uid="{00000000-0005-0000-0000-00005A640000}"/>
    <cellStyle name="Output 8 6 3" xfId="4767" xr:uid="{00000000-0005-0000-0000-00005B640000}"/>
    <cellStyle name="Output 8 6 3 2" xfId="8806" xr:uid="{00000000-0005-0000-0000-00005C640000}"/>
    <cellStyle name="Output 8 6 3 2 2" xfId="17878" xr:uid="{00000000-0005-0000-0000-00005D640000}"/>
    <cellStyle name="Output 8 6 3 2 2 2" xfId="32710" xr:uid="{00000000-0005-0000-0000-00005E640000}"/>
    <cellStyle name="Output 8 6 3 2 3" xfId="19495" xr:uid="{00000000-0005-0000-0000-00005F640000}"/>
    <cellStyle name="Output 8 6 3 3" xfId="15091" xr:uid="{00000000-0005-0000-0000-000060640000}"/>
    <cellStyle name="Output 8 6 3 3 2" xfId="29923" xr:uid="{00000000-0005-0000-0000-000061640000}"/>
    <cellStyle name="Output 8 6 3 4" xfId="11481" xr:uid="{00000000-0005-0000-0000-000062640000}"/>
    <cellStyle name="Output 8 6 3 4 2" xfId="26313" xr:uid="{00000000-0005-0000-0000-000063640000}"/>
    <cellStyle name="Output 8 6 4" xfId="2757" xr:uid="{00000000-0005-0000-0000-000064640000}"/>
    <cellStyle name="Output 8 6 4 2" xfId="6848" xr:uid="{00000000-0005-0000-0000-000065640000}"/>
    <cellStyle name="Output 8 6 4 2 2" xfId="16772" xr:uid="{00000000-0005-0000-0000-000066640000}"/>
    <cellStyle name="Output 8 6 4 2 2 2" xfId="31604" xr:uid="{00000000-0005-0000-0000-000067640000}"/>
    <cellStyle name="Output 8 6 4 2 3" xfId="18786" xr:uid="{00000000-0005-0000-0000-000068640000}"/>
    <cellStyle name="Output 8 6 4 3" xfId="13095" xr:uid="{00000000-0005-0000-0000-000069640000}"/>
    <cellStyle name="Output 8 6 4 3 2" xfId="27927" xr:uid="{00000000-0005-0000-0000-00006A640000}"/>
    <cellStyle name="Output 8 6 4 4" xfId="10425" xr:uid="{00000000-0005-0000-0000-00006B640000}"/>
    <cellStyle name="Output 8 6 4 4 2" xfId="25257" xr:uid="{00000000-0005-0000-0000-00006C640000}"/>
    <cellStyle name="Output 8 6 5" xfId="5921" xr:uid="{00000000-0005-0000-0000-00006D640000}"/>
    <cellStyle name="Output 8 6 5 2" xfId="16113" xr:uid="{00000000-0005-0000-0000-00006E640000}"/>
    <cellStyle name="Output 8 6 5 2 2" xfId="30945" xr:uid="{00000000-0005-0000-0000-00006F640000}"/>
    <cellStyle name="Output 8 6 5 3" xfId="18428" xr:uid="{00000000-0005-0000-0000-000070640000}"/>
    <cellStyle name="Output 8 6 6" xfId="12183" xr:uid="{00000000-0005-0000-0000-000071640000}"/>
    <cellStyle name="Output 8 6 6 2" xfId="27015" xr:uid="{00000000-0005-0000-0000-000072640000}"/>
    <cellStyle name="Output 8 6 7" xfId="9779" xr:uid="{00000000-0005-0000-0000-000073640000}"/>
    <cellStyle name="Output 8 6 7 2" xfId="24736" xr:uid="{00000000-0005-0000-0000-000074640000}"/>
    <cellStyle name="Output 8 7" xfId="2177" xr:uid="{00000000-0005-0000-0000-000075640000}"/>
    <cellStyle name="Output 8 7 2" xfId="3861" xr:uid="{00000000-0005-0000-0000-000076640000}"/>
    <cellStyle name="Output 8 7 2 2" xfId="7913" xr:uid="{00000000-0005-0000-0000-000077640000}"/>
    <cellStyle name="Output 8 7 2 2 2" xfId="17398" xr:uid="{00000000-0005-0000-0000-000078640000}"/>
    <cellStyle name="Output 8 7 2 2 2 2" xfId="32230" xr:uid="{00000000-0005-0000-0000-000079640000}"/>
    <cellStyle name="Output 8 7 2 2 3" xfId="19177" xr:uid="{00000000-0005-0000-0000-00007A640000}"/>
    <cellStyle name="Output 8 7 2 3" xfId="14196" xr:uid="{00000000-0005-0000-0000-00007B640000}"/>
    <cellStyle name="Output 8 7 2 3 2" xfId="29028" xr:uid="{00000000-0005-0000-0000-00007C640000}"/>
    <cellStyle name="Output 8 7 2 4" xfId="11017" xr:uid="{00000000-0005-0000-0000-00007D640000}"/>
    <cellStyle name="Output 8 7 2 4 2" xfId="25849" xr:uid="{00000000-0005-0000-0000-00007E640000}"/>
    <cellStyle name="Output 8 7 3" xfId="5145" xr:uid="{00000000-0005-0000-0000-00007F640000}"/>
    <cellStyle name="Output 8 7 3 2" xfId="9184" xr:uid="{00000000-0005-0000-0000-000080640000}"/>
    <cellStyle name="Output 8 7 3 2 2" xfId="18107" xr:uid="{00000000-0005-0000-0000-000081640000}"/>
    <cellStyle name="Output 8 7 3 2 2 2" xfId="32939" xr:uid="{00000000-0005-0000-0000-000082640000}"/>
    <cellStyle name="Output 8 7 3 2 3" xfId="19658" xr:uid="{00000000-0005-0000-0000-000083640000}"/>
    <cellStyle name="Output 8 7 3 3" xfId="15463" xr:uid="{00000000-0005-0000-0000-000084640000}"/>
    <cellStyle name="Output 8 7 3 3 2" xfId="30295" xr:uid="{00000000-0005-0000-0000-000085640000}"/>
    <cellStyle name="Output 8 7 3 4" xfId="11704" xr:uid="{00000000-0005-0000-0000-000086640000}"/>
    <cellStyle name="Output 8 7 3 4 2" xfId="26536" xr:uid="{00000000-0005-0000-0000-000087640000}"/>
    <cellStyle name="Output 8 7 4" xfId="4175" xr:uid="{00000000-0005-0000-0000-000088640000}"/>
    <cellStyle name="Output 8 7 4 2" xfId="8216" xr:uid="{00000000-0005-0000-0000-000089640000}"/>
    <cellStyle name="Output 8 7 4 2 2" xfId="17563" xr:uid="{00000000-0005-0000-0000-00008A640000}"/>
    <cellStyle name="Output 8 7 4 2 2 2" xfId="32395" xr:uid="{00000000-0005-0000-0000-00008B640000}"/>
    <cellStyle name="Output 8 7 4 2 3" xfId="19301" xr:uid="{00000000-0005-0000-0000-00008C640000}"/>
    <cellStyle name="Output 8 7 4 3" xfId="14507" xr:uid="{00000000-0005-0000-0000-00008D640000}"/>
    <cellStyle name="Output 8 7 4 3 2" xfId="29339" xr:uid="{00000000-0005-0000-0000-00008E640000}"/>
    <cellStyle name="Output 8 7 4 4" xfId="11183" xr:uid="{00000000-0005-0000-0000-00008F640000}"/>
    <cellStyle name="Output 8 7 4 4 2" xfId="26015" xr:uid="{00000000-0005-0000-0000-000090640000}"/>
    <cellStyle name="Output 8 7 5" xfId="6291" xr:uid="{00000000-0005-0000-0000-000091640000}"/>
    <cellStyle name="Output 8 7 5 2" xfId="16475" xr:uid="{00000000-0005-0000-0000-000092640000}"/>
    <cellStyle name="Output 8 7 5 2 2" xfId="31307" xr:uid="{00000000-0005-0000-0000-000093640000}"/>
    <cellStyle name="Output 8 7 5 3" xfId="18594" xr:uid="{00000000-0005-0000-0000-000094640000}"/>
    <cellStyle name="Output 8 7 6" xfId="12545" xr:uid="{00000000-0005-0000-0000-000095640000}"/>
    <cellStyle name="Output 8 7 6 2" xfId="27377" xr:uid="{00000000-0005-0000-0000-000096640000}"/>
    <cellStyle name="Output 8 7 7" xfId="10127" xr:uid="{00000000-0005-0000-0000-000097640000}"/>
    <cellStyle name="Output 8 7 7 2" xfId="24959" xr:uid="{00000000-0005-0000-0000-000098640000}"/>
    <cellStyle name="Output 8 8" xfId="4050" xr:uid="{00000000-0005-0000-0000-000099640000}"/>
    <cellStyle name="Output 8 8 2" xfId="8097" xr:uid="{00000000-0005-0000-0000-00009A640000}"/>
    <cellStyle name="Output 8 8 2 2" xfId="17492" xr:uid="{00000000-0005-0000-0000-00009B640000}"/>
    <cellStyle name="Output 8 8 2 2 2" xfId="32324" xr:uid="{00000000-0005-0000-0000-00009C640000}"/>
    <cellStyle name="Output 8 8 2 3" xfId="19248" xr:uid="{00000000-0005-0000-0000-00009D640000}"/>
    <cellStyle name="Output 8 8 3" xfId="14382" xr:uid="{00000000-0005-0000-0000-00009E640000}"/>
    <cellStyle name="Output 8 8 3 2" xfId="29214" xr:uid="{00000000-0005-0000-0000-00009F640000}"/>
    <cellStyle name="Output 8 8 4" xfId="11108" xr:uid="{00000000-0005-0000-0000-0000A0640000}"/>
    <cellStyle name="Output 8 8 4 2" xfId="25940" xr:uid="{00000000-0005-0000-0000-0000A1640000}"/>
    <cellStyle name="Output 8 9" xfId="3315" xr:uid="{00000000-0005-0000-0000-0000A2640000}"/>
    <cellStyle name="Output 8 9 2" xfId="7378" xr:uid="{00000000-0005-0000-0000-0000A3640000}"/>
    <cellStyle name="Output 8 9 2 2" xfId="17113" xr:uid="{00000000-0005-0000-0000-0000A4640000}"/>
    <cellStyle name="Output 8 9 2 2 2" xfId="31945" xr:uid="{00000000-0005-0000-0000-0000A5640000}"/>
    <cellStyle name="Output 8 9 2 3" xfId="18994" xr:uid="{00000000-0005-0000-0000-0000A6640000}"/>
    <cellStyle name="Output 8 9 3" xfId="13652" xr:uid="{00000000-0005-0000-0000-0000A7640000}"/>
    <cellStyle name="Output 8 9 3 2" xfId="28484" xr:uid="{00000000-0005-0000-0000-0000A8640000}"/>
    <cellStyle name="Output 8 9 4" xfId="10735" xr:uid="{00000000-0005-0000-0000-0000A9640000}"/>
    <cellStyle name="Output 8 9 4 2" xfId="25567" xr:uid="{00000000-0005-0000-0000-0000AA640000}"/>
    <cellStyle name="Output 9" xfId="1245" xr:uid="{00000000-0005-0000-0000-0000AB640000}"/>
    <cellStyle name="Output 9 10" xfId="2331" xr:uid="{00000000-0005-0000-0000-0000AC640000}"/>
    <cellStyle name="Output 9 10 2" xfId="6443" xr:uid="{00000000-0005-0000-0000-0000AD640000}"/>
    <cellStyle name="Output 9 10 2 2" xfId="16536" xr:uid="{00000000-0005-0000-0000-0000AE640000}"/>
    <cellStyle name="Output 9 10 2 2 2" xfId="31368" xr:uid="{00000000-0005-0000-0000-0000AF640000}"/>
    <cellStyle name="Output 9 10 2 3" xfId="18624" xr:uid="{00000000-0005-0000-0000-0000B0640000}"/>
    <cellStyle name="Output 9 10 3" xfId="12671" xr:uid="{00000000-0005-0000-0000-0000B1640000}"/>
    <cellStyle name="Output 9 10 3 2" xfId="27503" xr:uid="{00000000-0005-0000-0000-0000B2640000}"/>
    <cellStyle name="Output 9 10 4" xfId="10187" xr:uid="{00000000-0005-0000-0000-0000B3640000}"/>
    <cellStyle name="Output 9 10 4 2" xfId="25019" xr:uid="{00000000-0005-0000-0000-0000B4640000}"/>
    <cellStyle name="Output 9 11" xfId="5294" xr:uid="{00000000-0005-0000-0000-0000B5640000}"/>
    <cellStyle name="Output 9 11 2" xfId="9302" xr:uid="{00000000-0005-0000-0000-0000B6640000}"/>
    <cellStyle name="Output 9 11 2 2" xfId="18169" xr:uid="{00000000-0005-0000-0000-0000B7640000}"/>
    <cellStyle name="Output 9 11 2 2 2" xfId="33001" xr:uid="{00000000-0005-0000-0000-0000B8640000}"/>
    <cellStyle name="Output 9 11 2 3" xfId="19688" xr:uid="{00000000-0005-0000-0000-0000B9640000}"/>
    <cellStyle name="Output 9 11 3" xfId="15610" xr:uid="{00000000-0005-0000-0000-0000BA640000}"/>
    <cellStyle name="Output 9 11 3 2" xfId="30442" xr:uid="{00000000-0005-0000-0000-0000BB640000}"/>
    <cellStyle name="Output 9 12" xfId="5452" xr:uid="{00000000-0005-0000-0000-0000BC640000}"/>
    <cellStyle name="Output 9 12 2" xfId="15688" xr:uid="{00000000-0005-0000-0000-0000BD640000}"/>
    <cellStyle name="Output 9 12 2 2" xfId="30520" xr:uid="{00000000-0005-0000-0000-0000BE640000}"/>
    <cellStyle name="Output 9 12 3" xfId="18265" xr:uid="{00000000-0005-0000-0000-0000BF640000}"/>
    <cellStyle name="Output 9 13" xfId="9339" xr:uid="{00000000-0005-0000-0000-0000C0640000}"/>
    <cellStyle name="Output 9 13 2" xfId="24645" xr:uid="{00000000-0005-0000-0000-0000C1640000}"/>
    <cellStyle name="Output 9 14" xfId="5328" xr:uid="{00000000-0005-0000-0000-0000C2640000}"/>
    <cellStyle name="Output 9 14 2" xfId="18202" xr:uid="{00000000-0005-0000-0000-0000C3640000}"/>
    <cellStyle name="Output 9 2" xfId="1364" xr:uid="{00000000-0005-0000-0000-0000C4640000}"/>
    <cellStyle name="Output 9 2 2" xfId="1868" xr:uid="{00000000-0005-0000-0000-0000C5640000}"/>
    <cellStyle name="Output 9 2 2 2" xfId="4096" xr:uid="{00000000-0005-0000-0000-0000C6640000}"/>
    <cellStyle name="Output 9 2 2 2 2" xfId="8142" xr:uid="{00000000-0005-0000-0000-0000C7640000}"/>
    <cellStyle name="Output 9 2 2 2 2 2" xfId="17515" xr:uid="{00000000-0005-0000-0000-0000C8640000}"/>
    <cellStyle name="Output 9 2 2 2 2 2 2" xfId="32347" xr:uid="{00000000-0005-0000-0000-0000C9640000}"/>
    <cellStyle name="Output 9 2 2 2 2 3" xfId="19265" xr:uid="{00000000-0005-0000-0000-0000CA640000}"/>
    <cellStyle name="Output 9 2 2 2 3" xfId="14428" xr:uid="{00000000-0005-0000-0000-0000CB640000}"/>
    <cellStyle name="Output 9 2 2 2 3 2" xfId="29260" xr:uid="{00000000-0005-0000-0000-0000CC640000}"/>
    <cellStyle name="Output 9 2 2 2 4" xfId="11132" xr:uid="{00000000-0005-0000-0000-0000CD640000}"/>
    <cellStyle name="Output 9 2 2 2 4 2" xfId="25964" xr:uid="{00000000-0005-0000-0000-0000CE640000}"/>
    <cellStyle name="Output 9 2 2 3" xfId="4846" xr:uid="{00000000-0005-0000-0000-0000CF640000}"/>
    <cellStyle name="Output 9 2 2 3 2" xfId="8885" xr:uid="{00000000-0005-0000-0000-0000D0640000}"/>
    <cellStyle name="Output 9 2 2 3 2 2" xfId="17926" xr:uid="{00000000-0005-0000-0000-0000D1640000}"/>
    <cellStyle name="Output 9 2 2 3 2 2 2" xfId="32758" xr:uid="{00000000-0005-0000-0000-0000D2640000}"/>
    <cellStyle name="Output 9 2 2 3 2 3" xfId="19528" xr:uid="{00000000-0005-0000-0000-0000D3640000}"/>
    <cellStyle name="Output 9 2 2 3 3" xfId="15170" xr:uid="{00000000-0005-0000-0000-0000D4640000}"/>
    <cellStyle name="Output 9 2 2 3 3 2" xfId="30002" xr:uid="{00000000-0005-0000-0000-0000D5640000}"/>
    <cellStyle name="Output 9 2 2 3 4" xfId="11529" xr:uid="{00000000-0005-0000-0000-0000D6640000}"/>
    <cellStyle name="Output 9 2 2 3 4 2" xfId="26361" xr:uid="{00000000-0005-0000-0000-0000D7640000}"/>
    <cellStyle name="Output 9 2 2 4" xfId="2836" xr:uid="{00000000-0005-0000-0000-0000D8640000}"/>
    <cellStyle name="Output 9 2 2 4 2" xfId="6927" xr:uid="{00000000-0005-0000-0000-0000D9640000}"/>
    <cellStyle name="Output 9 2 2 4 2 2" xfId="16820" xr:uid="{00000000-0005-0000-0000-0000DA640000}"/>
    <cellStyle name="Output 9 2 2 4 2 2 2" xfId="31652" xr:uid="{00000000-0005-0000-0000-0000DB640000}"/>
    <cellStyle name="Output 9 2 2 4 2 3" xfId="18819" xr:uid="{00000000-0005-0000-0000-0000DC640000}"/>
    <cellStyle name="Output 9 2 2 4 3" xfId="13174" xr:uid="{00000000-0005-0000-0000-0000DD640000}"/>
    <cellStyle name="Output 9 2 2 4 3 2" xfId="28006" xr:uid="{00000000-0005-0000-0000-0000DE640000}"/>
    <cellStyle name="Output 9 2 2 4 4" xfId="10473" xr:uid="{00000000-0005-0000-0000-0000DF640000}"/>
    <cellStyle name="Output 9 2 2 4 4 2" xfId="25305" xr:uid="{00000000-0005-0000-0000-0000E0640000}"/>
    <cellStyle name="Output 9 2 2 5" xfId="6000" xr:uid="{00000000-0005-0000-0000-0000E1640000}"/>
    <cellStyle name="Output 9 2 2 5 2" xfId="16192" xr:uid="{00000000-0005-0000-0000-0000E2640000}"/>
    <cellStyle name="Output 9 2 2 5 2 2" xfId="31024" xr:uid="{00000000-0005-0000-0000-0000E3640000}"/>
    <cellStyle name="Output 9 2 2 5 3" xfId="18461" xr:uid="{00000000-0005-0000-0000-0000E4640000}"/>
    <cellStyle name="Output 9 2 2 6" xfId="12262" xr:uid="{00000000-0005-0000-0000-0000E5640000}"/>
    <cellStyle name="Output 9 2 2 6 2" xfId="27094" xr:uid="{00000000-0005-0000-0000-0000E6640000}"/>
    <cellStyle name="Output 9 2 2 7" xfId="9858" xr:uid="{00000000-0005-0000-0000-0000E7640000}"/>
    <cellStyle name="Output 9 2 2 7 2" xfId="24784" xr:uid="{00000000-0005-0000-0000-0000E8640000}"/>
    <cellStyle name="Output 9 2 3" xfId="3205" xr:uid="{00000000-0005-0000-0000-0000E9640000}"/>
    <cellStyle name="Output 9 2 3 2" xfId="7269" xr:uid="{00000000-0005-0000-0000-0000EA640000}"/>
    <cellStyle name="Output 9 2 3 2 2" xfId="17036" xr:uid="{00000000-0005-0000-0000-0000EB640000}"/>
    <cellStyle name="Output 9 2 3 2 2 2" xfId="31868" xr:uid="{00000000-0005-0000-0000-0000EC640000}"/>
    <cellStyle name="Output 9 2 3 2 3" xfId="18962" xr:uid="{00000000-0005-0000-0000-0000ED640000}"/>
    <cellStyle name="Output 9 2 3 3" xfId="13543" xr:uid="{00000000-0005-0000-0000-0000EE640000}"/>
    <cellStyle name="Output 9 2 3 3 2" xfId="28375" xr:uid="{00000000-0005-0000-0000-0000EF640000}"/>
    <cellStyle name="Output 9 2 3 4" xfId="10680" xr:uid="{00000000-0005-0000-0000-0000F0640000}"/>
    <cellStyle name="Output 9 2 3 4 2" xfId="25512" xr:uid="{00000000-0005-0000-0000-0000F1640000}"/>
    <cellStyle name="Output 9 2 4" xfId="4426" xr:uid="{00000000-0005-0000-0000-0000F2640000}"/>
    <cellStyle name="Output 9 2 4 2" xfId="8465" xr:uid="{00000000-0005-0000-0000-0000F3640000}"/>
    <cellStyle name="Output 9 2 4 2 2" xfId="17686" xr:uid="{00000000-0005-0000-0000-0000F4640000}"/>
    <cellStyle name="Output 9 2 4 2 2 2" xfId="32518" xr:uid="{00000000-0005-0000-0000-0000F5640000}"/>
    <cellStyle name="Output 9 2 4 2 3" xfId="19368" xr:uid="{00000000-0005-0000-0000-0000F6640000}"/>
    <cellStyle name="Output 9 2 4 3" xfId="14755" xr:uid="{00000000-0005-0000-0000-0000F7640000}"/>
    <cellStyle name="Output 9 2 4 3 2" xfId="29587" xr:uid="{00000000-0005-0000-0000-0000F8640000}"/>
    <cellStyle name="Output 9 2 4 4" xfId="11294" xr:uid="{00000000-0005-0000-0000-0000F9640000}"/>
    <cellStyle name="Output 9 2 4 4 2" xfId="26126" xr:uid="{00000000-0005-0000-0000-0000FA640000}"/>
    <cellStyle name="Output 9 2 5" xfId="2416" xr:uid="{00000000-0005-0000-0000-0000FB640000}"/>
    <cellStyle name="Output 9 2 5 2" xfId="6528" xr:uid="{00000000-0005-0000-0000-0000FC640000}"/>
    <cellStyle name="Output 9 2 5 2 2" xfId="16584" xr:uid="{00000000-0005-0000-0000-0000FD640000}"/>
    <cellStyle name="Output 9 2 5 2 2 2" xfId="31416" xr:uid="{00000000-0005-0000-0000-0000FE640000}"/>
    <cellStyle name="Output 9 2 5 2 3" xfId="18656" xr:uid="{00000000-0005-0000-0000-0000FF640000}"/>
    <cellStyle name="Output 9 2 5 3" xfId="12755" xr:uid="{00000000-0005-0000-0000-000000650000}"/>
    <cellStyle name="Output 9 2 5 3 2" xfId="27587" xr:uid="{00000000-0005-0000-0000-000001650000}"/>
    <cellStyle name="Output 9 2 5 4" xfId="10234" xr:uid="{00000000-0005-0000-0000-000002650000}"/>
    <cellStyle name="Output 9 2 5 4 2" xfId="25066" xr:uid="{00000000-0005-0000-0000-000003650000}"/>
    <cellStyle name="Output 9 2 6" xfId="5541" xr:uid="{00000000-0005-0000-0000-000004650000}"/>
    <cellStyle name="Output 9 2 6 2" xfId="15776" xr:uid="{00000000-0005-0000-0000-000005650000}"/>
    <cellStyle name="Output 9 2 6 2 2" xfId="30608" xr:uid="{00000000-0005-0000-0000-000006650000}"/>
    <cellStyle name="Output 9 2 6 3" xfId="18298" xr:uid="{00000000-0005-0000-0000-000007650000}"/>
    <cellStyle name="Output 9 2 7" xfId="11791" xr:uid="{00000000-0005-0000-0000-000008650000}"/>
    <cellStyle name="Output 9 2 7 2" xfId="26623" xr:uid="{00000000-0005-0000-0000-000009650000}"/>
    <cellStyle name="Output 9 2 8" xfId="9462" xr:uid="{00000000-0005-0000-0000-00000A650000}"/>
    <cellStyle name="Output 9 2 8 2" xfId="19766" xr:uid="{00000000-0005-0000-0000-00000B650000}"/>
    <cellStyle name="Output 9 3" xfId="1534" xr:uid="{00000000-0005-0000-0000-00000C650000}"/>
    <cellStyle name="Output 9 3 2" xfId="2031" xr:uid="{00000000-0005-0000-0000-00000D650000}"/>
    <cellStyle name="Output 9 3 2 2" xfId="3391" xr:uid="{00000000-0005-0000-0000-00000E650000}"/>
    <cellStyle name="Output 9 3 2 2 2" xfId="7454" xr:uid="{00000000-0005-0000-0000-00000F650000}"/>
    <cellStyle name="Output 9 3 2 2 2 2" xfId="17158" xr:uid="{00000000-0005-0000-0000-000010650000}"/>
    <cellStyle name="Output 9 3 2 2 2 2 2" xfId="31990" xr:uid="{00000000-0005-0000-0000-000011650000}"/>
    <cellStyle name="Output 9 3 2 2 2 3" xfId="19020" xr:uid="{00000000-0005-0000-0000-000012650000}"/>
    <cellStyle name="Output 9 3 2 2 3" xfId="13728" xr:uid="{00000000-0005-0000-0000-000013650000}"/>
    <cellStyle name="Output 9 3 2 2 3 2" xfId="28560" xr:uid="{00000000-0005-0000-0000-000014650000}"/>
    <cellStyle name="Output 9 3 2 2 4" xfId="10777" xr:uid="{00000000-0005-0000-0000-000015650000}"/>
    <cellStyle name="Output 9 3 2 2 4 2" xfId="25609" xr:uid="{00000000-0005-0000-0000-000016650000}"/>
    <cellStyle name="Output 9 3 2 3" xfId="4999" xr:uid="{00000000-0005-0000-0000-000017650000}"/>
    <cellStyle name="Output 9 3 2 3 2" xfId="9038" xr:uid="{00000000-0005-0000-0000-000018650000}"/>
    <cellStyle name="Output 9 3 2 3 2 2" xfId="17976" xr:uid="{00000000-0005-0000-0000-000019650000}"/>
    <cellStyle name="Output 9 3 2 3 2 2 2" xfId="32808" xr:uid="{00000000-0005-0000-0000-00001A650000}"/>
    <cellStyle name="Output 9 3 2 3 2 3" xfId="19560" xr:uid="{00000000-0005-0000-0000-00001B650000}"/>
    <cellStyle name="Output 9 3 2 3 3" xfId="15321" xr:uid="{00000000-0005-0000-0000-00001C650000}"/>
    <cellStyle name="Output 9 3 2 3 3 2" xfId="30153" xr:uid="{00000000-0005-0000-0000-00001D650000}"/>
    <cellStyle name="Output 9 3 2 3 4" xfId="11577" xr:uid="{00000000-0005-0000-0000-00001E650000}"/>
    <cellStyle name="Output 9 3 2 3 4 2" xfId="26409" xr:uid="{00000000-0005-0000-0000-00001F650000}"/>
    <cellStyle name="Output 9 3 2 4" xfId="2989" xr:uid="{00000000-0005-0000-0000-000020650000}"/>
    <cellStyle name="Output 9 3 2 4 2" xfId="7069" xr:uid="{00000000-0005-0000-0000-000021650000}"/>
    <cellStyle name="Output 9 3 2 4 2 2" xfId="16868" xr:uid="{00000000-0005-0000-0000-000022650000}"/>
    <cellStyle name="Output 9 3 2 4 2 2 2" xfId="31700" xr:uid="{00000000-0005-0000-0000-000023650000}"/>
    <cellStyle name="Output 9 3 2 4 2 3" xfId="18852" xr:uid="{00000000-0005-0000-0000-000024650000}"/>
    <cellStyle name="Output 9 3 2 4 3" xfId="13327" xr:uid="{00000000-0005-0000-0000-000025650000}"/>
    <cellStyle name="Output 9 3 2 4 3 2" xfId="28159" xr:uid="{00000000-0005-0000-0000-000026650000}"/>
    <cellStyle name="Output 9 3 2 4 4" xfId="10523" xr:uid="{00000000-0005-0000-0000-000027650000}"/>
    <cellStyle name="Output 9 3 2 4 4 2" xfId="25355" xr:uid="{00000000-0005-0000-0000-000028650000}"/>
    <cellStyle name="Output 9 3 2 5" xfId="6161" xr:uid="{00000000-0005-0000-0000-000029650000}"/>
    <cellStyle name="Output 9 3 2 5 2" xfId="16348" xr:uid="{00000000-0005-0000-0000-00002A650000}"/>
    <cellStyle name="Output 9 3 2 5 2 2" xfId="31180" xr:uid="{00000000-0005-0000-0000-00002B650000}"/>
    <cellStyle name="Output 9 3 2 5 3" xfId="18493" xr:uid="{00000000-0005-0000-0000-00002C650000}"/>
    <cellStyle name="Output 9 3 2 6" xfId="12418" xr:uid="{00000000-0005-0000-0000-00002D650000}"/>
    <cellStyle name="Output 9 3 2 6 2" xfId="27250" xr:uid="{00000000-0005-0000-0000-00002E650000}"/>
    <cellStyle name="Output 9 3 2 7" xfId="10000" xr:uid="{00000000-0005-0000-0000-00002F650000}"/>
    <cellStyle name="Output 9 3 2 7 2" xfId="24832" xr:uid="{00000000-0005-0000-0000-000030650000}"/>
    <cellStyle name="Output 9 3 3" xfId="3155" xr:uid="{00000000-0005-0000-0000-000031650000}"/>
    <cellStyle name="Output 9 3 3 2" xfId="7219" xr:uid="{00000000-0005-0000-0000-000032650000}"/>
    <cellStyle name="Output 9 3 3 2 2" xfId="16997" xr:uid="{00000000-0005-0000-0000-000033650000}"/>
    <cellStyle name="Output 9 3 3 2 2 2" xfId="31829" xr:uid="{00000000-0005-0000-0000-000034650000}"/>
    <cellStyle name="Output 9 3 3 2 3" xfId="18944" xr:uid="{00000000-0005-0000-0000-000035650000}"/>
    <cellStyle name="Output 9 3 3 3" xfId="13493" xr:uid="{00000000-0005-0000-0000-000036650000}"/>
    <cellStyle name="Output 9 3 3 3 2" xfId="28325" xr:uid="{00000000-0005-0000-0000-000037650000}"/>
    <cellStyle name="Output 9 3 3 4" xfId="10649" xr:uid="{00000000-0005-0000-0000-000038650000}"/>
    <cellStyle name="Output 9 3 3 4 2" xfId="25481" xr:uid="{00000000-0005-0000-0000-000039650000}"/>
    <cellStyle name="Output 9 3 4" xfId="4579" xr:uid="{00000000-0005-0000-0000-00003A650000}"/>
    <cellStyle name="Output 9 3 4 2" xfId="8618" xr:uid="{00000000-0005-0000-0000-00003B650000}"/>
    <cellStyle name="Output 9 3 4 2 2" xfId="17736" xr:uid="{00000000-0005-0000-0000-00003C650000}"/>
    <cellStyle name="Output 9 3 4 2 2 2" xfId="32568" xr:uid="{00000000-0005-0000-0000-00003D650000}"/>
    <cellStyle name="Output 9 3 4 2 3" xfId="19400" xr:uid="{00000000-0005-0000-0000-00003E650000}"/>
    <cellStyle name="Output 9 3 4 3" xfId="14906" xr:uid="{00000000-0005-0000-0000-00003F650000}"/>
    <cellStyle name="Output 9 3 4 3 2" xfId="29738" xr:uid="{00000000-0005-0000-0000-000040650000}"/>
    <cellStyle name="Output 9 3 4 4" xfId="11342" xr:uid="{00000000-0005-0000-0000-000041650000}"/>
    <cellStyle name="Output 9 3 4 4 2" xfId="26174" xr:uid="{00000000-0005-0000-0000-000042650000}"/>
    <cellStyle name="Output 9 3 5" xfId="2569" xr:uid="{00000000-0005-0000-0000-000043650000}"/>
    <cellStyle name="Output 9 3 5 2" xfId="6675" xr:uid="{00000000-0005-0000-0000-000044650000}"/>
    <cellStyle name="Output 9 3 5 2 2" xfId="16633" xr:uid="{00000000-0005-0000-0000-000045650000}"/>
    <cellStyle name="Output 9 3 5 2 2 2" xfId="31465" xr:uid="{00000000-0005-0000-0000-000046650000}"/>
    <cellStyle name="Output 9 3 5 2 3" xfId="18688" xr:uid="{00000000-0005-0000-0000-000047650000}"/>
    <cellStyle name="Output 9 3 5 3" xfId="12907" xr:uid="{00000000-0005-0000-0000-000048650000}"/>
    <cellStyle name="Output 9 3 5 3 2" xfId="27739" xr:uid="{00000000-0005-0000-0000-000049650000}"/>
    <cellStyle name="Output 9 3 5 4" xfId="10283" xr:uid="{00000000-0005-0000-0000-00004A650000}"/>
    <cellStyle name="Output 9 3 5 4 2" xfId="25115" xr:uid="{00000000-0005-0000-0000-00004B650000}"/>
    <cellStyle name="Output 9 3 6" xfId="5692" xr:uid="{00000000-0005-0000-0000-00004C650000}"/>
    <cellStyle name="Output 9 3 6 2" xfId="15927" xr:uid="{00000000-0005-0000-0000-00004D650000}"/>
    <cellStyle name="Output 9 3 6 2 2" xfId="30759" xr:uid="{00000000-0005-0000-0000-00004E650000}"/>
    <cellStyle name="Output 9 3 6 3" xfId="18330" xr:uid="{00000000-0005-0000-0000-00004F650000}"/>
    <cellStyle name="Output 9 3 7" xfId="11947" xr:uid="{00000000-0005-0000-0000-000050650000}"/>
    <cellStyle name="Output 9 3 7 2" xfId="26779" xr:uid="{00000000-0005-0000-0000-000051650000}"/>
    <cellStyle name="Output 9 3 8" xfId="9605" xr:uid="{00000000-0005-0000-0000-000052650000}"/>
    <cellStyle name="Output 9 3 8 2" xfId="19907" xr:uid="{00000000-0005-0000-0000-000053650000}"/>
    <cellStyle name="Output 9 4" xfId="1589" xr:uid="{00000000-0005-0000-0000-000054650000}"/>
    <cellStyle name="Output 9 4 2" xfId="2086" xr:uid="{00000000-0005-0000-0000-000055650000}"/>
    <cellStyle name="Output 9 4 2 2" xfId="3531" xr:uid="{00000000-0005-0000-0000-000056650000}"/>
    <cellStyle name="Output 9 4 2 2 2" xfId="7593" xr:uid="{00000000-0005-0000-0000-000057650000}"/>
    <cellStyle name="Output 9 4 2 2 2 2" xfId="17238" xr:uid="{00000000-0005-0000-0000-000058650000}"/>
    <cellStyle name="Output 9 4 2 2 2 2 2" xfId="32070" xr:uid="{00000000-0005-0000-0000-000059650000}"/>
    <cellStyle name="Output 9 4 2 2 2 3" xfId="19066" xr:uid="{00000000-0005-0000-0000-00005A650000}"/>
    <cellStyle name="Output 9 4 2 2 3" xfId="13868" xr:uid="{00000000-0005-0000-0000-00005B650000}"/>
    <cellStyle name="Output 9 4 2 2 3 2" xfId="28700" xr:uid="{00000000-0005-0000-0000-00005C650000}"/>
    <cellStyle name="Output 9 4 2 2 4" xfId="10856" xr:uid="{00000000-0005-0000-0000-00005D650000}"/>
    <cellStyle name="Output 9 4 2 2 4 2" xfId="25688" xr:uid="{00000000-0005-0000-0000-00005E650000}"/>
    <cellStyle name="Output 9 4 2 3" xfId="5054" xr:uid="{00000000-0005-0000-0000-00005F650000}"/>
    <cellStyle name="Output 9 4 2 3 2" xfId="9093" xr:uid="{00000000-0005-0000-0000-000060650000}"/>
    <cellStyle name="Output 9 4 2 3 2 2" xfId="18026" xr:uid="{00000000-0005-0000-0000-000061650000}"/>
    <cellStyle name="Output 9 4 2 3 2 2 2" xfId="32858" xr:uid="{00000000-0005-0000-0000-000062650000}"/>
    <cellStyle name="Output 9 4 2 3 2 3" xfId="19592" xr:uid="{00000000-0005-0000-0000-000063650000}"/>
    <cellStyle name="Output 9 4 2 3 3" xfId="15375" xr:uid="{00000000-0005-0000-0000-000064650000}"/>
    <cellStyle name="Output 9 4 2 3 3 2" xfId="30207" xr:uid="{00000000-0005-0000-0000-000065650000}"/>
    <cellStyle name="Output 9 4 2 3 4" xfId="11626" xr:uid="{00000000-0005-0000-0000-000066650000}"/>
    <cellStyle name="Output 9 4 2 3 4 2" xfId="26458" xr:uid="{00000000-0005-0000-0000-000067650000}"/>
    <cellStyle name="Output 9 4 2 4" xfId="3044" xr:uid="{00000000-0005-0000-0000-000068650000}"/>
    <cellStyle name="Output 9 4 2 4 2" xfId="7119" xr:uid="{00000000-0005-0000-0000-000069650000}"/>
    <cellStyle name="Output 9 4 2 4 2 2" xfId="16917" xr:uid="{00000000-0005-0000-0000-00006A650000}"/>
    <cellStyle name="Output 9 4 2 4 2 2 2" xfId="31749" xr:uid="{00000000-0005-0000-0000-00006B650000}"/>
    <cellStyle name="Output 9 4 2 4 2 3" xfId="18885" xr:uid="{00000000-0005-0000-0000-00006C650000}"/>
    <cellStyle name="Output 9 4 2 4 3" xfId="13382" xr:uid="{00000000-0005-0000-0000-00006D650000}"/>
    <cellStyle name="Output 9 4 2 4 3 2" xfId="28214" xr:uid="{00000000-0005-0000-0000-00006E650000}"/>
    <cellStyle name="Output 9 4 2 4 4" xfId="10573" xr:uid="{00000000-0005-0000-0000-00006F650000}"/>
    <cellStyle name="Output 9 4 2 4 4 2" xfId="25405" xr:uid="{00000000-0005-0000-0000-000070650000}"/>
    <cellStyle name="Output 9 4 2 5" xfId="6211" xr:uid="{00000000-0005-0000-0000-000071650000}"/>
    <cellStyle name="Output 9 4 2 5 2" xfId="16397" xr:uid="{00000000-0005-0000-0000-000072650000}"/>
    <cellStyle name="Output 9 4 2 5 2 2" xfId="31229" xr:uid="{00000000-0005-0000-0000-000073650000}"/>
    <cellStyle name="Output 9 4 2 5 3" xfId="18526" xr:uid="{00000000-0005-0000-0000-000074650000}"/>
    <cellStyle name="Output 9 4 2 6" xfId="12467" xr:uid="{00000000-0005-0000-0000-000075650000}"/>
    <cellStyle name="Output 9 4 2 6 2" xfId="27299" xr:uid="{00000000-0005-0000-0000-000076650000}"/>
    <cellStyle name="Output 9 4 2 7" xfId="10049" xr:uid="{00000000-0005-0000-0000-000077650000}"/>
    <cellStyle name="Output 9 4 2 7 2" xfId="24881" xr:uid="{00000000-0005-0000-0000-000078650000}"/>
    <cellStyle name="Output 9 4 3" xfId="4322" xr:uid="{00000000-0005-0000-0000-000079650000}"/>
    <cellStyle name="Output 9 4 3 2" xfId="8361" xr:uid="{00000000-0005-0000-0000-00007A650000}"/>
    <cellStyle name="Output 9 4 3 2 2" xfId="17639" xr:uid="{00000000-0005-0000-0000-00007B650000}"/>
    <cellStyle name="Output 9 4 3 2 2 2" xfId="32471" xr:uid="{00000000-0005-0000-0000-00007C650000}"/>
    <cellStyle name="Output 9 4 3 2 3" xfId="19341" xr:uid="{00000000-0005-0000-0000-00007D650000}"/>
    <cellStyle name="Output 9 4 3 3" xfId="14653" xr:uid="{00000000-0005-0000-0000-00007E650000}"/>
    <cellStyle name="Output 9 4 3 3 2" xfId="29485" xr:uid="{00000000-0005-0000-0000-00007F650000}"/>
    <cellStyle name="Output 9 4 3 4" xfId="11249" xr:uid="{00000000-0005-0000-0000-000080650000}"/>
    <cellStyle name="Output 9 4 3 4 2" xfId="26081" xr:uid="{00000000-0005-0000-0000-000081650000}"/>
    <cellStyle name="Output 9 4 4" xfId="4634" xr:uid="{00000000-0005-0000-0000-000082650000}"/>
    <cellStyle name="Output 9 4 4 2" xfId="8673" xr:uid="{00000000-0005-0000-0000-000083650000}"/>
    <cellStyle name="Output 9 4 4 2 2" xfId="17786" xr:uid="{00000000-0005-0000-0000-000084650000}"/>
    <cellStyle name="Output 9 4 4 2 2 2" xfId="32618" xr:uid="{00000000-0005-0000-0000-000085650000}"/>
    <cellStyle name="Output 9 4 4 2 3" xfId="19432" xr:uid="{00000000-0005-0000-0000-000086650000}"/>
    <cellStyle name="Output 9 4 4 3" xfId="14960" xr:uid="{00000000-0005-0000-0000-000087650000}"/>
    <cellStyle name="Output 9 4 4 3 2" xfId="29792" xr:uid="{00000000-0005-0000-0000-000088650000}"/>
    <cellStyle name="Output 9 4 4 4" xfId="11391" xr:uid="{00000000-0005-0000-0000-000089650000}"/>
    <cellStyle name="Output 9 4 4 4 2" xfId="26223" xr:uid="{00000000-0005-0000-0000-00008A650000}"/>
    <cellStyle name="Output 9 4 5" xfId="2624" xr:uid="{00000000-0005-0000-0000-00008B650000}"/>
    <cellStyle name="Output 9 4 5 2" xfId="6725" xr:uid="{00000000-0005-0000-0000-00008C650000}"/>
    <cellStyle name="Output 9 4 5 2 2" xfId="16682" xr:uid="{00000000-0005-0000-0000-00008D650000}"/>
    <cellStyle name="Output 9 4 5 2 2 2" xfId="31514" xr:uid="{00000000-0005-0000-0000-00008E650000}"/>
    <cellStyle name="Output 9 4 5 2 3" xfId="18721" xr:uid="{00000000-0005-0000-0000-00008F650000}"/>
    <cellStyle name="Output 9 4 5 3" xfId="12962" xr:uid="{00000000-0005-0000-0000-000090650000}"/>
    <cellStyle name="Output 9 4 5 3 2" xfId="27794" xr:uid="{00000000-0005-0000-0000-000091650000}"/>
    <cellStyle name="Output 9 4 5 4" xfId="10333" xr:uid="{00000000-0005-0000-0000-000092650000}"/>
    <cellStyle name="Output 9 4 5 4 2" xfId="25165" xr:uid="{00000000-0005-0000-0000-000093650000}"/>
    <cellStyle name="Output 9 4 6" xfId="5741" xr:uid="{00000000-0005-0000-0000-000094650000}"/>
    <cellStyle name="Output 9 4 6 2" xfId="15976" xr:uid="{00000000-0005-0000-0000-000095650000}"/>
    <cellStyle name="Output 9 4 6 2 2" xfId="30808" xr:uid="{00000000-0005-0000-0000-000096650000}"/>
    <cellStyle name="Output 9 4 6 3" xfId="18362" xr:uid="{00000000-0005-0000-0000-000097650000}"/>
    <cellStyle name="Output 9 4 7" xfId="11996" xr:uid="{00000000-0005-0000-0000-000098650000}"/>
    <cellStyle name="Output 9 4 7 2" xfId="26828" xr:uid="{00000000-0005-0000-0000-000099650000}"/>
    <cellStyle name="Output 9 4 8" xfId="9655" xr:uid="{00000000-0005-0000-0000-00009A650000}"/>
    <cellStyle name="Output 9 4 8 2" xfId="19956" xr:uid="{00000000-0005-0000-0000-00009B650000}"/>
    <cellStyle name="Output 9 5" xfId="1639" xr:uid="{00000000-0005-0000-0000-00009C650000}"/>
    <cellStyle name="Output 9 5 2" xfId="2136" xr:uid="{00000000-0005-0000-0000-00009D650000}"/>
    <cellStyle name="Output 9 5 2 2" xfId="4307" xr:uid="{00000000-0005-0000-0000-00009E650000}"/>
    <cellStyle name="Output 9 5 2 2 2" xfId="8346" xr:uid="{00000000-0005-0000-0000-00009F650000}"/>
    <cellStyle name="Output 9 5 2 2 2 2" xfId="17625" xr:uid="{00000000-0005-0000-0000-0000A0650000}"/>
    <cellStyle name="Output 9 5 2 2 2 2 2" xfId="32457" xr:uid="{00000000-0005-0000-0000-0000A1650000}"/>
    <cellStyle name="Output 9 5 2 2 2 3" xfId="19329" xr:uid="{00000000-0005-0000-0000-0000A2650000}"/>
    <cellStyle name="Output 9 5 2 2 3" xfId="14638" xr:uid="{00000000-0005-0000-0000-0000A3650000}"/>
    <cellStyle name="Output 9 5 2 2 3 2" xfId="29470" xr:uid="{00000000-0005-0000-0000-0000A4650000}"/>
    <cellStyle name="Output 9 5 2 2 4" xfId="11236" xr:uid="{00000000-0005-0000-0000-0000A5650000}"/>
    <cellStyle name="Output 9 5 2 2 4 2" xfId="26068" xr:uid="{00000000-0005-0000-0000-0000A6650000}"/>
    <cellStyle name="Output 9 5 2 3" xfId="5104" xr:uid="{00000000-0005-0000-0000-0000A7650000}"/>
    <cellStyle name="Output 9 5 2 3 2" xfId="9143" xr:uid="{00000000-0005-0000-0000-0000A8650000}"/>
    <cellStyle name="Output 9 5 2 3 2 2" xfId="18071" xr:uid="{00000000-0005-0000-0000-0000A9650000}"/>
    <cellStyle name="Output 9 5 2 3 2 2 2" xfId="32903" xr:uid="{00000000-0005-0000-0000-0000AA650000}"/>
    <cellStyle name="Output 9 5 2 3 2 3" xfId="19624" xr:uid="{00000000-0005-0000-0000-0000AB650000}"/>
    <cellStyle name="Output 9 5 2 3 3" xfId="15424" xr:uid="{00000000-0005-0000-0000-0000AC650000}"/>
    <cellStyle name="Output 9 5 2 3 3 2" xfId="30256" xr:uid="{00000000-0005-0000-0000-0000AD650000}"/>
    <cellStyle name="Output 9 5 2 3 4" xfId="11670" xr:uid="{00000000-0005-0000-0000-0000AE650000}"/>
    <cellStyle name="Output 9 5 2 3 4 2" xfId="26502" xr:uid="{00000000-0005-0000-0000-0000AF650000}"/>
    <cellStyle name="Output 9 5 2 4" xfId="3094" xr:uid="{00000000-0005-0000-0000-0000B0650000}"/>
    <cellStyle name="Output 9 5 2 4 2" xfId="7164" xr:uid="{00000000-0005-0000-0000-0000B1650000}"/>
    <cellStyle name="Output 9 5 2 4 2 2" xfId="16961" xr:uid="{00000000-0005-0000-0000-0000B2650000}"/>
    <cellStyle name="Output 9 5 2 4 2 2 2" xfId="31793" xr:uid="{00000000-0005-0000-0000-0000B3650000}"/>
    <cellStyle name="Output 9 5 2 4 2 3" xfId="18918" xr:uid="{00000000-0005-0000-0000-0000B4650000}"/>
    <cellStyle name="Output 9 5 2 4 3" xfId="13432" xr:uid="{00000000-0005-0000-0000-0000B5650000}"/>
    <cellStyle name="Output 9 5 2 4 3 2" xfId="28264" xr:uid="{00000000-0005-0000-0000-0000B6650000}"/>
    <cellStyle name="Output 9 5 2 4 4" xfId="10618" xr:uid="{00000000-0005-0000-0000-0000B7650000}"/>
    <cellStyle name="Output 9 5 2 4 4 2" xfId="25450" xr:uid="{00000000-0005-0000-0000-0000B8650000}"/>
    <cellStyle name="Output 9 5 2 5" xfId="6256" xr:uid="{00000000-0005-0000-0000-0000B9650000}"/>
    <cellStyle name="Output 9 5 2 5 2" xfId="16441" xr:uid="{00000000-0005-0000-0000-0000BA650000}"/>
    <cellStyle name="Output 9 5 2 5 2 2" xfId="31273" xr:uid="{00000000-0005-0000-0000-0000BB650000}"/>
    <cellStyle name="Output 9 5 2 5 3" xfId="18559" xr:uid="{00000000-0005-0000-0000-0000BC650000}"/>
    <cellStyle name="Output 9 5 2 6" xfId="12511" xr:uid="{00000000-0005-0000-0000-0000BD650000}"/>
    <cellStyle name="Output 9 5 2 6 2" xfId="27343" xr:uid="{00000000-0005-0000-0000-0000BE650000}"/>
    <cellStyle name="Output 9 5 2 7" xfId="10093" xr:uid="{00000000-0005-0000-0000-0000BF650000}"/>
    <cellStyle name="Output 9 5 2 7 2" xfId="24925" xr:uid="{00000000-0005-0000-0000-0000C0650000}"/>
    <cellStyle name="Output 9 5 3" xfId="3677" xr:uid="{00000000-0005-0000-0000-0000C1650000}"/>
    <cellStyle name="Output 9 5 3 2" xfId="7735" xr:uid="{00000000-0005-0000-0000-0000C2650000}"/>
    <cellStyle name="Output 9 5 3 2 2" xfId="17312" xr:uid="{00000000-0005-0000-0000-0000C3650000}"/>
    <cellStyle name="Output 9 5 3 2 2 2" xfId="32144" xr:uid="{00000000-0005-0000-0000-0000C4650000}"/>
    <cellStyle name="Output 9 5 3 2 3" xfId="19120" xr:uid="{00000000-0005-0000-0000-0000C5650000}"/>
    <cellStyle name="Output 9 5 3 3" xfId="14012" xr:uid="{00000000-0005-0000-0000-0000C6650000}"/>
    <cellStyle name="Output 9 5 3 3 2" xfId="28844" xr:uid="{00000000-0005-0000-0000-0000C7650000}"/>
    <cellStyle name="Output 9 5 3 4" xfId="10929" xr:uid="{00000000-0005-0000-0000-0000C8650000}"/>
    <cellStyle name="Output 9 5 3 4 2" xfId="25761" xr:uid="{00000000-0005-0000-0000-0000C9650000}"/>
    <cellStyle name="Output 9 5 4" xfId="4684" xr:uid="{00000000-0005-0000-0000-0000CA650000}"/>
    <cellStyle name="Output 9 5 4 2" xfId="8723" xr:uid="{00000000-0005-0000-0000-0000CB650000}"/>
    <cellStyle name="Output 9 5 4 2 2" xfId="17831" xr:uid="{00000000-0005-0000-0000-0000CC650000}"/>
    <cellStyle name="Output 9 5 4 2 2 2" xfId="32663" xr:uid="{00000000-0005-0000-0000-0000CD650000}"/>
    <cellStyle name="Output 9 5 4 2 3" xfId="19464" xr:uid="{00000000-0005-0000-0000-0000CE650000}"/>
    <cellStyle name="Output 9 5 4 3" xfId="15009" xr:uid="{00000000-0005-0000-0000-0000CF650000}"/>
    <cellStyle name="Output 9 5 4 3 2" xfId="29841" xr:uid="{00000000-0005-0000-0000-0000D0650000}"/>
    <cellStyle name="Output 9 5 4 4" xfId="11435" xr:uid="{00000000-0005-0000-0000-0000D1650000}"/>
    <cellStyle name="Output 9 5 4 4 2" xfId="26267" xr:uid="{00000000-0005-0000-0000-0000D2650000}"/>
    <cellStyle name="Output 9 5 5" xfId="2674" xr:uid="{00000000-0005-0000-0000-0000D3650000}"/>
    <cellStyle name="Output 9 5 5 2" xfId="6770" xr:uid="{00000000-0005-0000-0000-0000D4650000}"/>
    <cellStyle name="Output 9 5 5 2 2" xfId="16726" xr:uid="{00000000-0005-0000-0000-0000D5650000}"/>
    <cellStyle name="Output 9 5 5 2 2 2" xfId="31558" xr:uid="{00000000-0005-0000-0000-0000D6650000}"/>
    <cellStyle name="Output 9 5 5 2 3" xfId="18754" xr:uid="{00000000-0005-0000-0000-0000D7650000}"/>
    <cellStyle name="Output 9 5 5 3" xfId="13012" xr:uid="{00000000-0005-0000-0000-0000D8650000}"/>
    <cellStyle name="Output 9 5 5 3 2" xfId="27844" xr:uid="{00000000-0005-0000-0000-0000D9650000}"/>
    <cellStyle name="Output 9 5 5 4" xfId="10378" xr:uid="{00000000-0005-0000-0000-0000DA650000}"/>
    <cellStyle name="Output 9 5 5 4 2" xfId="25210" xr:uid="{00000000-0005-0000-0000-0000DB650000}"/>
    <cellStyle name="Output 9 5 6" xfId="5786" xr:uid="{00000000-0005-0000-0000-0000DC650000}"/>
    <cellStyle name="Output 9 5 6 2" xfId="16020" xr:uid="{00000000-0005-0000-0000-0000DD650000}"/>
    <cellStyle name="Output 9 5 6 2 2" xfId="30852" xr:uid="{00000000-0005-0000-0000-0000DE650000}"/>
    <cellStyle name="Output 9 5 6 3" xfId="18395" xr:uid="{00000000-0005-0000-0000-0000DF650000}"/>
    <cellStyle name="Output 9 5 7" xfId="12040" xr:uid="{00000000-0005-0000-0000-0000E0650000}"/>
    <cellStyle name="Output 9 5 7 2" xfId="26872" xr:uid="{00000000-0005-0000-0000-0000E1650000}"/>
    <cellStyle name="Output 9 5 8" xfId="9700" xr:uid="{00000000-0005-0000-0000-0000E2650000}"/>
    <cellStyle name="Output 9 5 8 2" xfId="20000" xr:uid="{00000000-0005-0000-0000-0000E3650000}"/>
    <cellStyle name="Output 9 6" xfId="1790" xr:uid="{00000000-0005-0000-0000-0000E4650000}"/>
    <cellStyle name="Output 9 6 2" xfId="3868" xr:uid="{00000000-0005-0000-0000-0000E5650000}"/>
    <cellStyle name="Output 9 6 2 2" xfId="7920" xr:uid="{00000000-0005-0000-0000-0000E6650000}"/>
    <cellStyle name="Output 9 6 2 2 2" xfId="17401" xr:uid="{00000000-0005-0000-0000-0000E7650000}"/>
    <cellStyle name="Output 9 6 2 2 2 2" xfId="32233" xr:uid="{00000000-0005-0000-0000-0000E8650000}"/>
    <cellStyle name="Output 9 6 2 2 3" xfId="19180" xr:uid="{00000000-0005-0000-0000-0000E9650000}"/>
    <cellStyle name="Output 9 6 2 3" xfId="14203" xr:uid="{00000000-0005-0000-0000-0000EA650000}"/>
    <cellStyle name="Output 9 6 2 3 2" xfId="29035" xr:uid="{00000000-0005-0000-0000-0000EB650000}"/>
    <cellStyle name="Output 9 6 2 4" xfId="11020" xr:uid="{00000000-0005-0000-0000-0000EC650000}"/>
    <cellStyle name="Output 9 6 2 4 2" xfId="25852" xr:uid="{00000000-0005-0000-0000-0000ED650000}"/>
    <cellStyle name="Output 9 6 3" xfId="4768" xr:uid="{00000000-0005-0000-0000-0000EE650000}"/>
    <cellStyle name="Output 9 6 3 2" xfId="8807" xr:uid="{00000000-0005-0000-0000-0000EF650000}"/>
    <cellStyle name="Output 9 6 3 2 2" xfId="17879" xr:uid="{00000000-0005-0000-0000-0000F0650000}"/>
    <cellStyle name="Output 9 6 3 2 2 2" xfId="32711" xr:uid="{00000000-0005-0000-0000-0000F1650000}"/>
    <cellStyle name="Output 9 6 3 2 3" xfId="19496" xr:uid="{00000000-0005-0000-0000-0000F2650000}"/>
    <cellStyle name="Output 9 6 3 3" xfId="15092" xr:uid="{00000000-0005-0000-0000-0000F3650000}"/>
    <cellStyle name="Output 9 6 3 3 2" xfId="29924" xr:uid="{00000000-0005-0000-0000-0000F4650000}"/>
    <cellStyle name="Output 9 6 3 4" xfId="11482" xr:uid="{00000000-0005-0000-0000-0000F5650000}"/>
    <cellStyle name="Output 9 6 3 4 2" xfId="26314" xr:uid="{00000000-0005-0000-0000-0000F6650000}"/>
    <cellStyle name="Output 9 6 4" xfId="2758" xr:uid="{00000000-0005-0000-0000-0000F7650000}"/>
    <cellStyle name="Output 9 6 4 2" xfId="6849" xr:uid="{00000000-0005-0000-0000-0000F8650000}"/>
    <cellStyle name="Output 9 6 4 2 2" xfId="16773" xr:uid="{00000000-0005-0000-0000-0000F9650000}"/>
    <cellStyle name="Output 9 6 4 2 2 2" xfId="31605" xr:uid="{00000000-0005-0000-0000-0000FA650000}"/>
    <cellStyle name="Output 9 6 4 2 3" xfId="18787" xr:uid="{00000000-0005-0000-0000-0000FB650000}"/>
    <cellStyle name="Output 9 6 4 3" xfId="13096" xr:uid="{00000000-0005-0000-0000-0000FC650000}"/>
    <cellStyle name="Output 9 6 4 3 2" xfId="27928" xr:uid="{00000000-0005-0000-0000-0000FD650000}"/>
    <cellStyle name="Output 9 6 4 4" xfId="10426" xr:uid="{00000000-0005-0000-0000-0000FE650000}"/>
    <cellStyle name="Output 9 6 4 4 2" xfId="25258" xr:uid="{00000000-0005-0000-0000-0000FF650000}"/>
    <cellStyle name="Output 9 6 5" xfId="5922" xr:uid="{00000000-0005-0000-0000-000000660000}"/>
    <cellStyle name="Output 9 6 5 2" xfId="16114" xr:uid="{00000000-0005-0000-0000-000001660000}"/>
    <cellStyle name="Output 9 6 5 2 2" xfId="30946" xr:uid="{00000000-0005-0000-0000-000002660000}"/>
    <cellStyle name="Output 9 6 5 3" xfId="18429" xr:uid="{00000000-0005-0000-0000-000003660000}"/>
    <cellStyle name="Output 9 6 6" xfId="12184" xr:uid="{00000000-0005-0000-0000-000004660000}"/>
    <cellStyle name="Output 9 6 6 2" xfId="27016" xr:uid="{00000000-0005-0000-0000-000005660000}"/>
    <cellStyle name="Output 9 6 7" xfId="9780" xr:uid="{00000000-0005-0000-0000-000006660000}"/>
    <cellStyle name="Output 9 6 7 2" xfId="24737" xr:uid="{00000000-0005-0000-0000-000007660000}"/>
    <cellStyle name="Output 9 7" xfId="2176" xr:uid="{00000000-0005-0000-0000-000008660000}"/>
    <cellStyle name="Output 9 7 2" xfId="3419" xr:uid="{00000000-0005-0000-0000-000009660000}"/>
    <cellStyle name="Output 9 7 2 2" xfId="7482" xr:uid="{00000000-0005-0000-0000-00000A660000}"/>
    <cellStyle name="Output 9 7 2 2 2" xfId="17180" xr:uid="{00000000-0005-0000-0000-00000B660000}"/>
    <cellStyle name="Output 9 7 2 2 2 2" xfId="32012" xr:uid="{00000000-0005-0000-0000-00000C660000}"/>
    <cellStyle name="Output 9 7 2 2 3" xfId="19029" xr:uid="{00000000-0005-0000-0000-00000D660000}"/>
    <cellStyle name="Output 9 7 2 3" xfId="13756" xr:uid="{00000000-0005-0000-0000-00000E660000}"/>
    <cellStyle name="Output 9 7 2 3 2" xfId="28588" xr:uid="{00000000-0005-0000-0000-00000F660000}"/>
    <cellStyle name="Output 9 7 2 4" xfId="10799" xr:uid="{00000000-0005-0000-0000-000010660000}"/>
    <cellStyle name="Output 9 7 2 4 2" xfId="25631" xr:uid="{00000000-0005-0000-0000-000011660000}"/>
    <cellStyle name="Output 9 7 3" xfId="5144" xr:uid="{00000000-0005-0000-0000-000012660000}"/>
    <cellStyle name="Output 9 7 3 2" xfId="9183" xr:uid="{00000000-0005-0000-0000-000013660000}"/>
    <cellStyle name="Output 9 7 3 2 2" xfId="18106" xr:uid="{00000000-0005-0000-0000-000014660000}"/>
    <cellStyle name="Output 9 7 3 2 2 2" xfId="32938" xr:uid="{00000000-0005-0000-0000-000015660000}"/>
    <cellStyle name="Output 9 7 3 2 3" xfId="19657" xr:uid="{00000000-0005-0000-0000-000016660000}"/>
    <cellStyle name="Output 9 7 3 3" xfId="15462" xr:uid="{00000000-0005-0000-0000-000017660000}"/>
    <cellStyle name="Output 9 7 3 3 2" xfId="30294" xr:uid="{00000000-0005-0000-0000-000018660000}"/>
    <cellStyle name="Output 9 7 3 4" xfId="11703" xr:uid="{00000000-0005-0000-0000-000019660000}"/>
    <cellStyle name="Output 9 7 3 4 2" xfId="26535" xr:uid="{00000000-0005-0000-0000-00001A660000}"/>
    <cellStyle name="Output 9 7 4" xfId="4174" xr:uid="{00000000-0005-0000-0000-00001B660000}"/>
    <cellStyle name="Output 9 7 4 2" xfId="8215" xr:uid="{00000000-0005-0000-0000-00001C660000}"/>
    <cellStyle name="Output 9 7 4 2 2" xfId="17562" xr:uid="{00000000-0005-0000-0000-00001D660000}"/>
    <cellStyle name="Output 9 7 4 2 2 2" xfId="32394" xr:uid="{00000000-0005-0000-0000-00001E660000}"/>
    <cellStyle name="Output 9 7 4 2 3" xfId="19300" xr:uid="{00000000-0005-0000-0000-00001F660000}"/>
    <cellStyle name="Output 9 7 4 3" xfId="14506" xr:uid="{00000000-0005-0000-0000-000020660000}"/>
    <cellStyle name="Output 9 7 4 3 2" xfId="29338" xr:uid="{00000000-0005-0000-0000-000021660000}"/>
    <cellStyle name="Output 9 7 4 4" xfId="11182" xr:uid="{00000000-0005-0000-0000-000022660000}"/>
    <cellStyle name="Output 9 7 4 4 2" xfId="26014" xr:uid="{00000000-0005-0000-0000-000023660000}"/>
    <cellStyle name="Output 9 7 5" xfId="6290" xr:uid="{00000000-0005-0000-0000-000024660000}"/>
    <cellStyle name="Output 9 7 5 2" xfId="16474" xr:uid="{00000000-0005-0000-0000-000025660000}"/>
    <cellStyle name="Output 9 7 5 2 2" xfId="31306" xr:uid="{00000000-0005-0000-0000-000026660000}"/>
    <cellStyle name="Output 9 7 5 3" xfId="18593" xr:uid="{00000000-0005-0000-0000-000027660000}"/>
    <cellStyle name="Output 9 7 6" xfId="12544" xr:uid="{00000000-0005-0000-0000-000028660000}"/>
    <cellStyle name="Output 9 7 6 2" xfId="27376" xr:uid="{00000000-0005-0000-0000-000029660000}"/>
    <cellStyle name="Output 9 7 7" xfId="10126" xr:uid="{00000000-0005-0000-0000-00002A660000}"/>
    <cellStyle name="Output 9 7 7 2" xfId="24958" xr:uid="{00000000-0005-0000-0000-00002B660000}"/>
    <cellStyle name="Output 9 8" xfId="4035" xr:uid="{00000000-0005-0000-0000-00002C660000}"/>
    <cellStyle name="Output 9 8 2" xfId="8082" xr:uid="{00000000-0005-0000-0000-00002D660000}"/>
    <cellStyle name="Output 9 8 2 2" xfId="17486" xr:uid="{00000000-0005-0000-0000-00002E660000}"/>
    <cellStyle name="Output 9 8 2 2 2" xfId="32318" xr:uid="{00000000-0005-0000-0000-00002F660000}"/>
    <cellStyle name="Output 9 8 2 3" xfId="19242" xr:uid="{00000000-0005-0000-0000-000030660000}"/>
    <cellStyle name="Output 9 8 3" xfId="14367" xr:uid="{00000000-0005-0000-0000-000031660000}"/>
    <cellStyle name="Output 9 8 3 2" xfId="29199" xr:uid="{00000000-0005-0000-0000-000032660000}"/>
    <cellStyle name="Output 9 8 4" xfId="11102" xr:uid="{00000000-0005-0000-0000-000033660000}"/>
    <cellStyle name="Output 9 8 4 2" xfId="25934" xr:uid="{00000000-0005-0000-0000-000034660000}"/>
    <cellStyle name="Output 9 9" xfId="4287" xr:uid="{00000000-0005-0000-0000-000035660000}"/>
    <cellStyle name="Output 9 9 2" xfId="8326" xr:uid="{00000000-0005-0000-0000-000036660000}"/>
    <cellStyle name="Output 9 9 2 2" xfId="17608" xr:uid="{00000000-0005-0000-0000-000037660000}"/>
    <cellStyle name="Output 9 9 2 2 2" xfId="32440" xr:uid="{00000000-0005-0000-0000-000038660000}"/>
    <cellStyle name="Output 9 9 2 3" xfId="19321" xr:uid="{00000000-0005-0000-0000-000039660000}"/>
    <cellStyle name="Output 9 9 3" xfId="14619" xr:uid="{00000000-0005-0000-0000-00003A660000}"/>
    <cellStyle name="Output 9 9 3 2" xfId="29451" xr:uid="{00000000-0005-0000-0000-00003B660000}"/>
    <cellStyle name="Output 9 9 4" xfId="11223" xr:uid="{00000000-0005-0000-0000-00003C660000}"/>
    <cellStyle name="Output 9 9 4 2" xfId="26055" xr:uid="{00000000-0005-0000-0000-00003D660000}"/>
    <cellStyle name="Pattern" xfId="1246" xr:uid="{00000000-0005-0000-0000-00003E660000}"/>
    <cellStyle name="Pattern 2" xfId="1302" xr:uid="{00000000-0005-0000-0000-00003F660000}"/>
    <cellStyle name="Pattern 2 10" xfId="1692" xr:uid="{00000000-0005-0000-0000-000040660000}"/>
    <cellStyle name="Pattern 2 10 2" xfId="5824" xr:uid="{00000000-0005-0000-0000-000041660000}"/>
    <cellStyle name="Pattern 2 10 2 2" xfId="22421" xr:uid="{00000000-0005-0000-0000-000042660000}"/>
    <cellStyle name="Pattern 2 10 3" xfId="12086" xr:uid="{00000000-0005-0000-0000-000043660000}"/>
    <cellStyle name="Pattern 2 10 3 2" xfId="26918" xr:uid="{00000000-0005-0000-0000-000044660000}"/>
    <cellStyle name="Pattern 2 11" xfId="5479" xr:uid="{00000000-0005-0000-0000-000045660000}"/>
    <cellStyle name="Pattern 2 11 2" xfId="15714" xr:uid="{00000000-0005-0000-0000-000046660000}"/>
    <cellStyle name="Pattern 2 11 2 2" xfId="30546" xr:uid="{00000000-0005-0000-0000-000047660000}"/>
    <cellStyle name="Pattern 2 11 3" xfId="22207" xr:uid="{00000000-0005-0000-0000-000048660000}"/>
    <cellStyle name="Pattern 2 2" xfId="1386" xr:uid="{00000000-0005-0000-0000-000049660000}"/>
    <cellStyle name="Pattern 2 2 2" xfId="1681" xr:uid="{00000000-0005-0000-0000-00004A660000}"/>
    <cellStyle name="Pattern 2 2 2 2" xfId="2264" xr:uid="{00000000-0005-0000-0000-00004B660000}"/>
    <cellStyle name="Pattern 2 2 2 2 2" xfId="4368" xr:uid="{00000000-0005-0000-0000-00004C660000}"/>
    <cellStyle name="Pattern 2 2 2 2 2 2" xfId="8407" xr:uid="{00000000-0005-0000-0000-00004D660000}"/>
    <cellStyle name="Pattern 2 2 2 2 2 2 2" xfId="24065" xr:uid="{00000000-0005-0000-0000-00004E660000}"/>
    <cellStyle name="Pattern 2 2 2 2 2 3" xfId="14697" xr:uid="{00000000-0005-0000-0000-00004F660000}"/>
    <cellStyle name="Pattern 2 2 2 2 2 3 2" xfId="29529" xr:uid="{00000000-0005-0000-0000-000050660000}"/>
    <cellStyle name="Pattern 2 2 2 2 3" xfId="5232" xr:uid="{00000000-0005-0000-0000-000051660000}"/>
    <cellStyle name="Pattern 2 2 2 2 3 2" xfId="9271" xr:uid="{00000000-0005-0000-0000-000052660000}"/>
    <cellStyle name="Pattern 2 2 2 2 3 2 2" xfId="24609" xr:uid="{00000000-0005-0000-0000-000053660000}"/>
    <cellStyle name="Pattern 2 2 2 2 3 3" xfId="15548" xr:uid="{00000000-0005-0000-0000-000054660000}"/>
    <cellStyle name="Pattern 2 2 2 2 3 3 2" xfId="30380" xr:uid="{00000000-0005-0000-0000-000055660000}"/>
    <cellStyle name="Pattern 2 2 2 2 4" xfId="4262" xr:uid="{00000000-0005-0000-0000-000056660000}"/>
    <cellStyle name="Pattern 2 2 2 2 4 2" xfId="8301" xr:uid="{00000000-0005-0000-0000-000057660000}"/>
    <cellStyle name="Pattern 2 2 2 2 4 2 2" xfId="23996" xr:uid="{00000000-0005-0000-0000-000058660000}"/>
    <cellStyle name="Pattern 2 2 2 2 4 3" xfId="14594" xr:uid="{00000000-0005-0000-0000-000059660000}"/>
    <cellStyle name="Pattern 2 2 2 2 4 3 2" xfId="29426" xr:uid="{00000000-0005-0000-0000-00005A660000}"/>
    <cellStyle name="Pattern 2 2 2 2 5" xfId="6376" xr:uid="{00000000-0005-0000-0000-00005B660000}"/>
    <cellStyle name="Pattern 2 2 2 2 5 2" xfId="22778" xr:uid="{00000000-0005-0000-0000-00005C660000}"/>
    <cellStyle name="Pattern 2 2 2 3" xfId="3970" xr:uid="{00000000-0005-0000-0000-00005D660000}"/>
    <cellStyle name="Pattern 2 2 2 3 2" xfId="8019" xr:uid="{00000000-0005-0000-0000-00005E660000}"/>
    <cellStyle name="Pattern 2 2 2 3 2 2" xfId="23812" xr:uid="{00000000-0005-0000-0000-00005F660000}"/>
    <cellStyle name="Pattern 2 2 2 3 3" xfId="14303" xr:uid="{00000000-0005-0000-0000-000060660000}"/>
    <cellStyle name="Pattern 2 2 2 3 3 2" xfId="29135" xr:uid="{00000000-0005-0000-0000-000061660000}"/>
    <cellStyle name="Pattern 2 2 2 4" xfId="3337" xr:uid="{00000000-0005-0000-0000-000062660000}"/>
    <cellStyle name="Pattern 2 2 2 4 2" xfId="7400" xr:uid="{00000000-0005-0000-0000-000063660000}"/>
    <cellStyle name="Pattern 2 2 2 4 2 2" xfId="23405" xr:uid="{00000000-0005-0000-0000-000064660000}"/>
    <cellStyle name="Pattern 2 2 2 4 3" xfId="13674" xr:uid="{00000000-0005-0000-0000-000065660000}"/>
    <cellStyle name="Pattern 2 2 2 4 3 2" xfId="28506" xr:uid="{00000000-0005-0000-0000-000066660000}"/>
    <cellStyle name="Pattern 2 2 2 5" xfId="4868" xr:uid="{00000000-0005-0000-0000-000067660000}"/>
    <cellStyle name="Pattern 2 2 2 5 2" xfId="8907" xr:uid="{00000000-0005-0000-0000-000068660000}"/>
    <cellStyle name="Pattern 2 2 2 5 2 2" xfId="24373" xr:uid="{00000000-0005-0000-0000-000069660000}"/>
    <cellStyle name="Pattern 2 2 2 5 3" xfId="15191" xr:uid="{00000000-0005-0000-0000-00006A660000}"/>
    <cellStyle name="Pattern 2 2 2 5 3 2" xfId="30023" xr:uid="{00000000-0005-0000-0000-00006B660000}"/>
    <cellStyle name="Pattern 2 2 2 6" xfId="2858" xr:uid="{00000000-0005-0000-0000-00006C660000}"/>
    <cellStyle name="Pattern 2 2 2 6 2" xfId="13196" xr:uid="{00000000-0005-0000-0000-00006D660000}"/>
    <cellStyle name="Pattern 2 2 2 6 2 2" xfId="28028" xr:uid="{00000000-0005-0000-0000-00006E660000}"/>
    <cellStyle name="Pattern 2 2 2 6 3" xfId="20784" xr:uid="{00000000-0005-0000-0000-00006F660000}"/>
    <cellStyle name="Pattern 2 2 2 7" xfId="1890" xr:uid="{00000000-0005-0000-0000-000070660000}"/>
    <cellStyle name="Pattern 2 2 2 7 2" xfId="6021" xr:uid="{00000000-0005-0000-0000-000071660000}"/>
    <cellStyle name="Pattern 2 2 2 7 2 2" xfId="22554" xr:uid="{00000000-0005-0000-0000-000072660000}"/>
    <cellStyle name="Pattern 2 2 2 8" xfId="12076" xr:uid="{00000000-0005-0000-0000-000073660000}"/>
    <cellStyle name="Pattern 2 2 2 8 2" xfId="26908" xr:uid="{00000000-0005-0000-0000-000074660000}"/>
    <cellStyle name="Pattern 2 2 3" xfId="3669" xr:uid="{00000000-0005-0000-0000-000075660000}"/>
    <cellStyle name="Pattern 2 2 3 2" xfId="7727" xr:uid="{00000000-0005-0000-0000-000076660000}"/>
    <cellStyle name="Pattern 2 2 3 2 2" xfId="23623" xr:uid="{00000000-0005-0000-0000-000077660000}"/>
    <cellStyle name="Pattern 2 2 3 3" xfId="14004" xr:uid="{00000000-0005-0000-0000-000078660000}"/>
    <cellStyle name="Pattern 2 2 3 3 2" xfId="28836" xr:uid="{00000000-0005-0000-0000-000079660000}"/>
    <cellStyle name="Pattern 2 2 4" xfId="4448" xr:uid="{00000000-0005-0000-0000-00007A660000}"/>
    <cellStyle name="Pattern 2 2 4 2" xfId="8487" xr:uid="{00000000-0005-0000-0000-00007B660000}"/>
    <cellStyle name="Pattern 2 2 4 2 2" xfId="24113" xr:uid="{00000000-0005-0000-0000-00007C660000}"/>
    <cellStyle name="Pattern 2 2 4 3" xfId="14776" xr:uid="{00000000-0005-0000-0000-00007D660000}"/>
    <cellStyle name="Pattern 2 2 4 3 2" xfId="29608" xr:uid="{00000000-0005-0000-0000-00007E660000}"/>
    <cellStyle name="Pattern 2 2 5" xfId="2438" xr:uid="{00000000-0005-0000-0000-00007F660000}"/>
    <cellStyle name="Pattern 2 2 5 2" xfId="12777" xr:uid="{00000000-0005-0000-0000-000080660000}"/>
    <cellStyle name="Pattern 2 2 5 2 2" xfId="27609" xr:uid="{00000000-0005-0000-0000-000081660000}"/>
    <cellStyle name="Pattern 2 2 5 3" xfId="20530" xr:uid="{00000000-0005-0000-0000-000082660000}"/>
    <cellStyle name="Pattern 2 2 6" xfId="5562" xr:uid="{00000000-0005-0000-0000-000083660000}"/>
    <cellStyle name="Pattern 2 2 6 2" xfId="15797" xr:uid="{00000000-0005-0000-0000-000084660000}"/>
    <cellStyle name="Pattern 2 2 6 2 2" xfId="30629" xr:uid="{00000000-0005-0000-0000-000085660000}"/>
    <cellStyle name="Pattern 2 2 6 3" xfId="22258" xr:uid="{00000000-0005-0000-0000-000086660000}"/>
    <cellStyle name="Pattern 2 3" xfId="1558" xr:uid="{00000000-0005-0000-0000-000087660000}"/>
    <cellStyle name="Pattern 2 3 2" xfId="2055" xr:uid="{00000000-0005-0000-0000-000088660000}"/>
    <cellStyle name="Pattern 2 3 2 2" xfId="4078" xr:uid="{00000000-0005-0000-0000-000089660000}"/>
    <cellStyle name="Pattern 2 3 2 2 2" xfId="8124" xr:uid="{00000000-0005-0000-0000-00008A660000}"/>
    <cellStyle name="Pattern 2 3 2 2 2 2" xfId="23875" xr:uid="{00000000-0005-0000-0000-00008B660000}"/>
    <cellStyle name="Pattern 2 3 2 2 3" xfId="14410" xr:uid="{00000000-0005-0000-0000-00008C660000}"/>
    <cellStyle name="Pattern 2 3 2 2 3 2" xfId="29242" xr:uid="{00000000-0005-0000-0000-00008D660000}"/>
    <cellStyle name="Pattern 2 3 2 3" xfId="3396" xr:uid="{00000000-0005-0000-0000-00008E660000}"/>
    <cellStyle name="Pattern 2 3 2 3 2" xfId="7459" xr:uid="{00000000-0005-0000-0000-00008F660000}"/>
    <cellStyle name="Pattern 2 3 2 3 2 2" xfId="23448" xr:uid="{00000000-0005-0000-0000-000090660000}"/>
    <cellStyle name="Pattern 2 3 2 3 3" xfId="13733" xr:uid="{00000000-0005-0000-0000-000091660000}"/>
    <cellStyle name="Pattern 2 3 2 3 3 2" xfId="28565" xr:uid="{00000000-0005-0000-0000-000092660000}"/>
    <cellStyle name="Pattern 2 3 2 4" xfId="5023" xr:uid="{00000000-0005-0000-0000-000093660000}"/>
    <cellStyle name="Pattern 2 3 2 4 2" xfId="9062" xr:uid="{00000000-0005-0000-0000-000094660000}"/>
    <cellStyle name="Pattern 2 3 2 4 2 2" xfId="24496" xr:uid="{00000000-0005-0000-0000-000095660000}"/>
    <cellStyle name="Pattern 2 3 2 4 3" xfId="15344" xr:uid="{00000000-0005-0000-0000-000096660000}"/>
    <cellStyle name="Pattern 2 3 2 4 3 2" xfId="30176" xr:uid="{00000000-0005-0000-0000-000097660000}"/>
    <cellStyle name="Pattern 2 3 2 5" xfId="3013" xr:uid="{00000000-0005-0000-0000-000098660000}"/>
    <cellStyle name="Pattern 2 3 2 5 2" xfId="13351" xr:uid="{00000000-0005-0000-0000-000099660000}"/>
    <cellStyle name="Pattern 2 3 2 5 2 2" xfId="28183" xr:uid="{00000000-0005-0000-0000-00009A660000}"/>
    <cellStyle name="Pattern 2 3 2 5 3" xfId="20907" xr:uid="{00000000-0005-0000-0000-00009B660000}"/>
    <cellStyle name="Pattern 2 3 3" xfId="3780" xr:uid="{00000000-0005-0000-0000-00009C660000}"/>
    <cellStyle name="Pattern 2 3 3 2" xfId="7835" xr:uid="{00000000-0005-0000-0000-00009D660000}"/>
    <cellStyle name="Pattern 2 3 3 2 2" xfId="23691" xr:uid="{00000000-0005-0000-0000-00009E660000}"/>
    <cellStyle name="Pattern 2 3 3 3" xfId="14115" xr:uid="{00000000-0005-0000-0000-00009F660000}"/>
    <cellStyle name="Pattern 2 3 3 3 2" xfId="28947" xr:uid="{00000000-0005-0000-0000-0000A0660000}"/>
    <cellStyle name="Pattern 2 3 4" xfId="4603" xr:uid="{00000000-0005-0000-0000-0000A1660000}"/>
    <cellStyle name="Pattern 2 3 4 2" xfId="8642" xr:uid="{00000000-0005-0000-0000-0000A2660000}"/>
    <cellStyle name="Pattern 2 3 4 2 2" xfId="24236" xr:uid="{00000000-0005-0000-0000-0000A3660000}"/>
    <cellStyle name="Pattern 2 3 4 3" xfId="14929" xr:uid="{00000000-0005-0000-0000-0000A4660000}"/>
    <cellStyle name="Pattern 2 3 4 3 2" xfId="29761" xr:uid="{00000000-0005-0000-0000-0000A5660000}"/>
    <cellStyle name="Pattern 2 3 5" xfId="2593" xr:uid="{00000000-0005-0000-0000-0000A6660000}"/>
    <cellStyle name="Pattern 2 3 5 2" xfId="12931" xr:uid="{00000000-0005-0000-0000-0000A7660000}"/>
    <cellStyle name="Pattern 2 3 5 2 2" xfId="27763" xr:uid="{00000000-0005-0000-0000-0000A8660000}"/>
    <cellStyle name="Pattern 2 3 5 3" xfId="20647" xr:uid="{00000000-0005-0000-0000-0000A9660000}"/>
    <cellStyle name="Pattern 2 3 6" xfId="1703" xr:uid="{00000000-0005-0000-0000-0000AA660000}"/>
    <cellStyle name="Pattern 2 3 6 2" xfId="5835" xr:uid="{00000000-0005-0000-0000-0000AB660000}"/>
    <cellStyle name="Pattern 2 3 6 2 2" xfId="22432" xr:uid="{00000000-0005-0000-0000-0000AC660000}"/>
    <cellStyle name="Pattern 2 3 6 3" xfId="12097" xr:uid="{00000000-0005-0000-0000-0000AD660000}"/>
    <cellStyle name="Pattern 2 3 6 3 2" xfId="26929" xr:uid="{00000000-0005-0000-0000-0000AE660000}"/>
    <cellStyle name="Pattern 2 4" xfId="1611" xr:uid="{00000000-0005-0000-0000-0000AF660000}"/>
    <cellStyle name="Pattern 2 4 2" xfId="2108" xr:uid="{00000000-0005-0000-0000-0000B0660000}"/>
    <cellStyle name="Pattern 2 4 2 2" xfId="4118" xr:uid="{00000000-0005-0000-0000-0000B1660000}"/>
    <cellStyle name="Pattern 2 4 2 2 2" xfId="8163" xr:uid="{00000000-0005-0000-0000-0000B2660000}"/>
    <cellStyle name="Pattern 2 4 2 2 2 2" xfId="23901" xr:uid="{00000000-0005-0000-0000-0000B3660000}"/>
    <cellStyle name="Pattern 2 4 2 2 3" xfId="14450" xr:uid="{00000000-0005-0000-0000-0000B4660000}"/>
    <cellStyle name="Pattern 2 4 2 2 3 2" xfId="29282" xr:uid="{00000000-0005-0000-0000-0000B5660000}"/>
    <cellStyle name="Pattern 2 4 2 3" xfId="3533" xr:uid="{00000000-0005-0000-0000-0000B6660000}"/>
    <cellStyle name="Pattern 2 4 2 3 2" xfId="7595" xr:uid="{00000000-0005-0000-0000-0000B7660000}"/>
    <cellStyle name="Pattern 2 4 2 3 2 2" xfId="23538" xr:uid="{00000000-0005-0000-0000-0000B8660000}"/>
    <cellStyle name="Pattern 2 4 2 3 3" xfId="13870" xr:uid="{00000000-0005-0000-0000-0000B9660000}"/>
    <cellStyle name="Pattern 2 4 2 3 3 2" xfId="28702" xr:uid="{00000000-0005-0000-0000-0000BA660000}"/>
    <cellStyle name="Pattern 2 4 2 4" xfId="5076" xr:uid="{00000000-0005-0000-0000-0000BB660000}"/>
    <cellStyle name="Pattern 2 4 2 4 2" xfId="9115" xr:uid="{00000000-0005-0000-0000-0000BC660000}"/>
    <cellStyle name="Pattern 2 4 2 4 2 2" xfId="24517" xr:uid="{00000000-0005-0000-0000-0000BD660000}"/>
    <cellStyle name="Pattern 2 4 2 4 3" xfId="15396" xr:uid="{00000000-0005-0000-0000-0000BE660000}"/>
    <cellStyle name="Pattern 2 4 2 4 3 2" xfId="30228" xr:uid="{00000000-0005-0000-0000-0000BF660000}"/>
    <cellStyle name="Pattern 2 4 2 5" xfId="3066" xr:uid="{00000000-0005-0000-0000-0000C0660000}"/>
    <cellStyle name="Pattern 2 4 2 5 2" xfId="13404" xr:uid="{00000000-0005-0000-0000-0000C1660000}"/>
    <cellStyle name="Pattern 2 4 2 5 2 2" xfId="28236" xr:uid="{00000000-0005-0000-0000-0000C2660000}"/>
    <cellStyle name="Pattern 2 4 2 5 3" xfId="20928" xr:uid="{00000000-0005-0000-0000-0000C3660000}"/>
    <cellStyle name="Pattern 2 4 3" xfId="3818" xr:uid="{00000000-0005-0000-0000-0000C4660000}"/>
    <cellStyle name="Pattern 2 4 3 2" xfId="7871" xr:uid="{00000000-0005-0000-0000-0000C5660000}"/>
    <cellStyle name="Pattern 2 4 3 2 2" xfId="23718" xr:uid="{00000000-0005-0000-0000-0000C6660000}"/>
    <cellStyle name="Pattern 2 4 3 3" xfId="14153" xr:uid="{00000000-0005-0000-0000-0000C7660000}"/>
    <cellStyle name="Pattern 2 4 3 3 2" xfId="28985" xr:uid="{00000000-0005-0000-0000-0000C8660000}"/>
    <cellStyle name="Pattern 2 4 4" xfId="4656" xr:uid="{00000000-0005-0000-0000-0000C9660000}"/>
    <cellStyle name="Pattern 2 4 4 2" xfId="8695" xr:uid="{00000000-0005-0000-0000-0000CA660000}"/>
    <cellStyle name="Pattern 2 4 4 2 2" xfId="24257" xr:uid="{00000000-0005-0000-0000-0000CB660000}"/>
    <cellStyle name="Pattern 2 4 4 3" xfId="14981" xr:uid="{00000000-0005-0000-0000-0000CC660000}"/>
    <cellStyle name="Pattern 2 4 4 3 2" xfId="29813" xr:uid="{00000000-0005-0000-0000-0000CD660000}"/>
    <cellStyle name="Pattern 2 4 5" xfId="2646" xr:uid="{00000000-0005-0000-0000-0000CE660000}"/>
    <cellStyle name="Pattern 2 4 5 2" xfId="12984" xr:uid="{00000000-0005-0000-0000-0000CF660000}"/>
    <cellStyle name="Pattern 2 4 5 2 2" xfId="27816" xr:uid="{00000000-0005-0000-0000-0000D0660000}"/>
    <cellStyle name="Pattern 2 4 5 3" xfId="20668" xr:uid="{00000000-0005-0000-0000-0000D1660000}"/>
    <cellStyle name="Pattern 2 4 6" xfId="1708" xr:uid="{00000000-0005-0000-0000-0000D2660000}"/>
    <cellStyle name="Pattern 2 4 6 2" xfId="5840" xr:uid="{00000000-0005-0000-0000-0000D3660000}"/>
    <cellStyle name="Pattern 2 4 6 2 2" xfId="22437" xr:uid="{00000000-0005-0000-0000-0000D4660000}"/>
    <cellStyle name="Pattern 2 4 6 3" xfId="12102" xr:uid="{00000000-0005-0000-0000-0000D5660000}"/>
    <cellStyle name="Pattern 2 4 6 3 2" xfId="26934" xr:uid="{00000000-0005-0000-0000-0000D6660000}"/>
    <cellStyle name="Pattern 2 5" xfId="1661" xr:uid="{00000000-0005-0000-0000-0000D7660000}"/>
    <cellStyle name="Pattern 2 5 2" xfId="2158" xr:uid="{00000000-0005-0000-0000-0000D8660000}"/>
    <cellStyle name="Pattern 2 5 2 2" xfId="4156" xr:uid="{00000000-0005-0000-0000-0000D9660000}"/>
    <cellStyle name="Pattern 2 5 2 2 2" xfId="8198" xr:uid="{00000000-0005-0000-0000-0000DA660000}"/>
    <cellStyle name="Pattern 2 5 2 2 2 2" xfId="23925" xr:uid="{00000000-0005-0000-0000-0000DB660000}"/>
    <cellStyle name="Pattern 2 5 2 2 3" xfId="14488" xr:uid="{00000000-0005-0000-0000-0000DC660000}"/>
    <cellStyle name="Pattern 2 5 2 2 3 2" xfId="29320" xr:uid="{00000000-0005-0000-0000-0000DD660000}"/>
    <cellStyle name="Pattern 2 5 2 3" xfId="3171" xr:uid="{00000000-0005-0000-0000-0000DE660000}"/>
    <cellStyle name="Pattern 2 5 2 3 2" xfId="7235" xr:uid="{00000000-0005-0000-0000-0000DF660000}"/>
    <cellStyle name="Pattern 2 5 2 3 2 2" xfId="23295" xr:uid="{00000000-0005-0000-0000-0000E0660000}"/>
    <cellStyle name="Pattern 2 5 2 3 3" xfId="13509" xr:uid="{00000000-0005-0000-0000-0000E1660000}"/>
    <cellStyle name="Pattern 2 5 2 3 3 2" xfId="28341" xr:uid="{00000000-0005-0000-0000-0000E2660000}"/>
    <cellStyle name="Pattern 2 5 2 4" xfId="5126" xr:uid="{00000000-0005-0000-0000-0000E3660000}"/>
    <cellStyle name="Pattern 2 5 2 4 2" xfId="9165" xr:uid="{00000000-0005-0000-0000-0000E4660000}"/>
    <cellStyle name="Pattern 2 5 2 4 2 2" xfId="24535" xr:uid="{00000000-0005-0000-0000-0000E5660000}"/>
    <cellStyle name="Pattern 2 5 2 4 3" xfId="15445" xr:uid="{00000000-0005-0000-0000-0000E6660000}"/>
    <cellStyle name="Pattern 2 5 2 4 3 2" xfId="30277" xr:uid="{00000000-0005-0000-0000-0000E7660000}"/>
    <cellStyle name="Pattern 2 5 2 5" xfId="3116" xr:uid="{00000000-0005-0000-0000-0000E8660000}"/>
    <cellStyle name="Pattern 2 5 2 5 2" xfId="13454" xr:uid="{00000000-0005-0000-0000-0000E9660000}"/>
    <cellStyle name="Pattern 2 5 2 5 2 2" xfId="28286" xr:uid="{00000000-0005-0000-0000-0000EA660000}"/>
    <cellStyle name="Pattern 2 5 2 5 3" xfId="20946" xr:uid="{00000000-0005-0000-0000-0000EB660000}"/>
    <cellStyle name="Pattern 2 5 3" xfId="3856" xr:uid="{00000000-0005-0000-0000-0000EC660000}"/>
    <cellStyle name="Pattern 2 5 3 2" xfId="7908" xr:uid="{00000000-0005-0000-0000-0000ED660000}"/>
    <cellStyle name="Pattern 2 5 3 2 2" xfId="23744" xr:uid="{00000000-0005-0000-0000-0000EE660000}"/>
    <cellStyle name="Pattern 2 5 3 3" xfId="14191" xr:uid="{00000000-0005-0000-0000-0000EF660000}"/>
    <cellStyle name="Pattern 2 5 3 3 2" xfId="29023" xr:uid="{00000000-0005-0000-0000-0000F0660000}"/>
    <cellStyle name="Pattern 2 5 4" xfId="4706" xr:uid="{00000000-0005-0000-0000-0000F1660000}"/>
    <cellStyle name="Pattern 2 5 4 2" xfId="8745" xr:uid="{00000000-0005-0000-0000-0000F2660000}"/>
    <cellStyle name="Pattern 2 5 4 2 2" xfId="24275" xr:uid="{00000000-0005-0000-0000-0000F3660000}"/>
    <cellStyle name="Pattern 2 5 4 3" xfId="15030" xr:uid="{00000000-0005-0000-0000-0000F4660000}"/>
    <cellStyle name="Pattern 2 5 4 3 2" xfId="29862" xr:uid="{00000000-0005-0000-0000-0000F5660000}"/>
    <cellStyle name="Pattern 2 5 5" xfId="2696" xr:uid="{00000000-0005-0000-0000-0000F6660000}"/>
    <cellStyle name="Pattern 2 5 5 2" xfId="13034" xr:uid="{00000000-0005-0000-0000-0000F7660000}"/>
    <cellStyle name="Pattern 2 5 5 2 2" xfId="27866" xr:uid="{00000000-0005-0000-0000-0000F8660000}"/>
    <cellStyle name="Pattern 2 5 5 3" xfId="20686" xr:uid="{00000000-0005-0000-0000-0000F9660000}"/>
    <cellStyle name="Pattern 2 5 6" xfId="1713" xr:uid="{00000000-0005-0000-0000-0000FA660000}"/>
    <cellStyle name="Pattern 2 5 6 2" xfId="5845" xr:uid="{00000000-0005-0000-0000-0000FB660000}"/>
    <cellStyle name="Pattern 2 5 6 2 2" xfId="22442" xr:uid="{00000000-0005-0000-0000-0000FC660000}"/>
    <cellStyle name="Pattern 2 5 6 3" xfId="12107" xr:uid="{00000000-0005-0000-0000-0000FD660000}"/>
    <cellStyle name="Pattern 2 5 6 3 2" xfId="26939" xr:uid="{00000000-0005-0000-0000-0000FE660000}"/>
    <cellStyle name="Pattern 2 6" xfId="1671" xr:uid="{00000000-0005-0000-0000-0000FF660000}"/>
    <cellStyle name="Pattern 2 6 2" xfId="4358" xr:uid="{00000000-0005-0000-0000-000000670000}"/>
    <cellStyle name="Pattern 2 6 2 2" xfId="8397" xr:uid="{00000000-0005-0000-0000-000001670000}"/>
    <cellStyle name="Pattern 2 6 2 2 2" xfId="24055" xr:uid="{00000000-0005-0000-0000-000002670000}"/>
    <cellStyle name="Pattern 2 6 2 3" xfId="14687" xr:uid="{00000000-0005-0000-0000-000003670000}"/>
    <cellStyle name="Pattern 2 6 2 3 2" xfId="29519" xr:uid="{00000000-0005-0000-0000-000004670000}"/>
    <cellStyle name="Pattern 2 6 3" xfId="5222" xr:uid="{00000000-0005-0000-0000-000005670000}"/>
    <cellStyle name="Pattern 2 6 3 2" xfId="9261" xr:uid="{00000000-0005-0000-0000-000006670000}"/>
    <cellStyle name="Pattern 2 6 3 2 2" xfId="24599" xr:uid="{00000000-0005-0000-0000-000007670000}"/>
    <cellStyle name="Pattern 2 6 3 3" xfId="15538" xr:uid="{00000000-0005-0000-0000-000008670000}"/>
    <cellStyle name="Pattern 2 6 3 3 2" xfId="30370" xr:uid="{00000000-0005-0000-0000-000009670000}"/>
    <cellStyle name="Pattern 2 6 4" xfId="4252" xr:uid="{00000000-0005-0000-0000-00000A670000}"/>
    <cellStyle name="Pattern 2 6 4 2" xfId="8291" xr:uid="{00000000-0005-0000-0000-00000B670000}"/>
    <cellStyle name="Pattern 2 6 4 2 2" xfId="23986" xr:uid="{00000000-0005-0000-0000-00000C670000}"/>
    <cellStyle name="Pattern 2 6 4 3" xfId="14584" xr:uid="{00000000-0005-0000-0000-00000D670000}"/>
    <cellStyle name="Pattern 2 6 4 3 2" xfId="29416" xr:uid="{00000000-0005-0000-0000-00000E670000}"/>
    <cellStyle name="Pattern 2 6 5" xfId="2254" xr:uid="{00000000-0005-0000-0000-00000F670000}"/>
    <cellStyle name="Pattern 2 6 5 2" xfId="6366" xr:uid="{00000000-0005-0000-0000-000010670000}"/>
    <cellStyle name="Pattern 2 6 5 2 2" xfId="22768" xr:uid="{00000000-0005-0000-0000-000011670000}"/>
    <cellStyle name="Pattern 2 6 6" xfId="5813" xr:uid="{00000000-0005-0000-0000-000012670000}"/>
    <cellStyle name="Pattern 2 6 6 2" xfId="22411" xr:uid="{00000000-0005-0000-0000-000013670000}"/>
    <cellStyle name="Pattern 2 6 7" xfId="12066" xr:uid="{00000000-0005-0000-0000-000014670000}"/>
    <cellStyle name="Pattern 2 6 7 2" xfId="26898" xr:uid="{00000000-0005-0000-0000-000015670000}"/>
    <cellStyle name="Pattern 2 7" xfId="3618" xr:uid="{00000000-0005-0000-0000-000016670000}"/>
    <cellStyle name="Pattern 2 7 2" xfId="7678" xr:uid="{00000000-0005-0000-0000-000017670000}"/>
    <cellStyle name="Pattern 2 7 2 2" xfId="23588" xr:uid="{00000000-0005-0000-0000-000018670000}"/>
    <cellStyle name="Pattern 2 7 3" xfId="13953" xr:uid="{00000000-0005-0000-0000-000019670000}"/>
    <cellStyle name="Pattern 2 7 3 2" xfId="28785" xr:uid="{00000000-0005-0000-0000-00001A670000}"/>
    <cellStyle name="Pattern 2 8" xfId="3364" xr:uid="{00000000-0005-0000-0000-00001B670000}"/>
    <cellStyle name="Pattern 2 8 2" xfId="7427" xr:uid="{00000000-0005-0000-0000-00001C670000}"/>
    <cellStyle name="Pattern 2 8 2 2" xfId="23428" xr:uid="{00000000-0005-0000-0000-00001D670000}"/>
    <cellStyle name="Pattern 2 8 3" xfId="13701" xr:uid="{00000000-0005-0000-0000-00001E670000}"/>
    <cellStyle name="Pattern 2 8 3 2" xfId="28533" xr:uid="{00000000-0005-0000-0000-00001F670000}"/>
    <cellStyle name="Pattern 2 9" xfId="2354" xr:uid="{00000000-0005-0000-0000-000020670000}"/>
    <cellStyle name="Pattern 2 9 2" xfId="6466" xr:uid="{00000000-0005-0000-0000-000021670000}"/>
    <cellStyle name="Pattern 2 9 2 2" xfId="22836" xr:uid="{00000000-0005-0000-0000-000022670000}"/>
    <cellStyle name="Pattern 2 9 3" xfId="12693" xr:uid="{00000000-0005-0000-0000-000023670000}"/>
    <cellStyle name="Pattern 2 9 3 2" xfId="27525" xr:uid="{00000000-0005-0000-0000-000024670000}"/>
    <cellStyle name="Pattern 3" xfId="1501" xr:uid="{00000000-0005-0000-0000-000025670000}"/>
    <cellStyle name="Pattern 3 2" xfId="1676" xr:uid="{00000000-0005-0000-0000-000026670000}"/>
    <cellStyle name="Pattern 3 2 2" xfId="2259" xr:uid="{00000000-0005-0000-0000-000027670000}"/>
    <cellStyle name="Pattern 3 2 2 2" xfId="4363" xr:uid="{00000000-0005-0000-0000-000028670000}"/>
    <cellStyle name="Pattern 3 2 2 2 2" xfId="8402" xr:uid="{00000000-0005-0000-0000-000029670000}"/>
    <cellStyle name="Pattern 3 2 2 2 2 2" xfId="24060" xr:uid="{00000000-0005-0000-0000-00002A670000}"/>
    <cellStyle name="Pattern 3 2 2 2 3" xfId="14692" xr:uid="{00000000-0005-0000-0000-00002B670000}"/>
    <cellStyle name="Pattern 3 2 2 2 3 2" xfId="29524" xr:uid="{00000000-0005-0000-0000-00002C670000}"/>
    <cellStyle name="Pattern 3 2 2 3" xfId="5227" xr:uid="{00000000-0005-0000-0000-00002D670000}"/>
    <cellStyle name="Pattern 3 2 2 3 2" xfId="9266" xr:uid="{00000000-0005-0000-0000-00002E670000}"/>
    <cellStyle name="Pattern 3 2 2 3 2 2" xfId="24604" xr:uid="{00000000-0005-0000-0000-00002F670000}"/>
    <cellStyle name="Pattern 3 2 2 3 3" xfId="15543" xr:uid="{00000000-0005-0000-0000-000030670000}"/>
    <cellStyle name="Pattern 3 2 2 3 3 2" xfId="30375" xr:uid="{00000000-0005-0000-0000-000031670000}"/>
    <cellStyle name="Pattern 3 2 2 4" xfId="4257" xr:uid="{00000000-0005-0000-0000-000032670000}"/>
    <cellStyle name="Pattern 3 2 2 4 2" xfId="8296" xr:uid="{00000000-0005-0000-0000-000033670000}"/>
    <cellStyle name="Pattern 3 2 2 4 2 2" xfId="23991" xr:uid="{00000000-0005-0000-0000-000034670000}"/>
    <cellStyle name="Pattern 3 2 2 4 3" xfId="14589" xr:uid="{00000000-0005-0000-0000-000035670000}"/>
    <cellStyle name="Pattern 3 2 2 4 3 2" xfId="29421" xr:uid="{00000000-0005-0000-0000-000036670000}"/>
    <cellStyle name="Pattern 3 2 2 5" xfId="6371" xr:uid="{00000000-0005-0000-0000-000037670000}"/>
    <cellStyle name="Pattern 3 2 2 5 2" xfId="22773" xr:uid="{00000000-0005-0000-0000-000038670000}"/>
    <cellStyle name="Pattern 3 2 3" xfId="4033" xr:uid="{00000000-0005-0000-0000-000039670000}"/>
    <cellStyle name="Pattern 3 2 3 2" xfId="8080" xr:uid="{00000000-0005-0000-0000-00003A670000}"/>
    <cellStyle name="Pattern 3 2 3 2 2" xfId="23849" xr:uid="{00000000-0005-0000-0000-00003B670000}"/>
    <cellStyle name="Pattern 3 2 3 3" xfId="14365" xr:uid="{00000000-0005-0000-0000-00003C670000}"/>
    <cellStyle name="Pattern 3 2 3 3 2" xfId="29197" xr:uid="{00000000-0005-0000-0000-00003D670000}"/>
    <cellStyle name="Pattern 3 2 4" xfId="3123" xr:uid="{00000000-0005-0000-0000-00003E670000}"/>
    <cellStyle name="Pattern 3 2 4 2" xfId="13461" xr:uid="{00000000-0005-0000-0000-00003F670000}"/>
    <cellStyle name="Pattern 3 2 4 2 2" xfId="28293" xr:uid="{00000000-0005-0000-0000-000040670000}"/>
    <cellStyle name="Pattern 3 2 4 3" xfId="20951" xr:uid="{00000000-0005-0000-0000-000041670000}"/>
    <cellStyle name="Pattern 3 2 5" xfId="4966" xr:uid="{00000000-0005-0000-0000-000042670000}"/>
    <cellStyle name="Pattern 3 2 5 2" xfId="9005" xr:uid="{00000000-0005-0000-0000-000043670000}"/>
    <cellStyle name="Pattern 3 2 5 2 2" xfId="24471" xr:uid="{00000000-0005-0000-0000-000044670000}"/>
    <cellStyle name="Pattern 3 2 5 3" xfId="15288" xr:uid="{00000000-0005-0000-0000-000045670000}"/>
    <cellStyle name="Pattern 3 2 5 3 2" xfId="30120" xr:uid="{00000000-0005-0000-0000-000046670000}"/>
    <cellStyle name="Pattern 3 2 6" xfId="2956" xr:uid="{00000000-0005-0000-0000-000047670000}"/>
    <cellStyle name="Pattern 3 2 6 2" xfId="13294" xr:uid="{00000000-0005-0000-0000-000048670000}"/>
    <cellStyle name="Pattern 3 2 6 2 2" xfId="28126" xr:uid="{00000000-0005-0000-0000-000049670000}"/>
    <cellStyle name="Pattern 3 2 6 3" xfId="20882" xr:uid="{00000000-0005-0000-0000-00004A670000}"/>
    <cellStyle name="Pattern 3 2 7" xfId="12071" xr:uid="{00000000-0005-0000-0000-00004B670000}"/>
    <cellStyle name="Pattern 3 2 7 2" xfId="26903" xr:uid="{00000000-0005-0000-0000-00004C670000}"/>
    <cellStyle name="Pattern 3 3" xfId="2244" xr:uid="{00000000-0005-0000-0000-00004D670000}"/>
    <cellStyle name="Pattern 3 3 2" xfId="4348" xr:uid="{00000000-0005-0000-0000-00004E670000}"/>
    <cellStyle name="Pattern 3 3 2 2" xfId="8387" xr:uid="{00000000-0005-0000-0000-00004F670000}"/>
    <cellStyle name="Pattern 3 3 2 2 2" xfId="24045" xr:uid="{00000000-0005-0000-0000-000050670000}"/>
    <cellStyle name="Pattern 3 3 2 3" xfId="14677" xr:uid="{00000000-0005-0000-0000-000051670000}"/>
    <cellStyle name="Pattern 3 3 2 3 2" xfId="29509" xr:uid="{00000000-0005-0000-0000-000052670000}"/>
    <cellStyle name="Pattern 3 3 3" xfId="5212" xr:uid="{00000000-0005-0000-0000-000053670000}"/>
    <cellStyle name="Pattern 3 3 3 2" xfId="9251" xr:uid="{00000000-0005-0000-0000-000054670000}"/>
    <cellStyle name="Pattern 3 3 3 2 2" xfId="24589" xr:uid="{00000000-0005-0000-0000-000055670000}"/>
    <cellStyle name="Pattern 3 3 3 3" xfId="15528" xr:uid="{00000000-0005-0000-0000-000056670000}"/>
    <cellStyle name="Pattern 3 3 3 3 2" xfId="30360" xr:uid="{00000000-0005-0000-0000-000057670000}"/>
    <cellStyle name="Pattern 3 3 4" xfId="4242" xr:uid="{00000000-0005-0000-0000-000058670000}"/>
    <cellStyle name="Pattern 3 3 4 2" xfId="8281" xr:uid="{00000000-0005-0000-0000-000059670000}"/>
    <cellStyle name="Pattern 3 3 4 2 2" xfId="23976" xr:uid="{00000000-0005-0000-0000-00005A670000}"/>
    <cellStyle name="Pattern 3 3 4 3" xfId="14574" xr:uid="{00000000-0005-0000-0000-00005B670000}"/>
    <cellStyle name="Pattern 3 3 4 3 2" xfId="29406" xr:uid="{00000000-0005-0000-0000-00005C670000}"/>
    <cellStyle name="Pattern 3 3 5" xfId="6356" xr:uid="{00000000-0005-0000-0000-00005D670000}"/>
    <cellStyle name="Pattern 3 3 5 2" xfId="22758" xr:uid="{00000000-0005-0000-0000-00005E670000}"/>
    <cellStyle name="Pattern 3 4" xfId="3737" xr:uid="{00000000-0005-0000-0000-00005F670000}"/>
    <cellStyle name="Pattern 3 4 2" xfId="7793" xr:uid="{00000000-0005-0000-0000-000060670000}"/>
    <cellStyle name="Pattern 3 4 2 2" xfId="23667" xr:uid="{00000000-0005-0000-0000-000061670000}"/>
    <cellStyle name="Pattern 3 4 3" xfId="14072" xr:uid="{00000000-0005-0000-0000-000062670000}"/>
    <cellStyle name="Pattern 3 4 3 2" xfId="28904" xr:uid="{00000000-0005-0000-0000-000063670000}"/>
    <cellStyle name="Pattern 3 5" xfId="3923" xr:uid="{00000000-0005-0000-0000-000064670000}"/>
    <cellStyle name="Pattern 3 5 2" xfId="14256" xr:uid="{00000000-0005-0000-0000-000065670000}"/>
    <cellStyle name="Pattern 3 5 2 2" xfId="29088" xr:uid="{00000000-0005-0000-0000-000066670000}"/>
    <cellStyle name="Pattern 3 5 3" xfId="21422" xr:uid="{00000000-0005-0000-0000-000067670000}"/>
    <cellStyle name="Pattern 3 6" xfId="4546" xr:uid="{00000000-0005-0000-0000-000068670000}"/>
    <cellStyle name="Pattern 3 6 2" xfId="8585" xr:uid="{00000000-0005-0000-0000-000069670000}"/>
    <cellStyle name="Pattern 3 6 2 2" xfId="24211" xr:uid="{00000000-0005-0000-0000-00006A670000}"/>
    <cellStyle name="Pattern 3 6 3" xfId="14873" xr:uid="{00000000-0005-0000-0000-00006B670000}"/>
    <cellStyle name="Pattern 3 6 3 2" xfId="29705" xr:uid="{00000000-0005-0000-0000-00006C670000}"/>
    <cellStyle name="Pattern 3 7" xfId="2536" xr:uid="{00000000-0005-0000-0000-00006D670000}"/>
    <cellStyle name="Pattern 3 7 2" xfId="6642" xr:uid="{00000000-0005-0000-0000-00006E670000}"/>
    <cellStyle name="Pattern 3 7 2 2" xfId="22980" xr:uid="{00000000-0005-0000-0000-00006F670000}"/>
    <cellStyle name="Pattern 3 7 3" xfId="12874" xr:uid="{00000000-0005-0000-0000-000070670000}"/>
    <cellStyle name="Pattern 3 7 3 2" xfId="27706" xr:uid="{00000000-0005-0000-0000-000071670000}"/>
    <cellStyle name="Pattern 3 8" xfId="1698" xr:uid="{00000000-0005-0000-0000-000072670000}"/>
    <cellStyle name="Pattern 3 8 2" xfId="5830" xr:uid="{00000000-0005-0000-0000-000073670000}"/>
    <cellStyle name="Pattern 3 8 2 2" xfId="22427" xr:uid="{00000000-0005-0000-0000-000074670000}"/>
    <cellStyle name="Pattern 3 8 3" xfId="12092" xr:uid="{00000000-0005-0000-0000-000075670000}"/>
    <cellStyle name="Pattern 3 8 3 2" xfId="26924" xr:uid="{00000000-0005-0000-0000-000076670000}"/>
    <cellStyle name="Pattern 3 9" xfId="5659" xr:uid="{00000000-0005-0000-0000-000077670000}"/>
    <cellStyle name="Pattern 3 9 2" xfId="15894" xr:uid="{00000000-0005-0000-0000-000078670000}"/>
    <cellStyle name="Pattern 3 9 2 2" xfId="30726" xr:uid="{00000000-0005-0000-0000-000079670000}"/>
    <cellStyle name="Pattern 3 9 3" xfId="22355" xr:uid="{00000000-0005-0000-0000-00007A670000}"/>
    <cellStyle name="Pattern 4" xfId="1666" xr:uid="{00000000-0005-0000-0000-00007B670000}"/>
    <cellStyle name="Pattern 4 2" xfId="4353" xr:uid="{00000000-0005-0000-0000-00007C670000}"/>
    <cellStyle name="Pattern 4 2 2" xfId="8392" xr:uid="{00000000-0005-0000-0000-00007D670000}"/>
    <cellStyle name="Pattern 4 2 2 2" xfId="24050" xr:uid="{00000000-0005-0000-0000-00007E670000}"/>
    <cellStyle name="Pattern 4 2 3" xfId="14682" xr:uid="{00000000-0005-0000-0000-00007F670000}"/>
    <cellStyle name="Pattern 4 2 3 2" xfId="29514" xr:uid="{00000000-0005-0000-0000-000080670000}"/>
    <cellStyle name="Pattern 4 3" xfId="5217" xr:uid="{00000000-0005-0000-0000-000081670000}"/>
    <cellStyle name="Pattern 4 3 2" xfId="9256" xr:uid="{00000000-0005-0000-0000-000082670000}"/>
    <cellStyle name="Pattern 4 3 2 2" xfId="24594" xr:uid="{00000000-0005-0000-0000-000083670000}"/>
    <cellStyle name="Pattern 4 3 3" xfId="15533" xr:uid="{00000000-0005-0000-0000-000084670000}"/>
    <cellStyle name="Pattern 4 3 3 2" xfId="30365" xr:uid="{00000000-0005-0000-0000-000085670000}"/>
    <cellStyle name="Pattern 4 4" xfId="4247" xr:uid="{00000000-0005-0000-0000-000086670000}"/>
    <cellStyle name="Pattern 4 4 2" xfId="8286" xr:uid="{00000000-0005-0000-0000-000087670000}"/>
    <cellStyle name="Pattern 4 4 2 2" xfId="23981" xr:uid="{00000000-0005-0000-0000-000088670000}"/>
    <cellStyle name="Pattern 4 4 3" xfId="14579" xr:uid="{00000000-0005-0000-0000-000089670000}"/>
    <cellStyle name="Pattern 4 4 3 2" xfId="29411" xr:uid="{00000000-0005-0000-0000-00008A670000}"/>
    <cellStyle name="Pattern 4 5" xfId="2249" xr:uid="{00000000-0005-0000-0000-00008B670000}"/>
    <cellStyle name="Pattern 4 5 2" xfId="6361" xr:uid="{00000000-0005-0000-0000-00008C670000}"/>
    <cellStyle name="Pattern 4 5 2 2" xfId="22763" xr:uid="{00000000-0005-0000-0000-00008D670000}"/>
    <cellStyle name="Pattern 4 6" xfId="5808" xr:uid="{00000000-0005-0000-0000-00008E670000}"/>
    <cellStyle name="Pattern 4 6 2" xfId="22406" xr:uid="{00000000-0005-0000-0000-00008F670000}"/>
    <cellStyle name="Pattern 4 7" xfId="12061" xr:uid="{00000000-0005-0000-0000-000090670000}"/>
    <cellStyle name="Pattern 4 7 2" xfId="26893" xr:uid="{00000000-0005-0000-0000-000091670000}"/>
    <cellStyle name="Pattern 5" xfId="3575" xr:uid="{00000000-0005-0000-0000-000092670000}"/>
    <cellStyle name="Pattern 5 2" xfId="7637" xr:uid="{00000000-0005-0000-0000-000093670000}"/>
    <cellStyle name="Pattern 5 2 2" xfId="23560" xr:uid="{00000000-0005-0000-0000-000094670000}"/>
    <cellStyle name="Pattern 5 3" xfId="13911" xr:uid="{00000000-0005-0000-0000-000095670000}"/>
    <cellStyle name="Pattern 5 3 2" xfId="28743" xr:uid="{00000000-0005-0000-0000-000096670000}"/>
    <cellStyle name="Pattern 6" xfId="3350" xr:uid="{00000000-0005-0000-0000-000097670000}"/>
    <cellStyle name="Pattern 6 2" xfId="7413" xr:uid="{00000000-0005-0000-0000-000098670000}"/>
    <cellStyle name="Pattern 6 2 2" xfId="23416" xr:uid="{00000000-0005-0000-0000-000099670000}"/>
    <cellStyle name="Pattern 6 3" xfId="13687" xr:uid="{00000000-0005-0000-0000-00009A670000}"/>
    <cellStyle name="Pattern 6 3 2" xfId="28519" xr:uid="{00000000-0005-0000-0000-00009B670000}"/>
    <cellStyle name="Pattern 7" xfId="2332" xr:uid="{00000000-0005-0000-0000-00009C670000}"/>
    <cellStyle name="Pattern 7 2" xfId="6444" xr:uid="{00000000-0005-0000-0000-00009D670000}"/>
    <cellStyle name="Pattern 7 2 2" xfId="22830" xr:uid="{00000000-0005-0000-0000-00009E670000}"/>
    <cellStyle name="Pattern 7 3" xfId="12672" xr:uid="{00000000-0005-0000-0000-00009F670000}"/>
    <cellStyle name="Pattern 7 3 2" xfId="27504" xr:uid="{00000000-0005-0000-0000-0000A0670000}"/>
    <cellStyle name="Pattern 8" xfId="1687" xr:uid="{00000000-0005-0000-0000-0000A1670000}"/>
    <cellStyle name="Pattern 8 2" xfId="5819" xr:uid="{00000000-0005-0000-0000-0000A2670000}"/>
    <cellStyle name="Pattern 8 2 2" xfId="22416" xr:uid="{00000000-0005-0000-0000-0000A3670000}"/>
    <cellStyle name="Pattern 8 3" xfId="12081" xr:uid="{00000000-0005-0000-0000-0000A4670000}"/>
    <cellStyle name="Pattern 8 3 2" xfId="26913" xr:uid="{00000000-0005-0000-0000-0000A5670000}"/>
    <cellStyle name="Pattern 9" xfId="5474" xr:uid="{00000000-0005-0000-0000-0000A6670000}"/>
    <cellStyle name="Pattern 9 2" xfId="15709" xr:uid="{00000000-0005-0000-0000-0000A7670000}"/>
    <cellStyle name="Pattern 9 2 2" xfId="30541" xr:uid="{00000000-0005-0000-0000-0000A8670000}"/>
    <cellStyle name="Pattern 9 3" xfId="22202" xr:uid="{00000000-0005-0000-0000-0000A9670000}"/>
    <cellStyle name="Percent" xfId="1" builtinId="5"/>
    <cellStyle name="Percent 2" xfId="5" xr:uid="{00000000-0005-0000-0000-0000AB670000}"/>
    <cellStyle name="Percent 2 2" xfId="1248" xr:uid="{00000000-0005-0000-0000-0000AC670000}"/>
    <cellStyle name="Percent 2 3" xfId="1388" xr:uid="{00000000-0005-0000-0000-0000AD670000}"/>
    <cellStyle name="Percent 3" xfId="7" xr:uid="{00000000-0005-0000-0000-0000AE670000}"/>
    <cellStyle name="Percent 4" xfId="1247" xr:uid="{00000000-0005-0000-0000-0000AF670000}"/>
    <cellStyle name="Percent 5" xfId="33019" xr:uid="{00000000-0005-0000-0000-0000B0670000}"/>
    <cellStyle name="Plain" xfId="1249" xr:uid="{00000000-0005-0000-0000-0000B1670000}"/>
    <cellStyle name="Scientific" xfId="1250" xr:uid="{00000000-0005-0000-0000-0000B2670000}"/>
    <cellStyle name="Title 2" xfId="1252" xr:uid="{00000000-0005-0000-0000-0000B3670000}"/>
    <cellStyle name="Title 2 2" xfId="1253" xr:uid="{00000000-0005-0000-0000-0000B4670000}"/>
    <cellStyle name="Title 2 3" xfId="1254" xr:uid="{00000000-0005-0000-0000-0000B5670000}"/>
    <cellStyle name="Title 2 4" xfId="1255" xr:uid="{00000000-0005-0000-0000-0000B6670000}"/>
    <cellStyle name="Title 2 5" xfId="1256" xr:uid="{00000000-0005-0000-0000-0000B7670000}"/>
    <cellStyle name="Title 2 6" xfId="1257" xr:uid="{00000000-0005-0000-0000-0000B8670000}"/>
    <cellStyle name="Title 2 7" xfId="1258" xr:uid="{00000000-0005-0000-0000-0000B9670000}"/>
    <cellStyle name="Title 2 8" xfId="1259" xr:uid="{00000000-0005-0000-0000-0000BA670000}"/>
    <cellStyle name="Title 3" xfId="1260" xr:uid="{00000000-0005-0000-0000-0000BB670000}"/>
    <cellStyle name="Title 4" xfId="1261" xr:uid="{00000000-0005-0000-0000-0000BC670000}"/>
    <cellStyle name="Title 5" xfId="1262" xr:uid="{00000000-0005-0000-0000-0000BD670000}"/>
    <cellStyle name="Title 6" xfId="1263" xr:uid="{00000000-0005-0000-0000-0000BE670000}"/>
    <cellStyle name="Title 7" xfId="1264" xr:uid="{00000000-0005-0000-0000-0000BF670000}"/>
    <cellStyle name="Title 8" xfId="1265" xr:uid="{00000000-0005-0000-0000-0000C0670000}"/>
    <cellStyle name="Title 9" xfId="1251" xr:uid="{00000000-0005-0000-0000-0000C1670000}"/>
    <cellStyle name="Total 10" xfId="1266" xr:uid="{00000000-0005-0000-0000-0000C2670000}"/>
    <cellStyle name="Total 10 10" xfId="2333" xr:uid="{00000000-0005-0000-0000-0000C3670000}"/>
    <cellStyle name="Total 10 10 2" xfId="6445" xr:uid="{00000000-0005-0000-0000-0000C4670000}"/>
    <cellStyle name="Total 10 10 2 2" xfId="16537" xr:uid="{00000000-0005-0000-0000-0000C5670000}"/>
    <cellStyle name="Total 10 10 2 2 2" xfId="31369" xr:uid="{00000000-0005-0000-0000-0000C6670000}"/>
    <cellStyle name="Total 10 10 2 3" xfId="18625" xr:uid="{00000000-0005-0000-0000-0000C7670000}"/>
    <cellStyle name="Total 10 10 3" xfId="12673" xr:uid="{00000000-0005-0000-0000-0000C8670000}"/>
    <cellStyle name="Total 10 10 3 2" xfId="27505" xr:uid="{00000000-0005-0000-0000-0000C9670000}"/>
    <cellStyle name="Total 10 10 4" xfId="10188" xr:uid="{00000000-0005-0000-0000-0000CA670000}"/>
    <cellStyle name="Total 10 10 4 2" xfId="25020" xr:uid="{00000000-0005-0000-0000-0000CB670000}"/>
    <cellStyle name="Total 10 11" xfId="5295" xr:uid="{00000000-0005-0000-0000-0000CC670000}"/>
    <cellStyle name="Total 10 11 2" xfId="9303" xr:uid="{00000000-0005-0000-0000-0000CD670000}"/>
    <cellStyle name="Total 10 11 2 2" xfId="18170" xr:uid="{00000000-0005-0000-0000-0000CE670000}"/>
    <cellStyle name="Total 10 11 2 2 2" xfId="33002" xr:uid="{00000000-0005-0000-0000-0000CF670000}"/>
    <cellStyle name="Total 10 11 2 3" xfId="19689" xr:uid="{00000000-0005-0000-0000-0000D0670000}"/>
    <cellStyle name="Total 10 11 3" xfId="15611" xr:uid="{00000000-0005-0000-0000-0000D1670000}"/>
    <cellStyle name="Total 10 11 3 2" xfId="30443" xr:uid="{00000000-0005-0000-0000-0000D2670000}"/>
    <cellStyle name="Total 10 12" xfId="5453" xr:uid="{00000000-0005-0000-0000-0000D3670000}"/>
    <cellStyle name="Total 10 12 2" xfId="15689" xr:uid="{00000000-0005-0000-0000-0000D4670000}"/>
    <cellStyle name="Total 10 12 2 2" xfId="30521" xr:uid="{00000000-0005-0000-0000-0000D5670000}"/>
    <cellStyle name="Total 10 12 3" xfId="18266" xr:uid="{00000000-0005-0000-0000-0000D6670000}"/>
    <cellStyle name="Total 10 13" xfId="9338" xr:uid="{00000000-0005-0000-0000-0000D7670000}"/>
    <cellStyle name="Total 10 13 2" xfId="24644" xr:uid="{00000000-0005-0000-0000-0000D8670000}"/>
    <cellStyle name="Total 10 14" xfId="5327" xr:uid="{00000000-0005-0000-0000-0000D9670000}"/>
    <cellStyle name="Total 10 14 2" xfId="18201" xr:uid="{00000000-0005-0000-0000-0000DA670000}"/>
    <cellStyle name="Total 10 2" xfId="1365" xr:uid="{00000000-0005-0000-0000-0000DB670000}"/>
    <cellStyle name="Total 10 2 2" xfId="1869" xr:uid="{00000000-0005-0000-0000-0000DC670000}"/>
    <cellStyle name="Total 10 2 2 2" xfId="3673" xr:uid="{00000000-0005-0000-0000-0000DD670000}"/>
    <cellStyle name="Total 10 2 2 2 2" xfId="7731" xr:uid="{00000000-0005-0000-0000-0000DE670000}"/>
    <cellStyle name="Total 10 2 2 2 2 2" xfId="17309" xr:uid="{00000000-0005-0000-0000-0000DF670000}"/>
    <cellStyle name="Total 10 2 2 2 2 2 2" xfId="32141" xr:uid="{00000000-0005-0000-0000-0000E0670000}"/>
    <cellStyle name="Total 10 2 2 2 2 3" xfId="19117" xr:uid="{00000000-0005-0000-0000-0000E1670000}"/>
    <cellStyle name="Total 10 2 2 2 3" xfId="14008" xr:uid="{00000000-0005-0000-0000-0000E2670000}"/>
    <cellStyle name="Total 10 2 2 2 3 2" xfId="28840" xr:uid="{00000000-0005-0000-0000-0000E3670000}"/>
    <cellStyle name="Total 10 2 2 2 4" xfId="10926" xr:uid="{00000000-0005-0000-0000-0000E4670000}"/>
    <cellStyle name="Total 10 2 2 2 4 2" xfId="25758" xr:uid="{00000000-0005-0000-0000-0000E5670000}"/>
    <cellStyle name="Total 10 2 2 3" xfId="4847" xr:uid="{00000000-0005-0000-0000-0000E6670000}"/>
    <cellStyle name="Total 10 2 2 3 2" xfId="8886" xr:uid="{00000000-0005-0000-0000-0000E7670000}"/>
    <cellStyle name="Total 10 2 2 3 2 2" xfId="17927" xr:uid="{00000000-0005-0000-0000-0000E8670000}"/>
    <cellStyle name="Total 10 2 2 3 2 2 2" xfId="32759" xr:uid="{00000000-0005-0000-0000-0000E9670000}"/>
    <cellStyle name="Total 10 2 2 3 2 3" xfId="19529" xr:uid="{00000000-0005-0000-0000-0000EA670000}"/>
    <cellStyle name="Total 10 2 2 3 3" xfId="15171" xr:uid="{00000000-0005-0000-0000-0000EB670000}"/>
    <cellStyle name="Total 10 2 2 3 3 2" xfId="30003" xr:uid="{00000000-0005-0000-0000-0000EC670000}"/>
    <cellStyle name="Total 10 2 2 3 4" xfId="11530" xr:uid="{00000000-0005-0000-0000-0000ED670000}"/>
    <cellStyle name="Total 10 2 2 3 4 2" xfId="26362" xr:uid="{00000000-0005-0000-0000-0000EE670000}"/>
    <cellStyle name="Total 10 2 2 4" xfId="2837" xr:uid="{00000000-0005-0000-0000-0000EF670000}"/>
    <cellStyle name="Total 10 2 2 4 2" xfId="6928" xr:uid="{00000000-0005-0000-0000-0000F0670000}"/>
    <cellStyle name="Total 10 2 2 4 2 2" xfId="16821" xr:uid="{00000000-0005-0000-0000-0000F1670000}"/>
    <cellStyle name="Total 10 2 2 4 2 2 2" xfId="31653" xr:uid="{00000000-0005-0000-0000-0000F2670000}"/>
    <cellStyle name="Total 10 2 2 4 2 3" xfId="18820" xr:uid="{00000000-0005-0000-0000-0000F3670000}"/>
    <cellStyle name="Total 10 2 2 4 3" xfId="13175" xr:uid="{00000000-0005-0000-0000-0000F4670000}"/>
    <cellStyle name="Total 10 2 2 4 3 2" xfId="28007" xr:uid="{00000000-0005-0000-0000-0000F5670000}"/>
    <cellStyle name="Total 10 2 2 4 4" xfId="10474" xr:uid="{00000000-0005-0000-0000-0000F6670000}"/>
    <cellStyle name="Total 10 2 2 4 4 2" xfId="25306" xr:uid="{00000000-0005-0000-0000-0000F7670000}"/>
    <cellStyle name="Total 10 2 2 5" xfId="6001" xr:uid="{00000000-0005-0000-0000-0000F8670000}"/>
    <cellStyle name="Total 10 2 2 5 2" xfId="16193" xr:uid="{00000000-0005-0000-0000-0000F9670000}"/>
    <cellStyle name="Total 10 2 2 5 2 2" xfId="31025" xr:uid="{00000000-0005-0000-0000-0000FA670000}"/>
    <cellStyle name="Total 10 2 2 5 3" xfId="18462" xr:uid="{00000000-0005-0000-0000-0000FB670000}"/>
    <cellStyle name="Total 10 2 2 6" xfId="12263" xr:uid="{00000000-0005-0000-0000-0000FC670000}"/>
    <cellStyle name="Total 10 2 2 6 2" xfId="27095" xr:uid="{00000000-0005-0000-0000-0000FD670000}"/>
    <cellStyle name="Total 10 2 2 7" xfId="9859" xr:uid="{00000000-0005-0000-0000-0000FE670000}"/>
    <cellStyle name="Total 10 2 2 7 2" xfId="24785" xr:uid="{00000000-0005-0000-0000-0000FF670000}"/>
    <cellStyle name="Total 10 2 3" xfId="4004" xr:uid="{00000000-0005-0000-0000-000000680000}"/>
    <cellStyle name="Total 10 2 3 2" xfId="8051" xr:uid="{00000000-0005-0000-0000-000001680000}"/>
    <cellStyle name="Total 10 2 3 2 2" xfId="17469" xr:uid="{00000000-0005-0000-0000-000002680000}"/>
    <cellStyle name="Total 10 2 3 2 2 2" xfId="32301" xr:uid="{00000000-0005-0000-0000-000003680000}"/>
    <cellStyle name="Total 10 2 3 2 3" xfId="19230" xr:uid="{00000000-0005-0000-0000-000004680000}"/>
    <cellStyle name="Total 10 2 3 3" xfId="14336" xr:uid="{00000000-0005-0000-0000-000005680000}"/>
    <cellStyle name="Total 10 2 3 3 2" xfId="29168" xr:uid="{00000000-0005-0000-0000-000006680000}"/>
    <cellStyle name="Total 10 2 3 4" xfId="11086" xr:uid="{00000000-0005-0000-0000-000007680000}"/>
    <cellStyle name="Total 10 2 3 4 2" xfId="25918" xr:uid="{00000000-0005-0000-0000-000008680000}"/>
    <cellStyle name="Total 10 2 4" xfId="4427" xr:uid="{00000000-0005-0000-0000-000009680000}"/>
    <cellStyle name="Total 10 2 4 2" xfId="8466" xr:uid="{00000000-0005-0000-0000-00000A680000}"/>
    <cellStyle name="Total 10 2 4 2 2" xfId="17687" xr:uid="{00000000-0005-0000-0000-00000B680000}"/>
    <cellStyle name="Total 10 2 4 2 2 2" xfId="32519" xr:uid="{00000000-0005-0000-0000-00000C680000}"/>
    <cellStyle name="Total 10 2 4 2 3" xfId="19369" xr:uid="{00000000-0005-0000-0000-00000D680000}"/>
    <cellStyle name="Total 10 2 4 3" xfId="14756" xr:uid="{00000000-0005-0000-0000-00000E680000}"/>
    <cellStyle name="Total 10 2 4 3 2" xfId="29588" xr:uid="{00000000-0005-0000-0000-00000F680000}"/>
    <cellStyle name="Total 10 2 4 4" xfId="11295" xr:uid="{00000000-0005-0000-0000-000010680000}"/>
    <cellStyle name="Total 10 2 4 4 2" xfId="26127" xr:uid="{00000000-0005-0000-0000-000011680000}"/>
    <cellStyle name="Total 10 2 5" xfId="2417" xr:uid="{00000000-0005-0000-0000-000012680000}"/>
    <cellStyle name="Total 10 2 5 2" xfId="6529" xr:uid="{00000000-0005-0000-0000-000013680000}"/>
    <cellStyle name="Total 10 2 5 2 2" xfId="16585" xr:uid="{00000000-0005-0000-0000-000014680000}"/>
    <cellStyle name="Total 10 2 5 2 2 2" xfId="31417" xr:uid="{00000000-0005-0000-0000-000015680000}"/>
    <cellStyle name="Total 10 2 5 2 3" xfId="18657" xr:uid="{00000000-0005-0000-0000-000016680000}"/>
    <cellStyle name="Total 10 2 5 3" xfId="12756" xr:uid="{00000000-0005-0000-0000-000017680000}"/>
    <cellStyle name="Total 10 2 5 3 2" xfId="27588" xr:uid="{00000000-0005-0000-0000-000018680000}"/>
    <cellStyle name="Total 10 2 5 4" xfId="10235" xr:uid="{00000000-0005-0000-0000-000019680000}"/>
    <cellStyle name="Total 10 2 5 4 2" xfId="25067" xr:uid="{00000000-0005-0000-0000-00001A680000}"/>
    <cellStyle name="Total 10 2 6" xfId="5542" xr:uid="{00000000-0005-0000-0000-00001B680000}"/>
    <cellStyle name="Total 10 2 6 2" xfId="15777" xr:uid="{00000000-0005-0000-0000-00001C680000}"/>
    <cellStyle name="Total 10 2 6 2 2" xfId="30609" xr:uid="{00000000-0005-0000-0000-00001D680000}"/>
    <cellStyle name="Total 10 2 6 3" xfId="18299" xr:uid="{00000000-0005-0000-0000-00001E680000}"/>
    <cellStyle name="Total 10 2 7" xfId="11792" xr:uid="{00000000-0005-0000-0000-00001F680000}"/>
    <cellStyle name="Total 10 2 7 2" xfId="26624" xr:uid="{00000000-0005-0000-0000-000020680000}"/>
    <cellStyle name="Total 10 2 8" xfId="9463" xr:uid="{00000000-0005-0000-0000-000021680000}"/>
    <cellStyle name="Total 10 2 8 2" xfId="19767" xr:uid="{00000000-0005-0000-0000-000022680000}"/>
    <cellStyle name="Total 10 3" xfId="1537" xr:uid="{00000000-0005-0000-0000-000023680000}"/>
    <cellStyle name="Total 10 3 2" xfId="2034" xr:uid="{00000000-0005-0000-0000-000024680000}"/>
    <cellStyle name="Total 10 3 2 2" xfId="3749" xr:uid="{00000000-0005-0000-0000-000025680000}"/>
    <cellStyle name="Total 10 3 2 2 2" xfId="7805" xr:uid="{00000000-0005-0000-0000-000026680000}"/>
    <cellStyle name="Total 10 3 2 2 2 2" xfId="17346" xr:uid="{00000000-0005-0000-0000-000027680000}"/>
    <cellStyle name="Total 10 3 2 2 2 2 2" xfId="32178" xr:uid="{00000000-0005-0000-0000-000028680000}"/>
    <cellStyle name="Total 10 3 2 2 2 3" xfId="19140" xr:uid="{00000000-0005-0000-0000-000029680000}"/>
    <cellStyle name="Total 10 3 2 2 3" xfId="14084" xr:uid="{00000000-0005-0000-0000-00002A680000}"/>
    <cellStyle name="Total 10 3 2 2 3 2" xfId="28916" xr:uid="{00000000-0005-0000-0000-00002B680000}"/>
    <cellStyle name="Total 10 3 2 2 4" xfId="10962" xr:uid="{00000000-0005-0000-0000-00002C680000}"/>
    <cellStyle name="Total 10 3 2 2 4 2" xfId="25794" xr:uid="{00000000-0005-0000-0000-00002D680000}"/>
    <cellStyle name="Total 10 3 2 3" xfId="5002" xr:uid="{00000000-0005-0000-0000-00002E680000}"/>
    <cellStyle name="Total 10 3 2 3 2" xfId="9041" xr:uid="{00000000-0005-0000-0000-00002F680000}"/>
    <cellStyle name="Total 10 3 2 3 2 2" xfId="17979" xr:uid="{00000000-0005-0000-0000-000030680000}"/>
    <cellStyle name="Total 10 3 2 3 2 2 2" xfId="32811" xr:uid="{00000000-0005-0000-0000-000031680000}"/>
    <cellStyle name="Total 10 3 2 3 2 3" xfId="19561" xr:uid="{00000000-0005-0000-0000-000032680000}"/>
    <cellStyle name="Total 10 3 2 3 3" xfId="15324" xr:uid="{00000000-0005-0000-0000-000033680000}"/>
    <cellStyle name="Total 10 3 2 3 3 2" xfId="30156" xr:uid="{00000000-0005-0000-0000-000034680000}"/>
    <cellStyle name="Total 10 3 2 3 4" xfId="11580" xr:uid="{00000000-0005-0000-0000-000035680000}"/>
    <cellStyle name="Total 10 3 2 3 4 2" xfId="26412" xr:uid="{00000000-0005-0000-0000-000036680000}"/>
    <cellStyle name="Total 10 3 2 4" xfId="2992" xr:uid="{00000000-0005-0000-0000-000037680000}"/>
    <cellStyle name="Total 10 3 2 4 2" xfId="7072" xr:uid="{00000000-0005-0000-0000-000038680000}"/>
    <cellStyle name="Total 10 3 2 4 2 2" xfId="16871" xr:uid="{00000000-0005-0000-0000-000039680000}"/>
    <cellStyle name="Total 10 3 2 4 2 2 2" xfId="31703" xr:uid="{00000000-0005-0000-0000-00003A680000}"/>
    <cellStyle name="Total 10 3 2 4 2 3" xfId="18853" xr:uid="{00000000-0005-0000-0000-00003B680000}"/>
    <cellStyle name="Total 10 3 2 4 3" xfId="13330" xr:uid="{00000000-0005-0000-0000-00003C680000}"/>
    <cellStyle name="Total 10 3 2 4 3 2" xfId="28162" xr:uid="{00000000-0005-0000-0000-00003D680000}"/>
    <cellStyle name="Total 10 3 2 4 4" xfId="10526" xr:uid="{00000000-0005-0000-0000-00003E680000}"/>
    <cellStyle name="Total 10 3 2 4 4 2" xfId="25358" xr:uid="{00000000-0005-0000-0000-00003F680000}"/>
    <cellStyle name="Total 10 3 2 5" xfId="6164" xr:uid="{00000000-0005-0000-0000-000040680000}"/>
    <cellStyle name="Total 10 3 2 5 2" xfId="16351" xr:uid="{00000000-0005-0000-0000-000041680000}"/>
    <cellStyle name="Total 10 3 2 5 2 2" xfId="31183" xr:uid="{00000000-0005-0000-0000-000042680000}"/>
    <cellStyle name="Total 10 3 2 5 3" xfId="18494" xr:uid="{00000000-0005-0000-0000-000043680000}"/>
    <cellStyle name="Total 10 3 2 6" xfId="12421" xr:uid="{00000000-0005-0000-0000-000044680000}"/>
    <cellStyle name="Total 10 3 2 6 2" xfId="27253" xr:uid="{00000000-0005-0000-0000-000045680000}"/>
    <cellStyle name="Total 10 3 2 7" xfId="10003" xr:uid="{00000000-0005-0000-0000-000046680000}"/>
    <cellStyle name="Total 10 3 2 7 2" xfId="24835" xr:uid="{00000000-0005-0000-0000-000047680000}"/>
    <cellStyle name="Total 10 3 3" xfId="3326" xr:uid="{00000000-0005-0000-0000-000048680000}"/>
    <cellStyle name="Total 10 3 3 2" xfId="7389" xr:uid="{00000000-0005-0000-0000-000049680000}"/>
    <cellStyle name="Total 10 3 3 2 2" xfId="17122" xr:uid="{00000000-0005-0000-0000-00004A680000}"/>
    <cellStyle name="Total 10 3 3 2 2 2" xfId="31954" xr:uid="{00000000-0005-0000-0000-00004B680000}"/>
    <cellStyle name="Total 10 3 3 2 3" xfId="18999" xr:uid="{00000000-0005-0000-0000-00004C680000}"/>
    <cellStyle name="Total 10 3 3 3" xfId="13663" xr:uid="{00000000-0005-0000-0000-00004D680000}"/>
    <cellStyle name="Total 10 3 3 3 2" xfId="28495" xr:uid="{00000000-0005-0000-0000-00004E680000}"/>
    <cellStyle name="Total 10 3 3 4" xfId="10743" xr:uid="{00000000-0005-0000-0000-00004F680000}"/>
    <cellStyle name="Total 10 3 3 4 2" xfId="25575" xr:uid="{00000000-0005-0000-0000-000050680000}"/>
    <cellStyle name="Total 10 3 4" xfId="4582" xr:uid="{00000000-0005-0000-0000-000051680000}"/>
    <cellStyle name="Total 10 3 4 2" xfId="8621" xr:uid="{00000000-0005-0000-0000-000052680000}"/>
    <cellStyle name="Total 10 3 4 2 2" xfId="17739" xr:uid="{00000000-0005-0000-0000-000053680000}"/>
    <cellStyle name="Total 10 3 4 2 2 2" xfId="32571" xr:uid="{00000000-0005-0000-0000-000054680000}"/>
    <cellStyle name="Total 10 3 4 2 3" xfId="19401" xr:uid="{00000000-0005-0000-0000-000055680000}"/>
    <cellStyle name="Total 10 3 4 3" xfId="14909" xr:uid="{00000000-0005-0000-0000-000056680000}"/>
    <cellStyle name="Total 10 3 4 3 2" xfId="29741" xr:uid="{00000000-0005-0000-0000-000057680000}"/>
    <cellStyle name="Total 10 3 4 4" xfId="11345" xr:uid="{00000000-0005-0000-0000-000058680000}"/>
    <cellStyle name="Total 10 3 4 4 2" xfId="26177" xr:uid="{00000000-0005-0000-0000-000059680000}"/>
    <cellStyle name="Total 10 3 5" xfId="2572" xr:uid="{00000000-0005-0000-0000-00005A680000}"/>
    <cellStyle name="Total 10 3 5 2" xfId="6678" xr:uid="{00000000-0005-0000-0000-00005B680000}"/>
    <cellStyle name="Total 10 3 5 2 2" xfId="16636" xr:uid="{00000000-0005-0000-0000-00005C680000}"/>
    <cellStyle name="Total 10 3 5 2 2 2" xfId="31468" xr:uid="{00000000-0005-0000-0000-00005D680000}"/>
    <cellStyle name="Total 10 3 5 2 3" xfId="18689" xr:uid="{00000000-0005-0000-0000-00005E680000}"/>
    <cellStyle name="Total 10 3 5 3" xfId="12910" xr:uid="{00000000-0005-0000-0000-00005F680000}"/>
    <cellStyle name="Total 10 3 5 3 2" xfId="27742" xr:uid="{00000000-0005-0000-0000-000060680000}"/>
    <cellStyle name="Total 10 3 5 4" xfId="10286" xr:uid="{00000000-0005-0000-0000-000061680000}"/>
    <cellStyle name="Total 10 3 5 4 2" xfId="25118" xr:uid="{00000000-0005-0000-0000-000062680000}"/>
    <cellStyle name="Total 10 3 6" xfId="5695" xr:uid="{00000000-0005-0000-0000-000063680000}"/>
    <cellStyle name="Total 10 3 6 2" xfId="15930" xr:uid="{00000000-0005-0000-0000-000064680000}"/>
    <cellStyle name="Total 10 3 6 2 2" xfId="30762" xr:uid="{00000000-0005-0000-0000-000065680000}"/>
    <cellStyle name="Total 10 3 6 3" xfId="18331" xr:uid="{00000000-0005-0000-0000-000066680000}"/>
    <cellStyle name="Total 10 3 7" xfId="11950" xr:uid="{00000000-0005-0000-0000-000067680000}"/>
    <cellStyle name="Total 10 3 7 2" xfId="26782" xr:uid="{00000000-0005-0000-0000-000068680000}"/>
    <cellStyle name="Total 10 3 8" xfId="9608" xr:uid="{00000000-0005-0000-0000-000069680000}"/>
    <cellStyle name="Total 10 3 8 2" xfId="19910" xr:uid="{00000000-0005-0000-0000-00006A680000}"/>
    <cellStyle name="Total 10 4" xfId="1590" xr:uid="{00000000-0005-0000-0000-00006B680000}"/>
    <cellStyle name="Total 10 4 2" xfId="2087" xr:uid="{00000000-0005-0000-0000-00006C680000}"/>
    <cellStyle name="Total 10 4 2 2" xfId="3805" xr:uid="{00000000-0005-0000-0000-00006D680000}"/>
    <cellStyle name="Total 10 4 2 2 2" xfId="7860" xr:uid="{00000000-0005-0000-0000-00006E680000}"/>
    <cellStyle name="Total 10 4 2 2 2 2" xfId="17373" xr:uid="{00000000-0005-0000-0000-00006F680000}"/>
    <cellStyle name="Total 10 4 2 2 2 2 2" xfId="32205" xr:uid="{00000000-0005-0000-0000-000070680000}"/>
    <cellStyle name="Total 10 4 2 2 2 3" xfId="19159" xr:uid="{00000000-0005-0000-0000-000071680000}"/>
    <cellStyle name="Total 10 4 2 2 3" xfId="14140" xr:uid="{00000000-0005-0000-0000-000072680000}"/>
    <cellStyle name="Total 10 4 2 2 3 2" xfId="28972" xr:uid="{00000000-0005-0000-0000-000073680000}"/>
    <cellStyle name="Total 10 4 2 2 4" xfId="10990" xr:uid="{00000000-0005-0000-0000-000074680000}"/>
    <cellStyle name="Total 10 4 2 2 4 2" xfId="25822" xr:uid="{00000000-0005-0000-0000-000075680000}"/>
    <cellStyle name="Total 10 4 2 3" xfId="5055" xr:uid="{00000000-0005-0000-0000-000076680000}"/>
    <cellStyle name="Total 10 4 2 3 2" xfId="9094" xr:uid="{00000000-0005-0000-0000-000077680000}"/>
    <cellStyle name="Total 10 4 2 3 2 2" xfId="18027" xr:uid="{00000000-0005-0000-0000-000078680000}"/>
    <cellStyle name="Total 10 4 2 3 2 2 2" xfId="32859" xr:uid="{00000000-0005-0000-0000-000079680000}"/>
    <cellStyle name="Total 10 4 2 3 2 3" xfId="19593" xr:uid="{00000000-0005-0000-0000-00007A680000}"/>
    <cellStyle name="Total 10 4 2 3 3" xfId="15376" xr:uid="{00000000-0005-0000-0000-00007B680000}"/>
    <cellStyle name="Total 10 4 2 3 3 2" xfId="30208" xr:uid="{00000000-0005-0000-0000-00007C680000}"/>
    <cellStyle name="Total 10 4 2 3 4" xfId="11627" xr:uid="{00000000-0005-0000-0000-00007D680000}"/>
    <cellStyle name="Total 10 4 2 3 4 2" xfId="26459" xr:uid="{00000000-0005-0000-0000-00007E680000}"/>
    <cellStyle name="Total 10 4 2 4" xfId="3045" xr:uid="{00000000-0005-0000-0000-00007F680000}"/>
    <cellStyle name="Total 10 4 2 4 2" xfId="7120" xr:uid="{00000000-0005-0000-0000-000080680000}"/>
    <cellStyle name="Total 10 4 2 4 2 2" xfId="16918" xr:uid="{00000000-0005-0000-0000-000081680000}"/>
    <cellStyle name="Total 10 4 2 4 2 2 2" xfId="31750" xr:uid="{00000000-0005-0000-0000-000082680000}"/>
    <cellStyle name="Total 10 4 2 4 2 3" xfId="18886" xr:uid="{00000000-0005-0000-0000-000083680000}"/>
    <cellStyle name="Total 10 4 2 4 3" xfId="13383" xr:uid="{00000000-0005-0000-0000-000084680000}"/>
    <cellStyle name="Total 10 4 2 4 3 2" xfId="28215" xr:uid="{00000000-0005-0000-0000-000085680000}"/>
    <cellStyle name="Total 10 4 2 4 4" xfId="10574" xr:uid="{00000000-0005-0000-0000-000086680000}"/>
    <cellStyle name="Total 10 4 2 4 4 2" xfId="25406" xr:uid="{00000000-0005-0000-0000-000087680000}"/>
    <cellStyle name="Total 10 4 2 5" xfId="6212" xr:uid="{00000000-0005-0000-0000-000088680000}"/>
    <cellStyle name="Total 10 4 2 5 2" xfId="16398" xr:uid="{00000000-0005-0000-0000-000089680000}"/>
    <cellStyle name="Total 10 4 2 5 2 2" xfId="31230" xr:uid="{00000000-0005-0000-0000-00008A680000}"/>
    <cellStyle name="Total 10 4 2 5 3" xfId="18527" xr:uid="{00000000-0005-0000-0000-00008B680000}"/>
    <cellStyle name="Total 10 4 2 6" xfId="12468" xr:uid="{00000000-0005-0000-0000-00008C680000}"/>
    <cellStyle name="Total 10 4 2 6 2" xfId="27300" xr:uid="{00000000-0005-0000-0000-00008D680000}"/>
    <cellStyle name="Total 10 4 2 7" xfId="10050" xr:uid="{00000000-0005-0000-0000-00008E680000}"/>
    <cellStyle name="Total 10 4 2 7 2" xfId="24882" xr:uid="{00000000-0005-0000-0000-00008F680000}"/>
    <cellStyle name="Total 10 4 3" xfId="3754" xr:uid="{00000000-0005-0000-0000-000090680000}"/>
    <cellStyle name="Total 10 4 3 2" xfId="7810" xr:uid="{00000000-0005-0000-0000-000091680000}"/>
    <cellStyle name="Total 10 4 3 2 2" xfId="17348" xr:uid="{00000000-0005-0000-0000-000092680000}"/>
    <cellStyle name="Total 10 4 3 2 2 2" xfId="32180" xr:uid="{00000000-0005-0000-0000-000093680000}"/>
    <cellStyle name="Total 10 4 3 2 3" xfId="19142" xr:uid="{00000000-0005-0000-0000-000094680000}"/>
    <cellStyle name="Total 10 4 3 3" xfId="14089" xr:uid="{00000000-0005-0000-0000-000095680000}"/>
    <cellStyle name="Total 10 4 3 3 2" xfId="28921" xr:uid="{00000000-0005-0000-0000-000096680000}"/>
    <cellStyle name="Total 10 4 3 4" xfId="10964" xr:uid="{00000000-0005-0000-0000-000097680000}"/>
    <cellStyle name="Total 10 4 3 4 2" xfId="25796" xr:uid="{00000000-0005-0000-0000-000098680000}"/>
    <cellStyle name="Total 10 4 4" xfId="4635" xr:uid="{00000000-0005-0000-0000-000099680000}"/>
    <cellStyle name="Total 10 4 4 2" xfId="8674" xr:uid="{00000000-0005-0000-0000-00009A680000}"/>
    <cellStyle name="Total 10 4 4 2 2" xfId="17787" xr:uid="{00000000-0005-0000-0000-00009B680000}"/>
    <cellStyle name="Total 10 4 4 2 2 2" xfId="32619" xr:uid="{00000000-0005-0000-0000-00009C680000}"/>
    <cellStyle name="Total 10 4 4 2 3" xfId="19433" xr:uid="{00000000-0005-0000-0000-00009D680000}"/>
    <cellStyle name="Total 10 4 4 3" xfId="14961" xr:uid="{00000000-0005-0000-0000-00009E680000}"/>
    <cellStyle name="Total 10 4 4 3 2" xfId="29793" xr:uid="{00000000-0005-0000-0000-00009F680000}"/>
    <cellStyle name="Total 10 4 4 4" xfId="11392" xr:uid="{00000000-0005-0000-0000-0000A0680000}"/>
    <cellStyle name="Total 10 4 4 4 2" xfId="26224" xr:uid="{00000000-0005-0000-0000-0000A1680000}"/>
    <cellStyle name="Total 10 4 5" xfId="2625" xr:uid="{00000000-0005-0000-0000-0000A2680000}"/>
    <cellStyle name="Total 10 4 5 2" xfId="6726" xr:uid="{00000000-0005-0000-0000-0000A3680000}"/>
    <cellStyle name="Total 10 4 5 2 2" xfId="16683" xr:uid="{00000000-0005-0000-0000-0000A4680000}"/>
    <cellStyle name="Total 10 4 5 2 2 2" xfId="31515" xr:uid="{00000000-0005-0000-0000-0000A5680000}"/>
    <cellStyle name="Total 10 4 5 2 3" xfId="18722" xr:uid="{00000000-0005-0000-0000-0000A6680000}"/>
    <cellStyle name="Total 10 4 5 3" xfId="12963" xr:uid="{00000000-0005-0000-0000-0000A7680000}"/>
    <cellStyle name="Total 10 4 5 3 2" xfId="27795" xr:uid="{00000000-0005-0000-0000-0000A8680000}"/>
    <cellStyle name="Total 10 4 5 4" xfId="10334" xr:uid="{00000000-0005-0000-0000-0000A9680000}"/>
    <cellStyle name="Total 10 4 5 4 2" xfId="25166" xr:uid="{00000000-0005-0000-0000-0000AA680000}"/>
    <cellStyle name="Total 10 4 6" xfId="5742" xr:uid="{00000000-0005-0000-0000-0000AB680000}"/>
    <cellStyle name="Total 10 4 6 2" xfId="15977" xr:uid="{00000000-0005-0000-0000-0000AC680000}"/>
    <cellStyle name="Total 10 4 6 2 2" xfId="30809" xr:uid="{00000000-0005-0000-0000-0000AD680000}"/>
    <cellStyle name="Total 10 4 6 3" xfId="18363" xr:uid="{00000000-0005-0000-0000-0000AE680000}"/>
    <cellStyle name="Total 10 4 7" xfId="11997" xr:uid="{00000000-0005-0000-0000-0000AF680000}"/>
    <cellStyle name="Total 10 4 7 2" xfId="26829" xr:uid="{00000000-0005-0000-0000-0000B0680000}"/>
    <cellStyle name="Total 10 4 8" xfId="9656" xr:uid="{00000000-0005-0000-0000-0000B1680000}"/>
    <cellStyle name="Total 10 4 8 2" xfId="19957" xr:uid="{00000000-0005-0000-0000-0000B2680000}"/>
    <cellStyle name="Total 10 5" xfId="1640" xr:uid="{00000000-0005-0000-0000-0000B3680000}"/>
    <cellStyle name="Total 10 5 2" xfId="2137" xr:uid="{00000000-0005-0000-0000-0000B4680000}"/>
    <cellStyle name="Total 10 5 2 2" xfId="3927" xr:uid="{00000000-0005-0000-0000-0000B5680000}"/>
    <cellStyle name="Total 10 5 2 2 2" xfId="7977" xr:uid="{00000000-0005-0000-0000-0000B6680000}"/>
    <cellStyle name="Total 10 5 2 2 2 2" xfId="17435" xr:uid="{00000000-0005-0000-0000-0000B7680000}"/>
    <cellStyle name="Total 10 5 2 2 2 2 2" xfId="32267" xr:uid="{00000000-0005-0000-0000-0000B8680000}"/>
    <cellStyle name="Total 10 5 2 2 2 3" xfId="19204" xr:uid="{00000000-0005-0000-0000-0000B9680000}"/>
    <cellStyle name="Total 10 5 2 2 3" xfId="14260" xr:uid="{00000000-0005-0000-0000-0000BA680000}"/>
    <cellStyle name="Total 10 5 2 2 3 2" xfId="29092" xr:uid="{00000000-0005-0000-0000-0000BB680000}"/>
    <cellStyle name="Total 10 5 2 2 4" xfId="11050" xr:uid="{00000000-0005-0000-0000-0000BC680000}"/>
    <cellStyle name="Total 10 5 2 2 4 2" xfId="25882" xr:uid="{00000000-0005-0000-0000-0000BD680000}"/>
    <cellStyle name="Total 10 5 2 3" xfId="5105" xr:uid="{00000000-0005-0000-0000-0000BE680000}"/>
    <cellStyle name="Total 10 5 2 3 2" xfId="9144" xr:uid="{00000000-0005-0000-0000-0000BF680000}"/>
    <cellStyle name="Total 10 5 2 3 2 2" xfId="18072" xr:uid="{00000000-0005-0000-0000-0000C0680000}"/>
    <cellStyle name="Total 10 5 2 3 2 2 2" xfId="32904" xr:uid="{00000000-0005-0000-0000-0000C1680000}"/>
    <cellStyle name="Total 10 5 2 3 2 3" xfId="19625" xr:uid="{00000000-0005-0000-0000-0000C2680000}"/>
    <cellStyle name="Total 10 5 2 3 3" xfId="15425" xr:uid="{00000000-0005-0000-0000-0000C3680000}"/>
    <cellStyle name="Total 10 5 2 3 3 2" xfId="30257" xr:uid="{00000000-0005-0000-0000-0000C4680000}"/>
    <cellStyle name="Total 10 5 2 3 4" xfId="11671" xr:uid="{00000000-0005-0000-0000-0000C5680000}"/>
    <cellStyle name="Total 10 5 2 3 4 2" xfId="26503" xr:uid="{00000000-0005-0000-0000-0000C6680000}"/>
    <cellStyle name="Total 10 5 2 4" xfId="3095" xr:uid="{00000000-0005-0000-0000-0000C7680000}"/>
    <cellStyle name="Total 10 5 2 4 2" xfId="7165" xr:uid="{00000000-0005-0000-0000-0000C8680000}"/>
    <cellStyle name="Total 10 5 2 4 2 2" xfId="16962" xr:uid="{00000000-0005-0000-0000-0000C9680000}"/>
    <cellStyle name="Total 10 5 2 4 2 2 2" xfId="31794" xr:uid="{00000000-0005-0000-0000-0000CA680000}"/>
    <cellStyle name="Total 10 5 2 4 2 3" xfId="18919" xr:uid="{00000000-0005-0000-0000-0000CB680000}"/>
    <cellStyle name="Total 10 5 2 4 3" xfId="13433" xr:uid="{00000000-0005-0000-0000-0000CC680000}"/>
    <cellStyle name="Total 10 5 2 4 3 2" xfId="28265" xr:uid="{00000000-0005-0000-0000-0000CD680000}"/>
    <cellStyle name="Total 10 5 2 4 4" xfId="10619" xr:uid="{00000000-0005-0000-0000-0000CE680000}"/>
    <cellStyle name="Total 10 5 2 4 4 2" xfId="25451" xr:uid="{00000000-0005-0000-0000-0000CF680000}"/>
    <cellStyle name="Total 10 5 2 5" xfId="6257" xr:uid="{00000000-0005-0000-0000-0000D0680000}"/>
    <cellStyle name="Total 10 5 2 5 2" xfId="16442" xr:uid="{00000000-0005-0000-0000-0000D1680000}"/>
    <cellStyle name="Total 10 5 2 5 2 2" xfId="31274" xr:uid="{00000000-0005-0000-0000-0000D2680000}"/>
    <cellStyle name="Total 10 5 2 5 3" xfId="18560" xr:uid="{00000000-0005-0000-0000-0000D3680000}"/>
    <cellStyle name="Total 10 5 2 6" xfId="12512" xr:uid="{00000000-0005-0000-0000-0000D4680000}"/>
    <cellStyle name="Total 10 5 2 6 2" xfId="27344" xr:uid="{00000000-0005-0000-0000-0000D5680000}"/>
    <cellStyle name="Total 10 5 2 7" xfId="10094" xr:uid="{00000000-0005-0000-0000-0000D6680000}"/>
    <cellStyle name="Total 10 5 2 7 2" xfId="24926" xr:uid="{00000000-0005-0000-0000-0000D7680000}"/>
    <cellStyle name="Total 10 5 3" xfId="3900" xr:uid="{00000000-0005-0000-0000-0000D8680000}"/>
    <cellStyle name="Total 10 5 3 2" xfId="7951" xr:uid="{00000000-0005-0000-0000-0000D9680000}"/>
    <cellStyle name="Total 10 5 3 2 2" xfId="17419" xr:uid="{00000000-0005-0000-0000-0000DA680000}"/>
    <cellStyle name="Total 10 5 3 2 2 2" xfId="32251" xr:uid="{00000000-0005-0000-0000-0000DB680000}"/>
    <cellStyle name="Total 10 5 3 2 3" xfId="19192" xr:uid="{00000000-0005-0000-0000-0000DC680000}"/>
    <cellStyle name="Total 10 5 3 3" xfId="14233" xr:uid="{00000000-0005-0000-0000-0000DD680000}"/>
    <cellStyle name="Total 10 5 3 3 2" xfId="29065" xr:uid="{00000000-0005-0000-0000-0000DE680000}"/>
    <cellStyle name="Total 10 5 3 4" xfId="11035" xr:uid="{00000000-0005-0000-0000-0000DF680000}"/>
    <cellStyle name="Total 10 5 3 4 2" xfId="25867" xr:uid="{00000000-0005-0000-0000-0000E0680000}"/>
    <cellStyle name="Total 10 5 4" xfId="4685" xr:uid="{00000000-0005-0000-0000-0000E1680000}"/>
    <cellStyle name="Total 10 5 4 2" xfId="8724" xr:uid="{00000000-0005-0000-0000-0000E2680000}"/>
    <cellStyle name="Total 10 5 4 2 2" xfId="17832" xr:uid="{00000000-0005-0000-0000-0000E3680000}"/>
    <cellStyle name="Total 10 5 4 2 2 2" xfId="32664" xr:uid="{00000000-0005-0000-0000-0000E4680000}"/>
    <cellStyle name="Total 10 5 4 2 3" xfId="19465" xr:uid="{00000000-0005-0000-0000-0000E5680000}"/>
    <cellStyle name="Total 10 5 4 3" xfId="15010" xr:uid="{00000000-0005-0000-0000-0000E6680000}"/>
    <cellStyle name="Total 10 5 4 3 2" xfId="29842" xr:uid="{00000000-0005-0000-0000-0000E7680000}"/>
    <cellStyle name="Total 10 5 4 4" xfId="11436" xr:uid="{00000000-0005-0000-0000-0000E8680000}"/>
    <cellStyle name="Total 10 5 4 4 2" xfId="26268" xr:uid="{00000000-0005-0000-0000-0000E9680000}"/>
    <cellStyle name="Total 10 5 5" xfId="2675" xr:uid="{00000000-0005-0000-0000-0000EA680000}"/>
    <cellStyle name="Total 10 5 5 2" xfId="6771" xr:uid="{00000000-0005-0000-0000-0000EB680000}"/>
    <cellStyle name="Total 10 5 5 2 2" xfId="16727" xr:uid="{00000000-0005-0000-0000-0000EC680000}"/>
    <cellStyle name="Total 10 5 5 2 2 2" xfId="31559" xr:uid="{00000000-0005-0000-0000-0000ED680000}"/>
    <cellStyle name="Total 10 5 5 2 3" xfId="18755" xr:uid="{00000000-0005-0000-0000-0000EE680000}"/>
    <cellStyle name="Total 10 5 5 3" xfId="13013" xr:uid="{00000000-0005-0000-0000-0000EF680000}"/>
    <cellStyle name="Total 10 5 5 3 2" xfId="27845" xr:uid="{00000000-0005-0000-0000-0000F0680000}"/>
    <cellStyle name="Total 10 5 5 4" xfId="10379" xr:uid="{00000000-0005-0000-0000-0000F1680000}"/>
    <cellStyle name="Total 10 5 5 4 2" xfId="25211" xr:uid="{00000000-0005-0000-0000-0000F2680000}"/>
    <cellStyle name="Total 10 5 6" xfId="5787" xr:uid="{00000000-0005-0000-0000-0000F3680000}"/>
    <cellStyle name="Total 10 5 6 2" xfId="16021" xr:uid="{00000000-0005-0000-0000-0000F4680000}"/>
    <cellStyle name="Total 10 5 6 2 2" xfId="30853" xr:uid="{00000000-0005-0000-0000-0000F5680000}"/>
    <cellStyle name="Total 10 5 6 3" xfId="18396" xr:uid="{00000000-0005-0000-0000-0000F6680000}"/>
    <cellStyle name="Total 10 5 7" xfId="12041" xr:uid="{00000000-0005-0000-0000-0000F7680000}"/>
    <cellStyle name="Total 10 5 7 2" xfId="26873" xr:uid="{00000000-0005-0000-0000-0000F8680000}"/>
    <cellStyle name="Total 10 5 8" xfId="9701" xr:uid="{00000000-0005-0000-0000-0000F9680000}"/>
    <cellStyle name="Total 10 5 8 2" xfId="20001" xr:uid="{00000000-0005-0000-0000-0000FA680000}"/>
    <cellStyle name="Total 10 6" xfId="1791" xr:uid="{00000000-0005-0000-0000-0000FB680000}"/>
    <cellStyle name="Total 10 6 2" xfId="4126" xr:uid="{00000000-0005-0000-0000-0000FC680000}"/>
    <cellStyle name="Total 10 6 2 2" xfId="8170" xr:uid="{00000000-0005-0000-0000-0000FD680000}"/>
    <cellStyle name="Total 10 6 2 2 2" xfId="17532" xr:uid="{00000000-0005-0000-0000-0000FE680000}"/>
    <cellStyle name="Total 10 6 2 2 2 2" xfId="32364" xr:uid="{00000000-0005-0000-0000-0000FF680000}"/>
    <cellStyle name="Total 10 6 2 2 3" xfId="19276" xr:uid="{00000000-0005-0000-0000-000000690000}"/>
    <cellStyle name="Total 10 6 2 3" xfId="14458" xr:uid="{00000000-0005-0000-0000-000001690000}"/>
    <cellStyle name="Total 10 6 2 3 2" xfId="29290" xr:uid="{00000000-0005-0000-0000-000002690000}"/>
    <cellStyle name="Total 10 6 2 4" xfId="11150" xr:uid="{00000000-0005-0000-0000-000003690000}"/>
    <cellStyle name="Total 10 6 2 4 2" xfId="25982" xr:uid="{00000000-0005-0000-0000-000004690000}"/>
    <cellStyle name="Total 10 6 3" xfId="4769" xr:uid="{00000000-0005-0000-0000-000005690000}"/>
    <cellStyle name="Total 10 6 3 2" xfId="8808" xr:uid="{00000000-0005-0000-0000-000006690000}"/>
    <cellStyle name="Total 10 6 3 2 2" xfId="17880" xr:uid="{00000000-0005-0000-0000-000007690000}"/>
    <cellStyle name="Total 10 6 3 2 2 2" xfId="32712" xr:uid="{00000000-0005-0000-0000-000008690000}"/>
    <cellStyle name="Total 10 6 3 2 3" xfId="19497" xr:uid="{00000000-0005-0000-0000-000009690000}"/>
    <cellStyle name="Total 10 6 3 3" xfId="15093" xr:uid="{00000000-0005-0000-0000-00000A690000}"/>
    <cellStyle name="Total 10 6 3 3 2" xfId="29925" xr:uid="{00000000-0005-0000-0000-00000B690000}"/>
    <cellStyle name="Total 10 6 3 4" xfId="11483" xr:uid="{00000000-0005-0000-0000-00000C690000}"/>
    <cellStyle name="Total 10 6 3 4 2" xfId="26315" xr:uid="{00000000-0005-0000-0000-00000D690000}"/>
    <cellStyle name="Total 10 6 4" xfId="2759" xr:uid="{00000000-0005-0000-0000-00000E690000}"/>
    <cellStyle name="Total 10 6 4 2" xfId="6850" xr:uid="{00000000-0005-0000-0000-00000F690000}"/>
    <cellStyle name="Total 10 6 4 2 2" xfId="16774" xr:uid="{00000000-0005-0000-0000-000010690000}"/>
    <cellStyle name="Total 10 6 4 2 2 2" xfId="31606" xr:uid="{00000000-0005-0000-0000-000011690000}"/>
    <cellStyle name="Total 10 6 4 2 3" xfId="18788" xr:uid="{00000000-0005-0000-0000-000012690000}"/>
    <cellStyle name="Total 10 6 4 3" xfId="13097" xr:uid="{00000000-0005-0000-0000-000013690000}"/>
    <cellStyle name="Total 10 6 4 3 2" xfId="27929" xr:uid="{00000000-0005-0000-0000-000014690000}"/>
    <cellStyle name="Total 10 6 4 4" xfId="10427" xr:uid="{00000000-0005-0000-0000-000015690000}"/>
    <cellStyle name="Total 10 6 4 4 2" xfId="25259" xr:uid="{00000000-0005-0000-0000-000016690000}"/>
    <cellStyle name="Total 10 6 5" xfId="5923" xr:uid="{00000000-0005-0000-0000-000017690000}"/>
    <cellStyle name="Total 10 6 5 2" xfId="16115" xr:uid="{00000000-0005-0000-0000-000018690000}"/>
    <cellStyle name="Total 10 6 5 2 2" xfId="30947" xr:uid="{00000000-0005-0000-0000-000019690000}"/>
    <cellStyle name="Total 10 6 5 3" xfId="18430" xr:uid="{00000000-0005-0000-0000-00001A690000}"/>
    <cellStyle name="Total 10 6 6" xfId="12185" xr:uid="{00000000-0005-0000-0000-00001B690000}"/>
    <cellStyle name="Total 10 6 6 2" xfId="27017" xr:uid="{00000000-0005-0000-0000-00001C690000}"/>
    <cellStyle name="Total 10 6 7" xfId="9781" xr:uid="{00000000-0005-0000-0000-00001D690000}"/>
    <cellStyle name="Total 10 6 7 2" xfId="24738" xr:uid="{00000000-0005-0000-0000-00001E690000}"/>
    <cellStyle name="Total 10 7" xfId="2175" xr:uid="{00000000-0005-0000-0000-00001F690000}"/>
    <cellStyle name="Total 10 7 2" xfId="3807" xr:uid="{00000000-0005-0000-0000-000020690000}"/>
    <cellStyle name="Total 10 7 2 2" xfId="7862" xr:uid="{00000000-0005-0000-0000-000021690000}"/>
    <cellStyle name="Total 10 7 2 2 2" xfId="17375" xr:uid="{00000000-0005-0000-0000-000022690000}"/>
    <cellStyle name="Total 10 7 2 2 2 2" xfId="32207" xr:uid="{00000000-0005-0000-0000-000023690000}"/>
    <cellStyle name="Total 10 7 2 2 3" xfId="19160" xr:uid="{00000000-0005-0000-0000-000024690000}"/>
    <cellStyle name="Total 10 7 2 3" xfId="14142" xr:uid="{00000000-0005-0000-0000-000025690000}"/>
    <cellStyle name="Total 10 7 2 3 2" xfId="28974" xr:uid="{00000000-0005-0000-0000-000026690000}"/>
    <cellStyle name="Total 10 7 2 4" xfId="10992" xr:uid="{00000000-0005-0000-0000-000027690000}"/>
    <cellStyle name="Total 10 7 2 4 2" xfId="25824" xr:uid="{00000000-0005-0000-0000-000028690000}"/>
    <cellStyle name="Total 10 7 3" xfId="5143" xr:uid="{00000000-0005-0000-0000-000029690000}"/>
    <cellStyle name="Total 10 7 3 2" xfId="9182" xr:uid="{00000000-0005-0000-0000-00002A690000}"/>
    <cellStyle name="Total 10 7 3 2 2" xfId="18105" xr:uid="{00000000-0005-0000-0000-00002B690000}"/>
    <cellStyle name="Total 10 7 3 2 2 2" xfId="32937" xr:uid="{00000000-0005-0000-0000-00002C690000}"/>
    <cellStyle name="Total 10 7 3 2 3" xfId="19656" xr:uid="{00000000-0005-0000-0000-00002D690000}"/>
    <cellStyle name="Total 10 7 3 3" xfId="15461" xr:uid="{00000000-0005-0000-0000-00002E690000}"/>
    <cellStyle name="Total 10 7 3 3 2" xfId="30293" xr:uid="{00000000-0005-0000-0000-00002F690000}"/>
    <cellStyle name="Total 10 7 3 4" xfId="11702" xr:uid="{00000000-0005-0000-0000-000030690000}"/>
    <cellStyle name="Total 10 7 3 4 2" xfId="26534" xr:uid="{00000000-0005-0000-0000-000031690000}"/>
    <cellStyle name="Total 10 7 4" xfId="4173" xr:uid="{00000000-0005-0000-0000-000032690000}"/>
    <cellStyle name="Total 10 7 4 2" xfId="8214" xr:uid="{00000000-0005-0000-0000-000033690000}"/>
    <cellStyle name="Total 10 7 4 2 2" xfId="17561" xr:uid="{00000000-0005-0000-0000-000034690000}"/>
    <cellStyle name="Total 10 7 4 2 2 2" xfId="32393" xr:uid="{00000000-0005-0000-0000-000035690000}"/>
    <cellStyle name="Total 10 7 4 2 3" xfId="19299" xr:uid="{00000000-0005-0000-0000-000036690000}"/>
    <cellStyle name="Total 10 7 4 3" xfId="14505" xr:uid="{00000000-0005-0000-0000-000037690000}"/>
    <cellStyle name="Total 10 7 4 3 2" xfId="29337" xr:uid="{00000000-0005-0000-0000-000038690000}"/>
    <cellStyle name="Total 10 7 4 4" xfId="11181" xr:uid="{00000000-0005-0000-0000-000039690000}"/>
    <cellStyle name="Total 10 7 4 4 2" xfId="26013" xr:uid="{00000000-0005-0000-0000-00003A690000}"/>
    <cellStyle name="Total 10 7 5" xfId="6289" xr:uid="{00000000-0005-0000-0000-00003B690000}"/>
    <cellStyle name="Total 10 7 5 2" xfId="16473" xr:uid="{00000000-0005-0000-0000-00003C690000}"/>
    <cellStyle name="Total 10 7 5 2 2" xfId="31305" xr:uid="{00000000-0005-0000-0000-00003D690000}"/>
    <cellStyle name="Total 10 7 5 3" xfId="18592" xr:uid="{00000000-0005-0000-0000-00003E690000}"/>
    <cellStyle name="Total 10 7 6" xfId="12543" xr:uid="{00000000-0005-0000-0000-00003F690000}"/>
    <cellStyle name="Total 10 7 6 2" xfId="27375" xr:uid="{00000000-0005-0000-0000-000040690000}"/>
    <cellStyle name="Total 10 7 7" xfId="10125" xr:uid="{00000000-0005-0000-0000-000041690000}"/>
    <cellStyle name="Total 10 7 7 2" xfId="24957" xr:uid="{00000000-0005-0000-0000-000042690000}"/>
    <cellStyle name="Total 10 8" xfId="4036" xr:uid="{00000000-0005-0000-0000-000043690000}"/>
    <cellStyle name="Total 10 8 2" xfId="8083" xr:uid="{00000000-0005-0000-0000-000044690000}"/>
    <cellStyle name="Total 10 8 2 2" xfId="17487" xr:uid="{00000000-0005-0000-0000-000045690000}"/>
    <cellStyle name="Total 10 8 2 2 2" xfId="32319" xr:uid="{00000000-0005-0000-0000-000046690000}"/>
    <cellStyle name="Total 10 8 2 3" xfId="19243" xr:uid="{00000000-0005-0000-0000-000047690000}"/>
    <cellStyle name="Total 10 8 3" xfId="14368" xr:uid="{00000000-0005-0000-0000-000048690000}"/>
    <cellStyle name="Total 10 8 3 2" xfId="29200" xr:uid="{00000000-0005-0000-0000-000049690000}"/>
    <cellStyle name="Total 10 8 4" xfId="11103" xr:uid="{00000000-0005-0000-0000-00004A690000}"/>
    <cellStyle name="Total 10 8 4 2" xfId="25935" xr:uid="{00000000-0005-0000-0000-00004B690000}"/>
    <cellStyle name="Total 10 9" xfId="3258" xr:uid="{00000000-0005-0000-0000-00004C690000}"/>
    <cellStyle name="Total 10 9 2" xfId="7322" xr:uid="{00000000-0005-0000-0000-00004D690000}"/>
    <cellStyle name="Total 10 9 2 2" xfId="17072" xr:uid="{00000000-0005-0000-0000-00004E690000}"/>
    <cellStyle name="Total 10 9 2 2 2" xfId="31904" xr:uid="{00000000-0005-0000-0000-00004F690000}"/>
    <cellStyle name="Total 10 9 2 3" xfId="18975" xr:uid="{00000000-0005-0000-0000-000050690000}"/>
    <cellStyle name="Total 10 9 3" xfId="13595" xr:uid="{00000000-0005-0000-0000-000051690000}"/>
    <cellStyle name="Total 10 9 3 2" xfId="28427" xr:uid="{00000000-0005-0000-0000-000052690000}"/>
    <cellStyle name="Total 10 9 4" xfId="10702" xr:uid="{00000000-0005-0000-0000-000053690000}"/>
    <cellStyle name="Total 10 9 4 2" xfId="25534" xr:uid="{00000000-0005-0000-0000-000054690000}"/>
    <cellStyle name="Total 2" xfId="1267" xr:uid="{00000000-0005-0000-0000-000055690000}"/>
    <cellStyle name="Total 2 10" xfId="1538" xr:uid="{00000000-0005-0000-0000-000056690000}"/>
    <cellStyle name="Total 2 10 2" xfId="2035" xr:uid="{00000000-0005-0000-0000-000057690000}"/>
    <cellStyle name="Total 2 10 2 2" xfId="4332" xr:uid="{00000000-0005-0000-0000-000058690000}"/>
    <cellStyle name="Total 2 10 2 2 2" xfId="8371" xr:uid="{00000000-0005-0000-0000-000059690000}"/>
    <cellStyle name="Total 2 10 2 2 2 2" xfId="17649" xr:uid="{00000000-0005-0000-0000-00005A690000}"/>
    <cellStyle name="Total 2 10 2 2 2 2 2" xfId="32481" xr:uid="{00000000-0005-0000-0000-00005B690000}"/>
    <cellStyle name="Total 2 10 2 2 2 3" xfId="19348" xr:uid="{00000000-0005-0000-0000-00005C690000}"/>
    <cellStyle name="Total 2 10 2 2 3" xfId="14663" xr:uid="{00000000-0005-0000-0000-00005D690000}"/>
    <cellStyle name="Total 2 10 2 2 3 2" xfId="29495" xr:uid="{00000000-0005-0000-0000-00005E690000}"/>
    <cellStyle name="Total 2 10 2 2 4" xfId="11259" xr:uid="{00000000-0005-0000-0000-00005F690000}"/>
    <cellStyle name="Total 2 10 2 2 4 2" xfId="26091" xr:uid="{00000000-0005-0000-0000-000060690000}"/>
    <cellStyle name="Total 2 10 2 3" xfId="5003" xr:uid="{00000000-0005-0000-0000-000061690000}"/>
    <cellStyle name="Total 2 10 2 3 2" xfId="9042" xr:uid="{00000000-0005-0000-0000-000062690000}"/>
    <cellStyle name="Total 2 10 2 3 2 2" xfId="17980" xr:uid="{00000000-0005-0000-0000-000063690000}"/>
    <cellStyle name="Total 2 10 2 3 2 2 2" xfId="32812" xr:uid="{00000000-0005-0000-0000-000064690000}"/>
    <cellStyle name="Total 2 10 2 3 2 3" xfId="19562" xr:uid="{00000000-0005-0000-0000-000065690000}"/>
    <cellStyle name="Total 2 10 2 3 3" xfId="15325" xr:uid="{00000000-0005-0000-0000-000066690000}"/>
    <cellStyle name="Total 2 10 2 3 3 2" xfId="30157" xr:uid="{00000000-0005-0000-0000-000067690000}"/>
    <cellStyle name="Total 2 10 2 3 4" xfId="11581" xr:uid="{00000000-0005-0000-0000-000068690000}"/>
    <cellStyle name="Total 2 10 2 3 4 2" xfId="26413" xr:uid="{00000000-0005-0000-0000-000069690000}"/>
    <cellStyle name="Total 2 10 2 4" xfId="2993" xr:uid="{00000000-0005-0000-0000-00006A690000}"/>
    <cellStyle name="Total 2 10 2 4 2" xfId="7073" xr:uid="{00000000-0005-0000-0000-00006B690000}"/>
    <cellStyle name="Total 2 10 2 4 2 2" xfId="16872" xr:uid="{00000000-0005-0000-0000-00006C690000}"/>
    <cellStyle name="Total 2 10 2 4 2 2 2" xfId="31704" xr:uid="{00000000-0005-0000-0000-00006D690000}"/>
    <cellStyle name="Total 2 10 2 4 2 3" xfId="18854" xr:uid="{00000000-0005-0000-0000-00006E690000}"/>
    <cellStyle name="Total 2 10 2 4 3" xfId="13331" xr:uid="{00000000-0005-0000-0000-00006F690000}"/>
    <cellStyle name="Total 2 10 2 4 3 2" xfId="28163" xr:uid="{00000000-0005-0000-0000-000070690000}"/>
    <cellStyle name="Total 2 10 2 4 4" xfId="10527" xr:uid="{00000000-0005-0000-0000-000071690000}"/>
    <cellStyle name="Total 2 10 2 4 4 2" xfId="25359" xr:uid="{00000000-0005-0000-0000-000072690000}"/>
    <cellStyle name="Total 2 10 2 5" xfId="6165" xr:uid="{00000000-0005-0000-0000-000073690000}"/>
    <cellStyle name="Total 2 10 2 5 2" xfId="16352" xr:uid="{00000000-0005-0000-0000-000074690000}"/>
    <cellStyle name="Total 2 10 2 5 2 2" xfId="31184" xr:uid="{00000000-0005-0000-0000-000075690000}"/>
    <cellStyle name="Total 2 10 2 5 3" xfId="18495" xr:uid="{00000000-0005-0000-0000-000076690000}"/>
    <cellStyle name="Total 2 10 2 6" xfId="12422" xr:uid="{00000000-0005-0000-0000-000077690000}"/>
    <cellStyle name="Total 2 10 2 6 2" xfId="27254" xr:uid="{00000000-0005-0000-0000-000078690000}"/>
    <cellStyle name="Total 2 10 2 7" xfId="10004" xr:uid="{00000000-0005-0000-0000-000079690000}"/>
    <cellStyle name="Total 2 10 2 7 2" xfId="24836" xr:uid="{00000000-0005-0000-0000-00007A690000}"/>
    <cellStyle name="Total 2 10 3" xfId="4265" xr:uid="{00000000-0005-0000-0000-00007B690000}"/>
    <cellStyle name="Total 2 10 3 2" xfId="8304" xr:uid="{00000000-0005-0000-0000-00007C690000}"/>
    <cellStyle name="Total 2 10 3 2 2" xfId="17593" xr:uid="{00000000-0005-0000-0000-00007D690000}"/>
    <cellStyle name="Total 2 10 3 2 2 2" xfId="32425" xr:uid="{00000000-0005-0000-0000-00007E690000}"/>
    <cellStyle name="Total 2 10 3 2 3" xfId="19316" xr:uid="{00000000-0005-0000-0000-00007F690000}"/>
    <cellStyle name="Total 2 10 3 3" xfId="14597" xr:uid="{00000000-0005-0000-0000-000080690000}"/>
    <cellStyle name="Total 2 10 3 3 2" xfId="29429" xr:uid="{00000000-0005-0000-0000-000081690000}"/>
    <cellStyle name="Total 2 10 3 4" xfId="11215" xr:uid="{00000000-0005-0000-0000-000082690000}"/>
    <cellStyle name="Total 2 10 3 4 2" xfId="26047" xr:uid="{00000000-0005-0000-0000-000083690000}"/>
    <cellStyle name="Total 2 10 4" xfId="4583" xr:uid="{00000000-0005-0000-0000-000084690000}"/>
    <cellStyle name="Total 2 10 4 2" xfId="8622" xr:uid="{00000000-0005-0000-0000-000085690000}"/>
    <cellStyle name="Total 2 10 4 2 2" xfId="17740" xr:uid="{00000000-0005-0000-0000-000086690000}"/>
    <cellStyle name="Total 2 10 4 2 2 2" xfId="32572" xr:uid="{00000000-0005-0000-0000-000087690000}"/>
    <cellStyle name="Total 2 10 4 2 3" xfId="19402" xr:uid="{00000000-0005-0000-0000-000088690000}"/>
    <cellStyle name="Total 2 10 4 3" xfId="14910" xr:uid="{00000000-0005-0000-0000-000089690000}"/>
    <cellStyle name="Total 2 10 4 3 2" xfId="29742" xr:uid="{00000000-0005-0000-0000-00008A690000}"/>
    <cellStyle name="Total 2 10 4 4" xfId="11346" xr:uid="{00000000-0005-0000-0000-00008B690000}"/>
    <cellStyle name="Total 2 10 4 4 2" xfId="26178" xr:uid="{00000000-0005-0000-0000-00008C690000}"/>
    <cellStyle name="Total 2 10 5" xfId="2573" xr:uid="{00000000-0005-0000-0000-00008D690000}"/>
    <cellStyle name="Total 2 10 5 2" xfId="6679" xr:uid="{00000000-0005-0000-0000-00008E690000}"/>
    <cellStyle name="Total 2 10 5 2 2" xfId="16637" xr:uid="{00000000-0005-0000-0000-00008F690000}"/>
    <cellStyle name="Total 2 10 5 2 2 2" xfId="31469" xr:uid="{00000000-0005-0000-0000-000090690000}"/>
    <cellStyle name="Total 2 10 5 2 3" xfId="18690" xr:uid="{00000000-0005-0000-0000-000091690000}"/>
    <cellStyle name="Total 2 10 5 3" xfId="12911" xr:uid="{00000000-0005-0000-0000-000092690000}"/>
    <cellStyle name="Total 2 10 5 3 2" xfId="27743" xr:uid="{00000000-0005-0000-0000-000093690000}"/>
    <cellStyle name="Total 2 10 5 4" xfId="10287" xr:uid="{00000000-0005-0000-0000-000094690000}"/>
    <cellStyle name="Total 2 10 5 4 2" xfId="25119" xr:uid="{00000000-0005-0000-0000-000095690000}"/>
    <cellStyle name="Total 2 10 6" xfId="5696" xr:uid="{00000000-0005-0000-0000-000096690000}"/>
    <cellStyle name="Total 2 10 6 2" xfId="15931" xr:uid="{00000000-0005-0000-0000-000097690000}"/>
    <cellStyle name="Total 2 10 6 2 2" xfId="30763" xr:uid="{00000000-0005-0000-0000-000098690000}"/>
    <cellStyle name="Total 2 10 6 3" xfId="18332" xr:uid="{00000000-0005-0000-0000-000099690000}"/>
    <cellStyle name="Total 2 10 7" xfId="11951" xr:uid="{00000000-0005-0000-0000-00009A690000}"/>
    <cellStyle name="Total 2 10 7 2" xfId="26783" xr:uid="{00000000-0005-0000-0000-00009B690000}"/>
    <cellStyle name="Total 2 10 8" xfId="9609" xr:uid="{00000000-0005-0000-0000-00009C690000}"/>
    <cellStyle name="Total 2 10 8 2" xfId="19911" xr:uid="{00000000-0005-0000-0000-00009D690000}"/>
    <cellStyle name="Total 2 11" xfId="1591" xr:uid="{00000000-0005-0000-0000-00009E690000}"/>
    <cellStyle name="Total 2 11 2" xfId="2088" xr:uid="{00000000-0005-0000-0000-00009F690000}"/>
    <cellStyle name="Total 2 11 2 2" xfId="3745" xr:uid="{00000000-0005-0000-0000-0000A0690000}"/>
    <cellStyle name="Total 2 11 2 2 2" xfId="7801" xr:uid="{00000000-0005-0000-0000-0000A1690000}"/>
    <cellStyle name="Total 2 11 2 2 2 2" xfId="17345" xr:uid="{00000000-0005-0000-0000-0000A2690000}"/>
    <cellStyle name="Total 2 11 2 2 2 2 2" xfId="32177" xr:uid="{00000000-0005-0000-0000-0000A3690000}"/>
    <cellStyle name="Total 2 11 2 2 2 3" xfId="19139" xr:uid="{00000000-0005-0000-0000-0000A4690000}"/>
    <cellStyle name="Total 2 11 2 2 3" xfId="14080" xr:uid="{00000000-0005-0000-0000-0000A5690000}"/>
    <cellStyle name="Total 2 11 2 2 3 2" xfId="28912" xr:uid="{00000000-0005-0000-0000-0000A6690000}"/>
    <cellStyle name="Total 2 11 2 2 4" xfId="10961" xr:uid="{00000000-0005-0000-0000-0000A7690000}"/>
    <cellStyle name="Total 2 11 2 2 4 2" xfId="25793" xr:uid="{00000000-0005-0000-0000-0000A8690000}"/>
    <cellStyle name="Total 2 11 2 3" xfId="5056" xr:uid="{00000000-0005-0000-0000-0000A9690000}"/>
    <cellStyle name="Total 2 11 2 3 2" xfId="9095" xr:uid="{00000000-0005-0000-0000-0000AA690000}"/>
    <cellStyle name="Total 2 11 2 3 2 2" xfId="18028" xr:uid="{00000000-0005-0000-0000-0000AB690000}"/>
    <cellStyle name="Total 2 11 2 3 2 2 2" xfId="32860" xr:uid="{00000000-0005-0000-0000-0000AC690000}"/>
    <cellStyle name="Total 2 11 2 3 2 3" xfId="19594" xr:uid="{00000000-0005-0000-0000-0000AD690000}"/>
    <cellStyle name="Total 2 11 2 3 3" xfId="15377" xr:uid="{00000000-0005-0000-0000-0000AE690000}"/>
    <cellStyle name="Total 2 11 2 3 3 2" xfId="30209" xr:uid="{00000000-0005-0000-0000-0000AF690000}"/>
    <cellStyle name="Total 2 11 2 3 4" xfId="11628" xr:uid="{00000000-0005-0000-0000-0000B0690000}"/>
    <cellStyle name="Total 2 11 2 3 4 2" xfId="26460" xr:uid="{00000000-0005-0000-0000-0000B1690000}"/>
    <cellStyle name="Total 2 11 2 4" xfId="3046" xr:uid="{00000000-0005-0000-0000-0000B2690000}"/>
    <cellStyle name="Total 2 11 2 4 2" xfId="7121" xr:uid="{00000000-0005-0000-0000-0000B3690000}"/>
    <cellStyle name="Total 2 11 2 4 2 2" xfId="16919" xr:uid="{00000000-0005-0000-0000-0000B4690000}"/>
    <cellStyle name="Total 2 11 2 4 2 2 2" xfId="31751" xr:uid="{00000000-0005-0000-0000-0000B5690000}"/>
    <cellStyle name="Total 2 11 2 4 2 3" xfId="18887" xr:uid="{00000000-0005-0000-0000-0000B6690000}"/>
    <cellStyle name="Total 2 11 2 4 3" xfId="13384" xr:uid="{00000000-0005-0000-0000-0000B7690000}"/>
    <cellStyle name="Total 2 11 2 4 3 2" xfId="28216" xr:uid="{00000000-0005-0000-0000-0000B8690000}"/>
    <cellStyle name="Total 2 11 2 4 4" xfId="10575" xr:uid="{00000000-0005-0000-0000-0000B9690000}"/>
    <cellStyle name="Total 2 11 2 4 4 2" xfId="25407" xr:uid="{00000000-0005-0000-0000-0000BA690000}"/>
    <cellStyle name="Total 2 11 2 5" xfId="6213" xr:uid="{00000000-0005-0000-0000-0000BB690000}"/>
    <cellStyle name="Total 2 11 2 5 2" xfId="16399" xr:uid="{00000000-0005-0000-0000-0000BC690000}"/>
    <cellStyle name="Total 2 11 2 5 2 2" xfId="31231" xr:uid="{00000000-0005-0000-0000-0000BD690000}"/>
    <cellStyle name="Total 2 11 2 5 3" xfId="18528" xr:uid="{00000000-0005-0000-0000-0000BE690000}"/>
    <cellStyle name="Total 2 11 2 6" xfId="12469" xr:uid="{00000000-0005-0000-0000-0000BF690000}"/>
    <cellStyle name="Total 2 11 2 6 2" xfId="27301" xr:uid="{00000000-0005-0000-0000-0000C0690000}"/>
    <cellStyle name="Total 2 11 2 7" xfId="10051" xr:uid="{00000000-0005-0000-0000-0000C1690000}"/>
    <cellStyle name="Total 2 11 2 7 2" xfId="24883" xr:uid="{00000000-0005-0000-0000-0000C2690000}"/>
    <cellStyle name="Total 2 11 3" xfId="4326" xr:uid="{00000000-0005-0000-0000-0000C3690000}"/>
    <cellStyle name="Total 2 11 3 2" xfId="8365" xr:uid="{00000000-0005-0000-0000-0000C4690000}"/>
    <cellStyle name="Total 2 11 3 2 2" xfId="17643" xr:uid="{00000000-0005-0000-0000-0000C5690000}"/>
    <cellStyle name="Total 2 11 3 2 2 2" xfId="32475" xr:uid="{00000000-0005-0000-0000-0000C6690000}"/>
    <cellStyle name="Total 2 11 3 2 3" xfId="19344" xr:uid="{00000000-0005-0000-0000-0000C7690000}"/>
    <cellStyle name="Total 2 11 3 3" xfId="14657" xr:uid="{00000000-0005-0000-0000-0000C8690000}"/>
    <cellStyle name="Total 2 11 3 3 2" xfId="29489" xr:uid="{00000000-0005-0000-0000-0000C9690000}"/>
    <cellStyle name="Total 2 11 3 4" xfId="11253" xr:uid="{00000000-0005-0000-0000-0000CA690000}"/>
    <cellStyle name="Total 2 11 3 4 2" xfId="26085" xr:uid="{00000000-0005-0000-0000-0000CB690000}"/>
    <cellStyle name="Total 2 11 4" xfId="4636" xr:uid="{00000000-0005-0000-0000-0000CC690000}"/>
    <cellStyle name="Total 2 11 4 2" xfId="8675" xr:uid="{00000000-0005-0000-0000-0000CD690000}"/>
    <cellStyle name="Total 2 11 4 2 2" xfId="17788" xr:uid="{00000000-0005-0000-0000-0000CE690000}"/>
    <cellStyle name="Total 2 11 4 2 2 2" xfId="32620" xr:uid="{00000000-0005-0000-0000-0000CF690000}"/>
    <cellStyle name="Total 2 11 4 2 3" xfId="19434" xr:uid="{00000000-0005-0000-0000-0000D0690000}"/>
    <cellStyle name="Total 2 11 4 3" xfId="14962" xr:uid="{00000000-0005-0000-0000-0000D1690000}"/>
    <cellStyle name="Total 2 11 4 3 2" xfId="29794" xr:uid="{00000000-0005-0000-0000-0000D2690000}"/>
    <cellStyle name="Total 2 11 4 4" xfId="11393" xr:uid="{00000000-0005-0000-0000-0000D3690000}"/>
    <cellStyle name="Total 2 11 4 4 2" xfId="26225" xr:uid="{00000000-0005-0000-0000-0000D4690000}"/>
    <cellStyle name="Total 2 11 5" xfId="2626" xr:uid="{00000000-0005-0000-0000-0000D5690000}"/>
    <cellStyle name="Total 2 11 5 2" xfId="6727" xr:uid="{00000000-0005-0000-0000-0000D6690000}"/>
    <cellStyle name="Total 2 11 5 2 2" xfId="16684" xr:uid="{00000000-0005-0000-0000-0000D7690000}"/>
    <cellStyle name="Total 2 11 5 2 2 2" xfId="31516" xr:uid="{00000000-0005-0000-0000-0000D8690000}"/>
    <cellStyle name="Total 2 11 5 2 3" xfId="18723" xr:uid="{00000000-0005-0000-0000-0000D9690000}"/>
    <cellStyle name="Total 2 11 5 3" xfId="12964" xr:uid="{00000000-0005-0000-0000-0000DA690000}"/>
    <cellStyle name="Total 2 11 5 3 2" xfId="27796" xr:uid="{00000000-0005-0000-0000-0000DB690000}"/>
    <cellStyle name="Total 2 11 5 4" xfId="10335" xr:uid="{00000000-0005-0000-0000-0000DC690000}"/>
    <cellStyle name="Total 2 11 5 4 2" xfId="25167" xr:uid="{00000000-0005-0000-0000-0000DD690000}"/>
    <cellStyle name="Total 2 11 6" xfId="5743" xr:uid="{00000000-0005-0000-0000-0000DE690000}"/>
    <cellStyle name="Total 2 11 6 2" xfId="15978" xr:uid="{00000000-0005-0000-0000-0000DF690000}"/>
    <cellStyle name="Total 2 11 6 2 2" xfId="30810" xr:uid="{00000000-0005-0000-0000-0000E0690000}"/>
    <cellStyle name="Total 2 11 6 3" xfId="18364" xr:uid="{00000000-0005-0000-0000-0000E1690000}"/>
    <cellStyle name="Total 2 11 7" xfId="11998" xr:uid="{00000000-0005-0000-0000-0000E2690000}"/>
    <cellStyle name="Total 2 11 7 2" xfId="26830" xr:uid="{00000000-0005-0000-0000-0000E3690000}"/>
    <cellStyle name="Total 2 11 8" xfId="9657" xr:uid="{00000000-0005-0000-0000-0000E4690000}"/>
    <cellStyle name="Total 2 11 8 2" xfId="19958" xr:uid="{00000000-0005-0000-0000-0000E5690000}"/>
    <cellStyle name="Total 2 12" xfId="1641" xr:uid="{00000000-0005-0000-0000-0000E6690000}"/>
    <cellStyle name="Total 2 12 2" xfId="2138" xr:uid="{00000000-0005-0000-0000-0000E7690000}"/>
    <cellStyle name="Total 2 12 2 2" xfId="4137" xr:uid="{00000000-0005-0000-0000-0000E8690000}"/>
    <cellStyle name="Total 2 12 2 2 2" xfId="8181" xr:uid="{00000000-0005-0000-0000-0000E9690000}"/>
    <cellStyle name="Total 2 12 2 2 2 2" xfId="17538" xr:uid="{00000000-0005-0000-0000-0000EA690000}"/>
    <cellStyle name="Total 2 12 2 2 2 2 2" xfId="32370" xr:uid="{00000000-0005-0000-0000-0000EB690000}"/>
    <cellStyle name="Total 2 12 2 2 2 3" xfId="19280" xr:uid="{00000000-0005-0000-0000-0000EC690000}"/>
    <cellStyle name="Total 2 12 2 2 3" xfId="14469" xr:uid="{00000000-0005-0000-0000-0000ED690000}"/>
    <cellStyle name="Total 2 12 2 2 3 2" xfId="29301" xr:uid="{00000000-0005-0000-0000-0000EE690000}"/>
    <cellStyle name="Total 2 12 2 2 4" xfId="11156" xr:uid="{00000000-0005-0000-0000-0000EF690000}"/>
    <cellStyle name="Total 2 12 2 2 4 2" xfId="25988" xr:uid="{00000000-0005-0000-0000-0000F0690000}"/>
    <cellStyle name="Total 2 12 2 3" xfId="5106" xr:uid="{00000000-0005-0000-0000-0000F1690000}"/>
    <cellStyle name="Total 2 12 2 3 2" xfId="9145" xr:uid="{00000000-0005-0000-0000-0000F2690000}"/>
    <cellStyle name="Total 2 12 2 3 2 2" xfId="18073" xr:uid="{00000000-0005-0000-0000-0000F3690000}"/>
    <cellStyle name="Total 2 12 2 3 2 2 2" xfId="32905" xr:uid="{00000000-0005-0000-0000-0000F4690000}"/>
    <cellStyle name="Total 2 12 2 3 2 3" xfId="19626" xr:uid="{00000000-0005-0000-0000-0000F5690000}"/>
    <cellStyle name="Total 2 12 2 3 3" xfId="15426" xr:uid="{00000000-0005-0000-0000-0000F6690000}"/>
    <cellStyle name="Total 2 12 2 3 3 2" xfId="30258" xr:uid="{00000000-0005-0000-0000-0000F7690000}"/>
    <cellStyle name="Total 2 12 2 3 4" xfId="11672" xr:uid="{00000000-0005-0000-0000-0000F8690000}"/>
    <cellStyle name="Total 2 12 2 3 4 2" xfId="26504" xr:uid="{00000000-0005-0000-0000-0000F9690000}"/>
    <cellStyle name="Total 2 12 2 4" xfId="3096" xr:uid="{00000000-0005-0000-0000-0000FA690000}"/>
    <cellStyle name="Total 2 12 2 4 2" xfId="7166" xr:uid="{00000000-0005-0000-0000-0000FB690000}"/>
    <cellStyle name="Total 2 12 2 4 2 2" xfId="16963" xr:uid="{00000000-0005-0000-0000-0000FC690000}"/>
    <cellStyle name="Total 2 12 2 4 2 2 2" xfId="31795" xr:uid="{00000000-0005-0000-0000-0000FD690000}"/>
    <cellStyle name="Total 2 12 2 4 2 3" xfId="18920" xr:uid="{00000000-0005-0000-0000-0000FE690000}"/>
    <cellStyle name="Total 2 12 2 4 3" xfId="13434" xr:uid="{00000000-0005-0000-0000-0000FF690000}"/>
    <cellStyle name="Total 2 12 2 4 3 2" xfId="28266" xr:uid="{00000000-0005-0000-0000-0000006A0000}"/>
    <cellStyle name="Total 2 12 2 4 4" xfId="10620" xr:uid="{00000000-0005-0000-0000-0000016A0000}"/>
    <cellStyle name="Total 2 12 2 4 4 2" xfId="25452" xr:uid="{00000000-0005-0000-0000-0000026A0000}"/>
    <cellStyle name="Total 2 12 2 5" xfId="6258" xr:uid="{00000000-0005-0000-0000-0000036A0000}"/>
    <cellStyle name="Total 2 12 2 5 2" xfId="16443" xr:uid="{00000000-0005-0000-0000-0000046A0000}"/>
    <cellStyle name="Total 2 12 2 5 2 2" xfId="31275" xr:uid="{00000000-0005-0000-0000-0000056A0000}"/>
    <cellStyle name="Total 2 12 2 5 3" xfId="18561" xr:uid="{00000000-0005-0000-0000-0000066A0000}"/>
    <cellStyle name="Total 2 12 2 6" xfId="12513" xr:uid="{00000000-0005-0000-0000-0000076A0000}"/>
    <cellStyle name="Total 2 12 2 6 2" xfId="27345" xr:uid="{00000000-0005-0000-0000-0000086A0000}"/>
    <cellStyle name="Total 2 12 2 7" xfId="10095" xr:uid="{00000000-0005-0000-0000-0000096A0000}"/>
    <cellStyle name="Total 2 12 2 7 2" xfId="24927" xr:uid="{00000000-0005-0000-0000-00000A6A0000}"/>
    <cellStyle name="Total 2 12 3" xfId="3477" xr:uid="{00000000-0005-0000-0000-00000B6A0000}"/>
    <cellStyle name="Total 2 12 3 2" xfId="7539" xr:uid="{00000000-0005-0000-0000-00000C6A0000}"/>
    <cellStyle name="Total 2 12 3 2 2" xfId="17207" xr:uid="{00000000-0005-0000-0000-00000D6A0000}"/>
    <cellStyle name="Total 2 12 3 2 2 2" xfId="32039" xr:uid="{00000000-0005-0000-0000-00000E6A0000}"/>
    <cellStyle name="Total 2 12 3 2 3" xfId="19045" xr:uid="{00000000-0005-0000-0000-00000F6A0000}"/>
    <cellStyle name="Total 2 12 3 3" xfId="13814" xr:uid="{00000000-0005-0000-0000-0000106A0000}"/>
    <cellStyle name="Total 2 12 3 3 2" xfId="28646" xr:uid="{00000000-0005-0000-0000-0000116A0000}"/>
    <cellStyle name="Total 2 12 3 4" xfId="10825" xr:uid="{00000000-0005-0000-0000-0000126A0000}"/>
    <cellStyle name="Total 2 12 3 4 2" xfId="25657" xr:uid="{00000000-0005-0000-0000-0000136A0000}"/>
    <cellStyle name="Total 2 12 4" xfId="4686" xr:uid="{00000000-0005-0000-0000-0000146A0000}"/>
    <cellStyle name="Total 2 12 4 2" xfId="8725" xr:uid="{00000000-0005-0000-0000-0000156A0000}"/>
    <cellStyle name="Total 2 12 4 2 2" xfId="17833" xr:uid="{00000000-0005-0000-0000-0000166A0000}"/>
    <cellStyle name="Total 2 12 4 2 2 2" xfId="32665" xr:uid="{00000000-0005-0000-0000-0000176A0000}"/>
    <cellStyle name="Total 2 12 4 2 3" xfId="19466" xr:uid="{00000000-0005-0000-0000-0000186A0000}"/>
    <cellStyle name="Total 2 12 4 3" xfId="15011" xr:uid="{00000000-0005-0000-0000-0000196A0000}"/>
    <cellStyle name="Total 2 12 4 3 2" xfId="29843" xr:uid="{00000000-0005-0000-0000-00001A6A0000}"/>
    <cellStyle name="Total 2 12 4 4" xfId="11437" xr:uid="{00000000-0005-0000-0000-00001B6A0000}"/>
    <cellStyle name="Total 2 12 4 4 2" xfId="26269" xr:uid="{00000000-0005-0000-0000-00001C6A0000}"/>
    <cellStyle name="Total 2 12 5" xfId="2676" xr:uid="{00000000-0005-0000-0000-00001D6A0000}"/>
    <cellStyle name="Total 2 12 5 2" xfId="6772" xr:uid="{00000000-0005-0000-0000-00001E6A0000}"/>
    <cellStyle name="Total 2 12 5 2 2" xfId="16728" xr:uid="{00000000-0005-0000-0000-00001F6A0000}"/>
    <cellStyle name="Total 2 12 5 2 2 2" xfId="31560" xr:uid="{00000000-0005-0000-0000-0000206A0000}"/>
    <cellStyle name="Total 2 12 5 2 3" xfId="18756" xr:uid="{00000000-0005-0000-0000-0000216A0000}"/>
    <cellStyle name="Total 2 12 5 3" xfId="13014" xr:uid="{00000000-0005-0000-0000-0000226A0000}"/>
    <cellStyle name="Total 2 12 5 3 2" xfId="27846" xr:uid="{00000000-0005-0000-0000-0000236A0000}"/>
    <cellStyle name="Total 2 12 5 4" xfId="10380" xr:uid="{00000000-0005-0000-0000-0000246A0000}"/>
    <cellStyle name="Total 2 12 5 4 2" xfId="25212" xr:uid="{00000000-0005-0000-0000-0000256A0000}"/>
    <cellStyle name="Total 2 12 6" xfId="5788" xr:uid="{00000000-0005-0000-0000-0000266A0000}"/>
    <cellStyle name="Total 2 12 6 2" xfId="16022" xr:uid="{00000000-0005-0000-0000-0000276A0000}"/>
    <cellStyle name="Total 2 12 6 2 2" xfId="30854" xr:uid="{00000000-0005-0000-0000-0000286A0000}"/>
    <cellStyle name="Total 2 12 6 3" xfId="18397" xr:uid="{00000000-0005-0000-0000-0000296A0000}"/>
    <cellStyle name="Total 2 12 7" xfId="12042" xr:uid="{00000000-0005-0000-0000-00002A6A0000}"/>
    <cellStyle name="Total 2 12 7 2" xfId="26874" xr:uid="{00000000-0005-0000-0000-00002B6A0000}"/>
    <cellStyle name="Total 2 12 8" xfId="9702" xr:uid="{00000000-0005-0000-0000-00002C6A0000}"/>
    <cellStyle name="Total 2 12 8 2" xfId="20002" xr:uid="{00000000-0005-0000-0000-00002D6A0000}"/>
    <cellStyle name="Total 2 13" xfId="1792" xr:uid="{00000000-0005-0000-0000-00002E6A0000}"/>
    <cellStyle name="Total 2 13 2" xfId="4019" xr:uid="{00000000-0005-0000-0000-00002F6A0000}"/>
    <cellStyle name="Total 2 13 2 2" xfId="8066" xr:uid="{00000000-0005-0000-0000-0000306A0000}"/>
    <cellStyle name="Total 2 13 2 2 2" xfId="17478" xr:uid="{00000000-0005-0000-0000-0000316A0000}"/>
    <cellStyle name="Total 2 13 2 2 2 2" xfId="32310" xr:uid="{00000000-0005-0000-0000-0000326A0000}"/>
    <cellStyle name="Total 2 13 2 2 3" xfId="19236" xr:uid="{00000000-0005-0000-0000-0000336A0000}"/>
    <cellStyle name="Total 2 13 2 3" xfId="14351" xr:uid="{00000000-0005-0000-0000-0000346A0000}"/>
    <cellStyle name="Total 2 13 2 3 2" xfId="29183" xr:uid="{00000000-0005-0000-0000-0000356A0000}"/>
    <cellStyle name="Total 2 13 2 4" xfId="11094" xr:uid="{00000000-0005-0000-0000-0000366A0000}"/>
    <cellStyle name="Total 2 13 2 4 2" xfId="25926" xr:uid="{00000000-0005-0000-0000-0000376A0000}"/>
    <cellStyle name="Total 2 13 3" xfId="4770" xr:uid="{00000000-0005-0000-0000-0000386A0000}"/>
    <cellStyle name="Total 2 13 3 2" xfId="8809" xr:uid="{00000000-0005-0000-0000-0000396A0000}"/>
    <cellStyle name="Total 2 13 3 2 2" xfId="17881" xr:uid="{00000000-0005-0000-0000-00003A6A0000}"/>
    <cellStyle name="Total 2 13 3 2 2 2" xfId="32713" xr:uid="{00000000-0005-0000-0000-00003B6A0000}"/>
    <cellStyle name="Total 2 13 3 2 3" xfId="19498" xr:uid="{00000000-0005-0000-0000-00003C6A0000}"/>
    <cellStyle name="Total 2 13 3 3" xfId="15094" xr:uid="{00000000-0005-0000-0000-00003D6A0000}"/>
    <cellStyle name="Total 2 13 3 3 2" xfId="29926" xr:uid="{00000000-0005-0000-0000-00003E6A0000}"/>
    <cellStyle name="Total 2 13 3 4" xfId="11484" xr:uid="{00000000-0005-0000-0000-00003F6A0000}"/>
    <cellStyle name="Total 2 13 3 4 2" xfId="26316" xr:uid="{00000000-0005-0000-0000-0000406A0000}"/>
    <cellStyle name="Total 2 13 4" xfId="2760" xr:uid="{00000000-0005-0000-0000-0000416A0000}"/>
    <cellStyle name="Total 2 13 4 2" xfId="6851" xr:uid="{00000000-0005-0000-0000-0000426A0000}"/>
    <cellStyle name="Total 2 13 4 2 2" xfId="16775" xr:uid="{00000000-0005-0000-0000-0000436A0000}"/>
    <cellStyle name="Total 2 13 4 2 2 2" xfId="31607" xr:uid="{00000000-0005-0000-0000-0000446A0000}"/>
    <cellStyle name="Total 2 13 4 2 3" xfId="18789" xr:uid="{00000000-0005-0000-0000-0000456A0000}"/>
    <cellStyle name="Total 2 13 4 3" xfId="13098" xr:uid="{00000000-0005-0000-0000-0000466A0000}"/>
    <cellStyle name="Total 2 13 4 3 2" xfId="27930" xr:uid="{00000000-0005-0000-0000-0000476A0000}"/>
    <cellStyle name="Total 2 13 4 4" xfId="10428" xr:uid="{00000000-0005-0000-0000-0000486A0000}"/>
    <cellStyle name="Total 2 13 4 4 2" xfId="25260" xr:uid="{00000000-0005-0000-0000-0000496A0000}"/>
    <cellStyle name="Total 2 13 5" xfId="5924" xr:uid="{00000000-0005-0000-0000-00004A6A0000}"/>
    <cellStyle name="Total 2 13 5 2" xfId="16116" xr:uid="{00000000-0005-0000-0000-00004B6A0000}"/>
    <cellStyle name="Total 2 13 5 2 2" xfId="30948" xr:uid="{00000000-0005-0000-0000-00004C6A0000}"/>
    <cellStyle name="Total 2 13 5 3" xfId="18431" xr:uid="{00000000-0005-0000-0000-00004D6A0000}"/>
    <cellStyle name="Total 2 13 6" xfId="12186" xr:uid="{00000000-0005-0000-0000-00004E6A0000}"/>
    <cellStyle name="Total 2 13 6 2" xfId="27018" xr:uid="{00000000-0005-0000-0000-00004F6A0000}"/>
    <cellStyle name="Total 2 13 7" xfId="9782" xr:uid="{00000000-0005-0000-0000-0000506A0000}"/>
    <cellStyle name="Total 2 13 7 2" xfId="24739" xr:uid="{00000000-0005-0000-0000-0000516A0000}"/>
    <cellStyle name="Total 2 14" xfId="2174" xr:uid="{00000000-0005-0000-0000-0000526A0000}"/>
    <cellStyle name="Total 2 14 2" xfId="3931" xr:uid="{00000000-0005-0000-0000-0000536A0000}"/>
    <cellStyle name="Total 2 14 2 2" xfId="7981" xr:uid="{00000000-0005-0000-0000-0000546A0000}"/>
    <cellStyle name="Total 2 14 2 2 2" xfId="17436" xr:uid="{00000000-0005-0000-0000-0000556A0000}"/>
    <cellStyle name="Total 2 14 2 2 2 2" xfId="32268" xr:uid="{00000000-0005-0000-0000-0000566A0000}"/>
    <cellStyle name="Total 2 14 2 2 3" xfId="19205" xr:uid="{00000000-0005-0000-0000-0000576A0000}"/>
    <cellStyle name="Total 2 14 2 3" xfId="14264" xr:uid="{00000000-0005-0000-0000-0000586A0000}"/>
    <cellStyle name="Total 2 14 2 3 2" xfId="29096" xr:uid="{00000000-0005-0000-0000-0000596A0000}"/>
    <cellStyle name="Total 2 14 2 4" xfId="11051" xr:uid="{00000000-0005-0000-0000-00005A6A0000}"/>
    <cellStyle name="Total 2 14 2 4 2" xfId="25883" xr:uid="{00000000-0005-0000-0000-00005B6A0000}"/>
    <cellStyle name="Total 2 14 3" xfId="5142" xr:uid="{00000000-0005-0000-0000-00005C6A0000}"/>
    <cellStyle name="Total 2 14 3 2" xfId="9181" xr:uid="{00000000-0005-0000-0000-00005D6A0000}"/>
    <cellStyle name="Total 2 14 3 2 2" xfId="18104" xr:uid="{00000000-0005-0000-0000-00005E6A0000}"/>
    <cellStyle name="Total 2 14 3 2 2 2" xfId="32936" xr:uid="{00000000-0005-0000-0000-00005F6A0000}"/>
    <cellStyle name="Total 2 14 3 2 3" xfId="19655" xr:uid="{00000000-0005-0000-0000-0000606A0000}"/>
    <cellStyle name="Total 2 14 3 3" xfId="15460" xr:uid="{00000000-0005-0000-0000-0000616A0000}"/>
    <cellStyle name="Total 2 14 3 3 2" xfId="30292" xr:uid="{00000000-0005-0000-0000-0000626A0000}"/>
    <cellStyle name="Total 2 14 3 4" xfId="11701" xr:uid="{00000000-0005-0000-0000-0000636A0000}"/>
    <cellStyle name="Total 2 14 3 4 2" xfId="26533" xr:uid="{00000000-0005-0000-0000-0000646A0000}"/>
    <cellStyle name="Total 2 14 4" xfId="4172" xr:uid="{00000000-0005-0000-0000-0000656A0000}"/>
    <cellStyle name="Total 2 14 4 2" xfId="8213" xr:uid="{00000000-0005-0000-0000-0000666A0000}"/>
    <cellStyle name="Total 2 14 4 2 2" xfId="17560" xr:uid="{00000000-0005-0000-0000-0000676A0000}"/>
    <cellStyle name="Total 2 14 4 2 2 2" xfId="32392" xr:uid="{00000000-0005-0000-0000-0000686A0000}"/>
    <cellStyle name="Total 2 14 4 2 3" xfId="19298" xr:uid="{00000000-0005-0000-0000-0000696A0000}"/>
    <cellStyle name="Total 2 14 4 3" xfId="14504" xr:uid="{00000000-0005-0000-0000-00006A6A0000}"/>
    <cellStyle name="Total 2 14 4 3 2" xfId="29336" xr:uid="{00000000-0005-0000-0000-00006B6A0000}"/>
    <cellStyle name="Total 2 14 4 4" xfId="11180" xr:uid="{00000000-0005-0000-0000-00006C6A0000}"/>
    <cellStyle name="Total 2 14 4 4 2" xfId="26012" xr:uid="{00000000-0005-0000-0000-00006D6A0000}"/>
    <cellStyle name="Total 2 14 5" xfId="6288" xr:uid="{00000000-0005-0000-0000-00006E6A0000}"/>
    <cellStyle name="Total 2 14 5 2" xfId="16472" xr:uid="{00000000-0005-0000-0000-00006F6A0000}"/>
    <cellStyle name="Total 2 14 5 2 2" xfId="31304" xr:uid="{00000000-0005-0000-0000-0000706A0000}"/>
    <cellStyle name="Total 2 14 5 3" xfId="18591" xr:uid="{00000000-0005-0000-0000-0000716A0000}"/>
    <cellStyle name="Total 2 14 6" xfId="12542" xr:uid="{00000000-0005-0000-0000-0000726A0000}"/>
    <cellStyle name="Total 2 14 6 2" xfId="27374" xr:uid="{00000000-0005-0000-0000-0000736A0000}"/>
    <cellStyle name="Total 2 14 7" xfId="10124" xr:uid="{00000000-0005-0000-0000-0000746A0000}"/>
    <cellStyle name="Total 2 14 7 2" xfId="24956" xr:uid="{00000000-0005-0000-0000-0000756A0000}"/>
    <cellStyle name="Total 2 15" xfId="3567" xr:uid="{00000000-0005-0000-0000-0000766A0000}"/>
    <cellStyle name="Total 2 15 2" xfId="7629" xr:uid="{00000000-0005-0000-0000-0000776A0000}"/>
    <cellStyle name="Total 2 15 2 2" xfId="17261" xr:uid="{00000000-0005-0000-0000-0000786A0000}"/>
    <cellStyle name="Total 2 15 2 2 2" xfId="32093" xr:uid="{00000000-0005-0000-0000-0000796A0000}"/>
    <cellStyle name="Total 2 15 2 3" xfId="19084" xr:uid="{00000000-0005-0000-0000-00007A6A0000}"/>
    <cellStyle name="Total 2 15 3" xfId="13903" xr:uid="{00000000-0005-0000-0000-00007B6A0000}"/>
    <cellStyle name="Total 2 15 3 2" xfId="28735" xr:uid="{00000000-0005-0000-0000-00007C6A0000}"/>
    <cellStyle name="Total 2 15 4" xfId="10878" xr:uid="{00000000-0005-0000-0000-00007D6A0000}"/>
    <cellStyle name="Total 2 15 4 2" xfId="25710" xr:uid="{00000000-0005-0000-0000-00007E6A0000}"/>
    <cellStyle name="Total 2 16" xfId="3310" xr:uid="{00000000-0005-0000-0000-00007F6A0000}"/>
    <cellStyle name="Total 2 16 2" xfId="7374" xr:uid="{00000000-0005-0000-0000-0000806A0000}"/>
    <cellStyle name="Total 2 16 2 2" xfId="17109" xr:uid="{00000000-0005-0000-0000-0000816A0000}"/>
    <cellStyle name="Total 2 16 2 2 2" xfId="31941" xr:uid="{00000000-0005-0000-0000-0000826A0000}"/>
    <cellStyle name="Total 2 16 2 3" xfId="18992" xr:uid="{00000000-0005-0000-0000-0000836A0000}"/>
    <cellStyle name="Total 2 16 3" xfId="13647" xr:uid="{00000000-0005-0000-0000-0000846A0000}"/>
    <cellStyle name="Total 2 16 3 2" xfId="28479" xr:uid="{00000000-0005-0000-0000-0000856A0000}"/>
    <cellStyle name="Total 2 16 4" xfId="10732" xr:uid="{00000000-0005-0000-0000-0000866A0000}"/>
    <cellStyle name="Total 2 16 4 2" xfId="25564" xr:uid="{00000000-0005-0000-0000-0000876A0000}"/>
    <cellStyle name="Total 2 17" xfId="2334" xr:uid="{00000000-0005-0000-0000-0000886A0000}"/>
    <cellStyle name="Total 2 17 2" xfId="6446" xr:uid="{00000000-0005-0000-0000-0000896A0000}"/>
    <cellStyle name="Total 2 17 2 2" xfId="16538" xr:uid="{00000000-0005-0000-0000-00008A6A0000}"/>
    <cellStyle name="Total 2 17 2 2 2" xfId="31370" xr:uid="{00000000-0005-0000-0000-00008B6A0000}"/>
    <cellStyle name="Total 2 17 2 3" xfId="18626" xr:uid="{00000000-0005-0000-0000-00008C6A0000}"/>
    <cellStyle name="Total 2 17 3" xfId="12674" xr:uid="{00000000-0005-0000-0000-00008D6A0000}"/>
    <cellStyle name="Total 2 17 3 2" xfId="27506" xr:uid="{00000000-0005-0000-0000-00008E6A0000}"/>
    <cellStyle name="Total 2 17 4" xfId="10189" xr:uid="{00000000-0005-0000-0000-00008F6A0000}"/>
    <cellStyle name="Total 2 17 4 2" xfId="25021" xr:uid="{00000000-0005-0000-0000-0000906A0000}"/>
    <cellStyle name="Total 2 18" xfId="5296" xr:uid="{00000000-0005-0000-0000-0000916A0000}"/>
    <cellStyle name="Total 2 18 2" xfId="9304" xr:uid="{00000000-0005-0000-0000-0000926A0000}"/>
    <cellStyle name="Total 2 18 2 2" xfId="18171" xr:uid="{00000000-0005-0000-0000-0000936A0000}"/>
    <cellStyle name="Total 2 18 2 2 2" xfId="33003" xr:uid="{00000000-0005-0000-0000-0000946A0000}"/>
    <cellStyle name="Total 2 18 2 3" xfId="19690" xr:uid="{00000000-0005-0000-0000-0000956A0000}"/>
    <cellStyle name="Total 2 18 3" xfId="15612" xr:uid="{00000000-0005-0000-0000-0000966A0000}"/>
    <cellStyle name="Total 2 18 3 2" xfId="30444" xr:uid="{00000000-0005-0000-0000-0000976A0000}"/>
    <cellStyle name="Total 2 19" xfId="5454" xr:uid="{00000000-0005-0000-0000-0000986A0000}"/>
    <cellStyle name="Total 2 19 2" xfId="15690" xr:uid="{00000000-0005-0000-0000-0000996A0000}"/>
    <cellStyle name="Total 2 19 2 2" xfId="30522" xr:uid="{00000000-0005-0000-0000-00009A6A0000}"/>
    <cellStyle name="Total 2 19 3" xfId="18267" xr:uid="{00000000-0005-0000-0000-00009B6A0000}"/>
    <cellStyle name="Total 2 2" xfId="1268" xr:uid="{00000000-0005-0000-0000-00009C6A0000}"/>
    <cellStyle name="Total 2 2 10" xfId="2335" xr:uid="{00000000-0005-0000-0000-00009D6A0000}"/>
    <cellStyle name="Total 2 2 10 2" xfId="6447" xr:uid="{00000000-0005-0000-0000-00009E6A0000}"/>
    <cellStyle name="Total 2 2 10 2 2" xfId="16539" xr:uid="{00000000-0005-0000-0000-00009F6A0000}"/>
    <cellStyle name="Total 2 2 10 2 2 2" xfId="31371" xr:uid="{00000000-0005-0000-0000-0000A06A0000}"/>
    <cellStyle name="Total 2 2 10 2 3" xfId="18627" xr:uid="{00000000-0005-0000-0000-0000A16A0000}"/>
    <cellStyle name="Total 2 2 10 3" xfId="12675" xr:uid="{00000000-0005-0000-0000-0000A26A0000}"/>
    <cellStyle name="Total 2 2 10 3 2" xfId="27507" xr:uid="{00000000-0005-0000-0000-0000A36A0000}"/>
    <cellStyle name="Total 2 2 10 4" xfId="10190" xr:uid="{00000000-0005-0000-0000-0000A46A0000}"/>
    <cellStyle name="Total 2 2 10 4 2" xfId="25022" xr:uid="{00000000-0005-0000-0000-0000A56A0000}"/>
    <cellStyle name="Total 2 2 11" xfId="5297" xr:uid="{00000000-0005-0000-0000-0000A66A0000}"/>
    <cellStyle name="Total 2 2 11 2" xfId="9305" xr:uid="{00000000-0005-0000-0000-0000A76A0000}"/>
    <cellStyle name="Total 2 2 11 2 2" xfId="18172" xr:uid="{00000000-0005-0000-0000-0000A86A0000}"/>
    <cellStyle name="Total 2 2 11 2 2 2" xfId="33004" xr:uid="{00000000-0005-0000-0000-0000A96A0000}"/>
    <cellStyle name="Total 2 2 11 2 3" xfId="19691" xr:uid="{00000000-0005-0000-0000-0000AA6A0000}"/>
    <cellStyle name="Total 2 2 11 3" xfId="15613" xr:uid="{00000000-0005-0000-0000-0000AB6A0000}"/>
    <cellStyle name="Total 2 2 11 3 2" xfId="30445" xr:uid="{00000000-0005-0000-0000-0000AC6A0000}"/>
    <cellStyle name="Total 2 2 12" xfId="5455" xr:uid="{00000000-0005-0000-0000-0000AD6A0000}"/>
    <cellStyle name="Total 2 2 12 2" xfId="15691" xr:uid="{00000000-0005-0000-0000-0000AE6A0000}"/>
    <cellStyle name="Total 2 2 12 2 2" xfId="30523" xr:uid="{00000000-0005-0000-0000-0000AF6A0000}"/>
    <cellStyle name="Total 2 2 12 3" xfId="18268" xr:uid="{00000000-0005-0000-0000-0000B06A0000}"/>
    <cellStyle name="Total 2 2 13" xfId="9336" xr:uid="{00000000-0005-0000-0000-0000B16A0000}"/>
    <cellStyle name="Total 2 2 13 2" xfId="24642" xr:uid="{00000000-0005-0000-0000-0000B26A0000}"/>
    <cellStyle name="Total 2 2 14" xfId="5325" xr:uid="{00000000-0005-0000-0000-0000B36A0000}"/>
    <cellStyle name="Total 2 2 14 2" xfId="18199" xr:uid="{00000000-0005-0000-0000-0000B46A0000}"/>
    <cellStyle name="Total 2 2 2" xfId="1367" xr:uid="{00000000-0005-0000-0000-0000B56A0000}"/>
    <cellStyle name="Total 2 2 2 2" xfId="1871" xr:uid="{00000000-0005-0000-0000-0000B66A0000}"/>
    <cellStyle name="Total 2 2 2 2 2" xfId="3518" xr:uid="{00000000-0005-0000-0000-0000B76A0000}"/>
    <cellStyle name="Total 2 2 2 2 2 2" xfId="7580" xr:uid="{00000000-0005-0000-0000-0000B86A0000}"/>
    <cellStyle name="Total 2 2 2 2 2 2 2" xfId="17233" xr:uid="{00000000-0005-0000-0000-0000B96A0000}"/>
    <cellStyle name="Total 2 2 2 2 2 2 2 2" xfId="32065" xr:uid="{00000000-0005-0000-0000-0000BA6A0000}"/>
    <cellStyle name="Total 2 2 2 2 2 2 3" xfId="19062" xr:uid="{00000000-0005-0000-0000-0000BB6A0000}"/>
    <cellStyle name="Total 2 2 2 2 2 3" xfId="13855" xr:uid="{00000000-0005-0000-0000-0000BC6A0000}"/>
    <cellStyle name="Total 2 2 2 2 2 3 2" xfId="28687" xr:uid="{00000000-0005-0000-0000-0000BD6A0000}"/>
    <cellStyle name="Total 2 2 2 2 2 4" xfId="10851" xr:uid="{00000000-0005-0000-0000-0000BE6A0000}"/>
    <cellStyle name="Total 2 2 2 2 2 4 2" xfId="25683" xr:uid="{00000000-0005-0000-0000-0000BF6A0000}"/>
    <cellStyle name="Total 2 2 2 2 3" xfId="4849" xr:uid="{00000000-0005-0000-0000-0000C06A0000}"/>
    <cellStyle name="Total 2 2 2 2 3 2" xfId="8888" xr:uid="{00000000-0005-0000-0000-0000C16A0000}"/>
    <cellStyle name="Total 2 2 2 2 3 2 2" xfId="17929" xr:uid="{00000000-0005-0000-0000-0000C26A0000}"/>
    <cellStyle name="Total 2 2 2 2 3 2 2 2" xfId="32761" xr:uid="{00000000-0005-0000-0000-0000C36A0000}"/>
    <cellStyle name="Total 2 2 2 2 3 2 3" xfId="19531" xr:uid="{00000000-0005-0000-0000-0000C46A0000}"/>
    <cellStyle name="Total 2 2 2 2 3 3" xfId="15173" xr:uid="{00000000-0005-0000-0000-0000C56A0000}"/>
    <cellStyle name="Total 2 2 2 2 3 3 2" xfId="30005" xr:uid="{00000000-0005-0000-0000-0000C66A0000}"/>
    <cellStyle name="Total 2 2 2 2 3 4" xfId="11532" xr:uid="{00000000-0005-0000-0000-0000C76A0000}"/>
    <cellStyle name="Total 2 2 2 2 3 4 2" xfId="26364" xr:uid="{00000000-0005-0000-0000-0000C86A0000}"/>
    <cellStyle name="Total 2 2 2 2 4" xfId="2839" xr:uid="{00000000-0005-0000-0000-0000C96A0000}"/>
    <cellStyle name="Total 2 2 2 2 4 2" xfId="6930" xr:uid="{00000000-0005-0000-0000-0000CA6A0000}"/>
    <cellStyle name="Total 2 2 2 2 4 2 2" xfId="16823" xr:uid="{00000000-0005-0000-0000-0000CB6A0000}"/>
    <cellStyle name="Total 2 2 2 2 4 2 2 2" xfId="31655" xr:uid="{00000000-0005-0000-0000-0000CC6A0000}"/>
    <cellStyle name="Total 2 2 2 2 4 2 3" xfId="18822" xr:uid="{00000000-0005-0000-0000-0000CD6A0000}"/>
    <cellStyle name="Total 2 2 2 2 4 3" xfId="13177" xr:uid="{00000000-0005-0000-0000-0000CE6A0000}"/>
    <cellStyle name="Total 2 2 2 2 4 3 2" xfId="28009" xr:uid="{00000000-0005-0000-0000-0000CF6A0000}"/>
    <cellStyle name="Total 2 2 2 2 4 4" xfId="10476" xr:uid="{00000000-0005-0000-0000-0000D06A0000}"/>
    <cellStyle name="Total 2 2 2 2 4 4 2" xfId="25308" xr:uid="{00000000-0005-0000-0000-0000D16A0000}"/>
    <cellStyle name="Total 2 2 2 2 5" xfId="6003" xr:uid="{00000000-0005-0000-0000-0000D26A0000}"/>
    <cellStyle name="Total 2 2 2 2 5 2" xfId="16195" xr:uid="{00000000-0005-0000-0000-0000D36A0000}"/>
    <cellStyle name="Total 2 2 2 2 5 2 2" xfId="31027" xr:uid="{00000000-0005-0000-0000-0000D46A0000}"/>
    <cellStyle name="Total 2 2 2 2 5 3" xfId="18464" xr:uid="{00000000-0005-0000-0000-0000D56A0000}"/>
    <cellStyle name="Total 2 2 2 2 6" xfId="12265" xr:uid="{00000000-0005-0000-0000-0000D66A0000}"/>
    <cellStyle name="Total 2 2 2 2 6 2" xfId="27097" xr:uid="{00000000-0005-0000-0000-0000D76A0000}"/>
    <cellStyle name="Total 2 2 2 2 7" xfId="9861" xr:uid="{00000000-0005-0000-0000-0000D86A0000}"/>
    <cellStyle name="Total 2 2 2 2 7 2" xfId="24787" xr:uid="{00000000-0005-0000-0000-0000D96A0000}"/>
    <cellStyle name="Total 2 2 2 3" xfId="3720" xr:uid="{00000000-0005-0000-0000-0000DA6A0000}"/>
    <cellStyle name="Total 2 2 2 3 2" xfId="7776" xr:uid="{00000000-0005-0000-0000-0000DB6A0000}"/>
    <cellStyle name="Total 2 2 2 3 2 2" xfId="17333" xr:uid="{00000000-0005-0000-0000-0000DC6A0000}"/>
    <cellStyle name="Total 2 2 2 3 2 2 2" xfId="32165" xr:uid="{00000000-0005-0000-0000-0000DD6A0000}"/>
    <cellStyle name="Total 2 2 2 3 2 3" xfId="19130" xr:uid="{00000000-0005-0000-0000-0000DE6A0000}"/>
    <cellStyle name="Total 2 2 2 3 3" xfId="14055" xr:uid="{00000000-0005-0000-0000-0000DF6A0000}"/>
    <cellStyle name="Total 2 2 2 3 3 2" xfId="28887" xr:uid="{00000000-0005-0000-0000-0000E06A0000}"/>
    <cellStyle name="Total 2 2 2 3 4" xfId="10949" xr:uid="{00000000-0005-0000-0000-0000E16A0000}"/>
    <cellStyle name="Total 2 2 2 3 4 2" xfId="25781" xr:uid="{00000000-0005-0000-0000-0000E26A0000}"/>
    <cellStyle name="Total 2 2 2 4" xfId="4429" xr:uid="{00000000-0005-0000-0000-0000E36A0000}"/>
    <cellStyle name="Total 2 2 2 4 2" xfId="8468" xr:uid="{00000000-0005-0000-0000-0000E46A0000}"/>
    <cellStyle name="Total 2 2 2 4 2 2" xfId="17689" xr:uid="{00000000-0005-0000-0000-0000E56A0000}"/>
    <cellStyle name="Total 2 2 2 4 2 2 2" xfId="32521" xr:uid="{00000000-0005-0000-0000-0000E66A0000}"/>
    <cellStyle name="Total 2 2 2 4 2 3" xfId="19371" xr:uid="{00000000-0005-0000-0000-0000E76A0000}"/>
    <cellStyle name="Total 2 2 2 4 3" xfId="14758" xr:uid="{00000000-0005-0000-0000-0000E86A0000}"/>
    <cellStyle name="Total 2 2 2 4 3 2" xfId="29590" xr:uid="{00000000-0005-0000-0000-0000E96A0000}"/>
    <cellStyle name="Total 2 2 2 4 4" xfId="11297" xr:uid="{00000000-0005-0000-0000-0000EA6A0000}"/>
    <cellStyle name="Total 2 2 2 4 4 2" xfId="26129" xr:uid="{00000000-0005-0000-0000-0000EB6A0000}"/>
    <cellStyle name="Total 2 2 2 5" xfId="2419" xr:uid="{00000000-0005-0000-0000-0000EC6A0000}"/>
    <cellStyle name="Total 2 2 2 5 2" xfId="6531" xr:uid="{00000000-0005-0000-0000-0000ED6A0000}"/>
    <cellStyle name="Total 2 2 2 5 2 2" xfId="16587" xr:uid="{00000000-0005-0000-0000-0000EE6A0000}"/>
    <cellStyle name="Total 2 2 2 5 2 2 2" xfId="31419" xr:uid="{00000000-0005-0000-0000-0000EF6A0000}"/>
    <cellStyle name="Total 2 2 2 5 2 3" xfId="18659" xr:uid="{00000000-0005-0000-0000-0000F06A0000}"/>
    <cellStyle name="Total 2 2 2 5 3" xfId="12758" xr:uid="{00000000-0005-0000-0000-0000F16A0000}"/>
    <cellStyle name="Total 2 2 2 5 3 2" xfId="27590" xr:uid="{00000000-0005-0000-0000-0000F26A0000}"/>
    <cellStyle name="Total 2 2 2 5 4" xfId="10237" xr:uid="{00000000-0005-0000-0000-0000F36A0000}"/>
    <cellStyle name="Total 2 2 2 5 4 2" xfId="25069" xr:uid="{00000000-0005-0000-0000-0000F46A0000}"/>
    <cellStyle name="Total 2 2 2 6" xfId="5544" xr:uid="{00000000-0005-0000-0000-0000F56A0000}"/>
    <cellStyle name="Total 2 2 2 6 2" xfId="15779" xr:uid="{00000000-0005-0000-0000-0000F66A0000}"/>
    <cellStyle name="Total 2 2 2 6 2 2" xfId="30611" xr:uid="{00000000-0005-0000-0000-0000F76A0000}"/>
    <cellStyle name="Total 2 2 2 6 3" xfId="18301" xr:uid="{00000000-0005-0000-0000-0000F86A0000}"/>
    <cellStyle name="Total 2 2 2 7" xfId="11794" xr:uid="{00000000-0005-0000-0000-0000F96A0000}"/>
    <cellStyle name="Total 2 2 2 7 2" xfId="26626" xr:uid="{00000000-0005-0000-0000-0000FA6A0000}"/>
    <cellStyle name="Total 2 2 2 8" xfId="9465" xr:uid="{00000000-0005-0000-0000-0000FB6A0000}"/>
    <cellStyle name="Total 2 2 2 8 2" xfId="19769" xr:uid="{00000000-0005-0000-0000-0000FC6A0000}"/>
    <cellStyle name="Total 2 2 3" xfId="1539" xr:uid="{00000000-0005-0000-0000-0000FD6A0000}"/>
    <cellStyle name="Total 2 2 3 2" xfId="2036" xr:uid="{00000000-0005-0000-0000-0000FE6A0000}"/>
    <cellStyle name="Total 2 2 3 2 2" xfId="3731" xr:uid="{00000000-0005-0000-0000-0000FF6A0000}"/>
    <cellStyle name="Total 2 2 3 2 2 2" xfId="7787" xr:uid="{00000000-0005-0000-0000-0000006B0000}"/>
    <cellStyle name="Total 2 2 3 2 2 2 2" xfId="17340" xr:uid="{00000000-0005-0000-0000-0000016B0000}"/>
    <cellStyle name="Total 2 2 3 2 2 2 2 2" xfId="32172" xr:uid="{00000000-0005-0000-0000-0000026B0000}"/>
    <cellStyle name="Total 2 2 3 2 2 2 3" xfId="19136" xr:uid="{00000000-0005-0000-0000-0000036B0000}"/>
    <cellStyle name="Total 2 2 3 2 2 3" xfId="14066" xr:uid="{00000000-0005-0000-0000-0000046B0000}"/>
    <cellStyle name="Total 2 2 3 2 2 3 2" xfId="28898" xr:uid="{00000000-0005-0000-0000-0000056B0000}"/>
    <cellStyle name="Total 2 2 3 2 2 4" xfId="10956" xr:uid="{00000000-0005-0000-0000-0000066B0000}"/>
    <cellStyle name="Total 2 2 3 2 2 4 2" xfId="25788" xr:uid="{00000000-0005-0000-0000-0000076B0000}"/>
    <cellStyle name="Total 2 2 3 2 3" xfId="5004" xr:uid="{00000000-0005-0000-0000-0000086B0000}"/>
    <cellStyle name="Total 2 2 3 2 3 2" xfId="9043" xr:uid="{00000000-0005-0000-0000-0000096B0000}"/>
    <cellStyle name="Total 2 2 3 2 3 2 2" xfId="17981" xr:uid="{00000000-0005-0000-0000-00000A6B0000}"/>
    <cellStyle name="Total 2 2 3 2 3 2 2 2" xfId="32813" xr:uid="{00000000-0005-0000-0000-00000B6B0000}"/>
    <cellStyle name="Total 2 2 3 2 3 2 3" xfId="19563" xr:uid="{00000000-0005-0000-0000-00000C6B0000}"/>
    <cellStyle name="Total 2 2 3 2 3 3" xfId="15326" xr:uid="{00000000-0005-0000-0000-00000D6B0000}"/>
    <cellStyle name="Total 2 2 3 2 3 3 2" xfId="30158" xr:uid="{00000000-0005-0000-0000-00000E6B0000}"/>
    <cellStyle name="Total 2 2 3 2 3 4" xfId="11582" xr:uid="{00000000-0005-0000-0000-00000F6B0000}"/>
    <cellStyle name="Total 2 2 3 2 3 4 2" xfId="26414" xr:uid="{00000000-0005-0000-0000-0000106B0000}"/>
    <cellStyle name="Total 2 2 3 2 4" xfId="2994" xr:uid="{00000000-0005-0000-0000-0000116B0000}"/>
    <cellStyle name="Total 2 2 3 2 4 2" xfId="7074" xr:uid="{00000000-0005-0000-0000-0000126B0000}"/>
    <cellStyle name="Total 2 2 3 2 4 2 2" xfId="16873" xr:uid="{00000000-0005-0000-0000-0000136B0000}"/>
    <cellStyle name="Total 2 2 3 2 4 2 2 2" xfId="31705" xr:uid="{00000000-0005-0000-0000-0000146B0000}"/>
    <cellStyle name="Total 2 2 3 2 4 2 3" xfId="18855" xr:uid="{00000000-0005-0000-0000-0000156B0000}"/>
    <cellStyle name="Total 2 2 3 2 4 3" xfId="13332" xr:uid="{00000000-0005-0000-0000-0000166B0000}"/>
    <cellStyle name="Total 2 2 3 2 4 3 2" xfId="28164" xr:uid="{00000000-0005-0000-0000-0000176B0000}"/>
    <cellStyle name="Total 2 2 3 2 4 4" xfId="10528" xr:uid="{00000000-0005-0000-0000-0000186B0000}"/>
    <cellStyle name="Total 2 2 3 2 4 4 2" xfId="25360" xr:uid="{00000000-0005-0000-0000-0000196B0000}"/>
    <cellStyle name="Total 2 2 3 2 5" xfId="6166" xr:uid="{00000000-0005-0000-0000-00001A6B0000}"/>
    <cellStyle name="Total 2 2 3 2 5 2" xfId="16353" xr:uid="{00000000-0005-0000-0000-00001B6B0000}"/>
    <cellStyle name="Total 2 2 3 2 5 2 2" xfId="31185" xr:uid="{00000000-0005-0000-0000-00001C6B0000}"/>
    <cellStyle name="Total 2 2 3 2 5 3" xfId="18496" xr:uid="{00000000-0005-0000-0000-00001D6B0000}"/>
    <cellStyle name="Total 2 2 3 2 6" xfId="12423" xr:uid="{00000000-0005-0000-0000-00001E6B0000}"/>
    <cellStyle name="Total 2 2 3 2 6 2" xfId="27255" xr:uid="{00000000-0005-0000-0000-00001F6B0000}"/>
    <cellStyle name="Total 2 2 3 2 7" xfId="10005" xr:uid="{00000000-0005-0000-0000-0000206B0000}"/>
    <cellStyle name="Total 2 2 3 2 7 2" xfId="24837" xr:uid="{00000000-0005-0000-0000-0000216B0000}"/>
    <cellStyle name="Total 2 2 3 3" xfId="3994" xr:uid="{00000000-0005-0000-0000-0000226B0000}"/>
    <cellStyle name="Total 2 2 3 3 2" xfId="8041" xr:uid="{00000000-0005-0000-0000-0000236B0000}"/>
    <cellStyle name="Total 2 2 3 3 2 2" xfId="17462" xr:uid="{00000000-0005-0000-0000-0000246B0000}"/>
    <cellStyle name="Total 2 2 3 3 2 2 2" xfId="32294" xr:uid="{00000000-0005-0000-0000-0000256B0000}"/>
    <cellStyle name="Total 2 2 3 3 2 3" xfId="19225" xr:uid="{00000000-0005-0000-0000-0000266B0000}"/>
    <cellStyle name="Total 2 2 3 3 3" xfId="14327" xr:uid="{00000000-0005-0000-0000-0000276B0000}"/>
    <cellStyle name="Total 2 2 3 3 3 2" xfId="29159" xr:uid="{00000000-0005-0000-0000-0000286B0000}"/>
    <cellStyle name="Total 2 2 3 3 4" xfId="11080" xr:uid="{00000000-0005-0000-0000-0000296B0000}"/>
    <cellStyle name="Total 2 2 3 3 4 2" xfId="25912" xr:uid="{00000000-0005-0000-0000-00002A6B0000}"/>
    <cellStyle name="Total 2 2 3 4" xfId="4584" xr:uid="{00000000-0005-0000-0000-00002B6B0000}"/>
    <cellStyle name="Total 2 2 3 4 2" xfId="8623" xr:uid="{00000000-0005-0000-0000-00002C6B0000}"/>
    <cellStyle name="Total 2 2 3 4 2 2" xfId="17741" xr:uid="{00000000-0005-0000-0000-00002D6B0000}"/>
    <cellStyle name="Total 2 2 3 4 2 2 2" xfId="32573" xr:uid="{00000000-0005-0000-0000-00002E6B0000}"/>
    <cellStyle name="Total 2 2 3 4 2 3" xfId="19403" xr:uid="{00000000-0005-0000-0000-00002F6B0000}"/>
    <cellStyle name="Total 2 2 3 4 3" xfId="14911" xr:uid="{00000000-0005-0000-0000-0000306B0000}"/>
    <cellStyle name="Total 2 2 3 4 3 2" xfId="29743" xr:uid="{00000000-0005-0000-0000-0000316B0000}"/>
    <cellStyle name="Total 2 2 3 4 4" xfId="11347" xr:uid="{00000000-0005-0000-0000-0000326B0000}"/>
    <cellStyle name="Total 2 2 3 4 4 2" xfId="26179" xr:uid="{00000000-0005-0000-0000-0000336B0000}"/>
    <cellStyle name="Total 2 2 3 5" xfId="2574" xr:uid="{00000000-0005-0000-0000-0000346B0000}"/>
    <cellStyle name="Total 2 2 3 5 2" xfId="6680" xr:uid="{00000000-0005-0000-0000-0000356B0000}"/>
    <cellStyle name="Total 2 2 3 5 2 2" xfId="16638" xr:uid="{00000000-0005-0000-0000-0000366B0000}"/>
    <cellStyle name="Total 2 2 3 5 2 2 2" xfId="31470" xr:uid="{00000000-0005-0000-0000-0000376B0000}"/>
    <cellStyle name="Total 2 2 3 5 2 3" xfId="18691" xr:uid="{00000000-0005-0000-0000-0000386B0000}"/>
    <cellStyle name="Total 2 2 3 5 3" xfId="12912" xr:uid="{00000000-0005-0000-0000-0000396B0000}"/>
    <cellStyle name="Total 2 2 3 5 3 2" xfId="27744" xr:uid="{00000000-0005-0000-0000-00003A6B0000}"/>
    <cellStyle name="Total 2 2 3 5 4" xfId="10288" xr:uid="{00000000-0005-0000-0000-00003B6B0000}"/>
    <cellStyle name="Total 2 2 3 5 4 2" xfId="25120" xr:uid="{00000000-0005-0000-0000-00003C6B0000}"/>
    <cellStyle name="Total 2 2 3 6" xfId="5697" xr:uid="{00000000-0005-0000-0000-00003D6B0000}"/>
    <cellStyle name="Total 2 2 3 6 2" xfId="15932" xr:uid="{00000000-0005-0000-0000-00003E6B0000}"/>
    <cellStyle name="Total 2 2 3 6 2 2" xfId="30764" xr:uid="{00000000-0005-0000-0000-00003F6B0000}"/>
    <cellStyle name="Total 2 2 3 6 3" xfId="18333" xr:uid="{00000000-0005-0000-0000-0000406B0000}"/>
    <cellStyle name="Total 2 2 3 7" xfId="11952" xr:uid="{00000000-0005-0000-0000-0000416B0000}"/>
    <cellStyle name="Total 2 2 3 7 2" xfId="26784" xr:uid="{00000000-0005-0000-0000-0000426B0000}"/>
    <cellStyle name="Total 2 2 3 8" xfId="9610" xr:uid="{00000000-0005-0000-0000-0000436B0000}"/>
    <cellStyle name="Total 2 2 3 8 2" xfId="19912" xr:uid="{00000000-0005-0000-0000-0000446B0000}"/>
    <cellStyle name="Total 2 2 4" xfId="1592" xr:uid="{00000000-0005-0000-0000-0000456B0000}"/>
    <cellStyle name="Total 2 2 4 2" xfId="2089" xr:uid="{00000000-0005-0000-0000-0000466B0000}"/>
    <cellStyle name="Total 2 2 4 2 2" xfId="3770" xr:uid="{00000000-0005-0000-0000-0000476B0000}"/>
    <cellStyle name="Total 2 2 4 2 2 2" xfId="7826" xr:uid="{00000000-0005-0000-0000-0000486B0000}"/>
    <cellStyle name="Total 2 2 4 2 2 2 2" xfId="17360" xr:uid="{00000000-0005-0000-0000-0000496B0000}"/>
    <cellStyle name="Total 2 2 4 2 2 2 2 2" xfId="32192" xr:uid="{00000000-0005-0000-0000-00004A6B0000}"/>
    <cellStyle name="Total 2 2 4 2 2 2 3" xfId="19153" xr:uid="{00000000-0005-0000-0000-00004B6B0000}"/>
    <cellStyle name="Total 2 2 4 2 2 3" xfId="14105" xr:uid="{00000000-0005-0000-0000-00004C6B0000}"/>
    <cellStyle name="Total 2 2 4 2 2 3 2" xfId="28937" xr:uid="{00000000-0005-0000-0000-00004D6B0000}"/>
    <cellStyle name="Total 2 2 4 2 2 4" xfId="10976" xr:uid="{00000000-0005-0000-0000-00004E6B0000}"/>
    <cellStyle name="Total 2 2 4 2 2 4 2" xfId="25808" xr:uid="{00000000-0005-0000-0000-00004F6B0000}"/>
    <cellStyle name="Total 2 2 4 2 3" xfId="5057" xr:uid="{00000000-0005-0000-0000-0000506B0000}"/>
    <cellStyle name="Total 2 2 4 2 3 2" xfId="9096" xr:uid="{00000000-0005-0000-0000-0000516B0000}"/>
    <cellStyle name="Total 2 2 4 2 3 2 2" xfId="18029" xr:uid="{00000000-0005-0000-0000-0000526B0000}"/>
    <cellStyle name="Total 2 2 4 2 3 2 2 2" xfId="32861" xr:uid="{00000000-0005-0000-0000-0000536B0000}"/>
    <cellStyle name="Total 2 2 4 2 3 2 3" xfId="19595" xr:uid="{00000000-0005-0000-0000-0000546B0000}"/>
    <cellStyle name="Total 2 2 4 2 3 3" xfId="15378" xr:uid="{00000000-0005-0000-0000-0000556B0000}"/>
    <cellStyle name="Total 2 2 4 2 3 3 2" xfId="30210" xr:uid="{00000000-0005-0000-0000-0000566B0000}"/>
    <cellStyle name="Total 2 2 4 2 3 4" xfId="11629" xr:uid="{00000000-0005-0000-0000-0000576B0000}"/>
    <cellStyle name="Total 2 2 4 2 3 4 2" xfId="26461" xr:uid="{00000000-0005-0000-0000-0000586B0000}"/>
    <cellStyle name="Total 2 2 4 2 4" xfId="3047" xr:uid="{00000000-0005-0000-0000-0000596B0000}"/>
    <cellStyle name="Total 2 2 4 2 4 2" xfId="7122" xr:uid="{00000000-0005-0000-0000-00005A6B0000}"/>
    <cellStyle name="Total 2 2 4 2 4 2 2" xfId="16920" xr:uid="{00000000-0005-0000-0000-00005B6B0000}"/>
    <cellStyle name="Total 2 2 4 2 4 2 2 2" xfId="31752" xr:uid="{00000000-0005-0000-0000-00005C6B0000}"/>
    <cellStyle name="Total 2 2 4 2 4 2 3" xfId="18888" xr:uid="{00000000-0005-0000-0000-00005D6B0000}"/>
    <cellStyle name="Total 2 2 4 2 4 3" xfId="13385" xr:uid="{00000000-0005-0000-0000-00005E6B0000}"/>
    <cellStyle name="Total 2 2 4 2 4 3 2" xfId="28217" xr:uid="{00000000-0005-0000-0000-00005F6B0000}"/>
    <cellStyle name="Total 2 2 4 2 4 4" xfId="10576" xr:uid="{00000000-0005-0000-0000-0000606B0000}"/>
    <cellStyle name="Total 2 2 4 2 4 4 2" xfId="25408" xr:uid="{00000000-0005-0000-0000-0000616B0000}"/>
    <cellStyle name="Total 2 2 4 2 5" xfId="6214" xr:uid="{00000000-0005-0000-0000-0000626B0000}"/>
    <cellStyle name="Total 2 2 4 2 5 2" xfId="16400" xr:uid="{00000000-0005-0000-0000-0000636B0000}"/>
    <cellStyle name="Total 2 2 4 2 5 2 2" xfId="31232" xr:uid="{00000000-0005-0000-0000-0000646B0000}"/>
    <cellStyle name="Total 2 2 4 2 5 3" xfId="18529" xr:uid="{00000000-0005-0000-0000-0000656B0000}"/>
    <cellStyle name="Total 2 2 4 2 6" xfId="12470" xr:uid="{00000000-0005-0000-0000-0000666B0000}"/>
    <cellStyle name="Total 2 2 4 2 6 2" xfId="27302" xr:uid="{00000000-0005-0000-0000-0000676B0000}"/>
    <cellStyle name="Total 2 2 4 2 7" xfId="10052" xr:uid="{00000000-0005-0000-0000-0000686B0000}"/>
    <cellStyle name="Total 2 2 4 2 7 2" xfId="24884" xr:uid="{00000000-0005-0000-0000-0000696B0000}"/>
    <cellStyle name="Total 2 2 4 3" xfId="4316" xr:uid="{00000000-0005-0000-0000-00006A6B0000}"/>
    <cellStyle name="Total 2 2 4 3 2" xfId="8355" xr:uid="{00000000-0005-0000-0000-00006B6B0000}"/>
    <cellStyle name="Total 2 2 4 3 2 2" xfId="17633" xr:uid="{00000000-0005-0000-0000-00006C6B0000}"/>
    <cellStyle name="Total 2 2 4 3 2 2 2" xfId="32465" xr:uid="{00000000-0005-0000-0000-00006D6B0000}"/>
    <cellStyle name="Total 2 2 4 3 2 3" xfId="19335" xr:uid="{00000000-0005-0000-0000-00006E6B0000}"/>
    <cellStyle name="Total 2 2 4 3 3" xfId="14647" xr:uid="{00000000-0005-0000-0000-00006F6B0000}"/>
    <cellStyle name="Total 2 2 4 3 3 2" xfId="29479" xr:uid="{00000000-0005-0000-0000-0000706B0000}"/>
    <cellStyle name="Total 2 2 4 3 4" xfId="11243" xr:uid="{00000000-0005-0000-0000-0000716B0000}"/>
    <cellStyle name="Total 2 2 4 3 4 2" xfId="26075" xr:uid="{00000000-0005-0000-0000-0000726B0000}"/>
    <cellStyle name="Total 2 2 4 4" xfId="4637" xr:uid="{00000000-0005-0000-0000-0000736B0000}"/>
    <cellStyle name="Total 2 2 4 4 2" xfId="8676" xr:uid="{00000000-0005-0000-0000-0000746B0000}"/>
    <cellStyle name="Total 2 2 4 4 2 2" xfId="17789" xr:uid="{00000000-0005-0000-0000-0000756B0000}"/>
    <cellStyle name="Total 2 2 4 4 2 2 2" xfId="32621" xr:uid="{00000000-0005-0000-0000-0000766B0000}"/>
    <cellStyle name="Total 2 2 4 4 2 3" xfId="19435" xr:uid="{00000000-0005-0000-0000-0000776B0000}"/>
    <cellStyle name="Total 2 2 4 4 3" xfId="14963" xr:uid="{00000000-0005-0000-0000-0000786B0000}"/>
    <cellStyle name="Total 2 2 4 4 3 2" xfId="29795" xr:uid="{00000000-0005-0000-0000-0000796B0000}"/>
    <cellStyle name="Total 2 2 4 4 4" xfId="11394" xr:uid="{00000000-0005-0000-0000-00007A6B0000}"/>
    <cellStyle name="Total 2 2 4 4 4 2" xfId="26226" xr:uid="{00000000-0005-0000-0000-00007B6B0000}"/>
    <cellStyle name="Total 2 2 4 5" xfId="2627" xr:uid="{00000000-0005-0000-0000-00007C6B0000}"/>
    <cellStyle name="Total 2 2 4 5 2" xfId="6728" xr:uid="{00000000-0005-0000-0000-00007D6B0000}"/>
    <cellStyle name="Total 2 2 4 5 2 2" xfId="16685" xr:uid="{00000000-0005-0000-0000-00007E6B0000}"/>
    <cellStyle name="Total 2 2 4 5 2 2 2" xfId="31517" xr:uid="{00000000-0005-0000-0000-00007F6B0000}"/>
    <cellStyle name="Total 2 2 4 5 2 3" xfId="18724" xr:uid="{00000000-0005-0000-0000-0000806B0000}"/>
    <cellStyle name="Total 2 2 4 5 3" xfId="12965" xr:uid="{00000000-0005-0000-0000-0000816B0000}"/>
    <cellStyle name="Total 2 2 4 5 3 2" xfId="27797" xr:uid="{00000000-0005-0000-0000-0000826B0000}"/>
    <cellStyle name="Total 2 2 4 5 4" xfId="10336" xr:uid="{00000000-0005-0000-0000-0000836B0000}"/>
    <cellStyle name="Total 2 2 4 5 4 2" xfId="25168" xr:uid="{00000000-0005-0000-0000-0000846B0000}"/>
    <cellStyle name="Total 2 2 4 6" xfId="5744" xr:uid="{00000000-0005-0000-0000-0000856B0000}"/>
    <cellStyle name="Total 2 2 4 6 2" xfId="15979" xr:uid="{00000000-0005-0000-0000-0000866B0000}"/>
    <cellStyle name="Total 2 2 4 6 2 2" xfId="30811" xr:uid="{00000000-0005-0000-0000-0000876B0000}"/>
    <cellStyle name="Total 2 2 4 6 3" xfId="18365" xr:uid="{00000000-0005-0000-0000-0000886B0000}"/>
    <cellStyle name="Total 2 2 4 7" xfId="11999" xr:uid="{00000000-0005-0000-0000-0000896B0000}"/>
    <cellStyle name="Total 2 2 4 7 2" xfId="26831" xr:uid="{00000000-0005-0000-0000-00008A6B0000}"/>
    <cellStyle name="Total 2 2 4 8" xfId="9658" xr:uid="{00000000-0005-0000-0000-00008B6B0000}"/>
    <cellStyle name="Total 2 2 4 8 2" xfId="19959" xr:uid="{00000000-0005-0000-0000-00008C6B0000}"/>
    <cellStyle name="Total 2 2 5" xfId="1642" xr:uid="{00000000-0005-0000-0000-00008D6B0000}"/>
    <cellStyle name="Total 2 2 5 2" xfId="2139" xr:uid="{00000000-0005-0000-0000-00008E6B0000}"/>
    <cellStyle name="Total 2 2 5 2 2" xfId="3493" xr:uid="{00000000-0005-0000-0000-00008F6B0000}"/>
    <cellStyle name="Total 2 2 5 2 2 2" xfId="7555" xr:uid="{00000000-0005-0000-0000-0000906B0000}"/>
    <cellStyle name="Total 2 2 5 2 2 2 2" xfId="17216" xr:uid="{00000000-0005-0000-0000-0000916B0000}"/>
    <cellStyle name="Total 2 2 5 2 2 2 2 2" xfId="32048" xr:uid="{00000000-0005-0000-0000-0000926B0000}"/>
    <cellStyle name="Total 2 2 5 2 2 2 3" xfId="19052" xr:uid="{00000000-0005-0000-0000-0000936B0000}"/>
    <cellStyle name="Total 2 2 5 2 2 3" xfId="13830" xr:uid="{00000000-0005-0000-0000-0000946B0000}"/>
    <cellStyle name="Total 2 2 5 2 2 3 2" xfId="28662" xr:uid="{00000000-0005-0000-0000-0000956B0000}"/>
    <cellStyle name="Total 2 2 5 2 2 4" xfId="10834" xr:uid="{00000000-0005-0000-0000-0000966B0000}"/>
    <cellStyle name="Total 2 2 5 2 2 4 2" xfId="25666" xr:uid="{00000000-0005-0000-0000-0000976B0000}"/>
    <cellStyle name="Total 2 2 5 2 3" xfId="5107" xr:uid="{00000000-0005-0000-0000-0000986B0000}"/>
    <cellStyle name="Total 2 2 5 2 3 2" xfId="9146" xr:uid="{00000000-0005-0000-0000-0000996B0000}"/>
    <cellStyle name="Total 2 2 5 2 3 2 2" xfId="18074" xr:uid="{00000000-0005-0000-0000-00009A6B0000}"/>
    <cellStyle name="Total 2 2 5 2 3 2 2 2" xfId="32906" xr:uid="{00000000-0005-0000-0000-00009B6B0000}"/>
    <cellStyle name="Total 2 2 5 2 3 2 3" xfId="19627" xr:uid="{00000000-0005-0000-0000-00009C6B0000}"/>
    <cellStyle name="Total 2 2 5 2 3 3" xfId="15427" xr:uid="{00000000-0005-0000-0000-00009D6B0000}"/>
    <cellStyle name="Total 2 2 5 2 3 3 2" xfId="30259" xr:uid="{00000000-0005-0000-0000-00009E6B0000}"/>
    <cellStyle name="Total 2 2 5 2 3 4" xfId="11673" xr:uid="{00000000-0005-0000-0000-00009F6B0000}"/>
    <cellStyle name="Total 2 2 5 2 3 4 2" xfId="26505" xr:uid="{00000000-0005-0000-0000-0000A06B0000}"/>
    <cellStyle name="Total 2 2 5 2 4" xfId="3097" xr:uid="{00000000-0005-0000-0000-0000A16B0000}"/>
    <cellStyle name="Total 2 2 5 2 4 2" xfId="7167" xr:uid="{00000000-0005-0000-0000-0000A26B0000}"/>
    <cellStyle name="Total 2 2 5 2 4 2 2" xfId="16964" xr:uid="{00000000-0005-0000-0000-0000A36B0000}"/>
    <cellStyle name="Total 2 2 5 2 4 2 2 2" xfId="31796" xr:uid="{00000000-0005-0000-0000-0000A46B0000}"/>
    <cellStyle name="Total 2 2 5 2 4 2 3" xfId="18921" xr:uid="{00000000-0005-0000-0000-0000A56B0000}"/>
    <cellStyle name="Total 2 2 5 2 4 3" xfId="13435" xr:uid="{00000000-0005-0000-0000-0000A66B0000}"/>
    <cellStyle name="Total 2 2 5 2 4 3 2" xfId="28267" xr:uid="{00000000-0005-0000-0000-0000A76B0000}"/>
    <cellStyle name="Total 2 2 5 2 4 4" xfId="10621" xr:uid="{00000000-0005-0000-0000-0000A86B0000}"/>
    <cellStyle name="Total 2 2 5 2 4 4 2" xfId="25453" xr:uid="{00000000-0005-0000-0000-0000A96B0000}"/>
    <cellStyle name="Total 2 2 5 2 5" xfId="6259" xr:uid="{00000000-0005-0000-0000-0000AA6B0000}"/>
    <cellStyle name="Total 2 2 5 2 5 2" xfId="16444" xr:uid="{00000000-0005-0000-0000-0000AB6B0000}"/>
    <cellStyle name="Total 2 2 5 2 5 2 2" xfId="31276" xr:uid="{00000000-0005-0000-0000-0000AC6B0000}"/>
    <cellStyle name="Total 2 2 5 2 5 3" xfId="18562" xr:uid="{00000000-0005-0000-0000-0000AD6B0000}"/>
    <cellStyle name="Total 2 2 5 2 6" xfId="12514" xr:uid="{00000000-0005-0000-0000-0000AE6B0000}"/>
    <cellStyle name="Total 2 2 5 2 6 2" xfId="27346" xr:uid="{00000000-0005-0000-0000-0000AF6B0000}"/>
    <cellStyle name="Total 2 2 5 2 7" xfId="10096" xr:uid="{00000000-0005-0000-0000-0000B06B0000}"/>
    <cellStyle name="Total 2 2 5 2 7 2" xfId="24928" xr:uid="{00000000-0005-0000-0000-0000B16B0000}"/>
    <cellStyle name="Total 2 2 5 3" xfId="3587" xr:uid="{00000000-0005-0000-0000-0000B26B0000}"/>
    <cellStyle name="Total 2 2 5 3 2" xfId="7649" xr:uid="{00000000-0005-0000-0000-0000B36B0000}"/>
    <cellStyle name="Total 2 2 5 3 2 2" xfId="17273" xr:uid="{00000000-0005-0000-0000-0000B46B0000}"/>
    <cellStyle name="Total 2 2 5 3 2 2 2" xfId="32105" xr:uid="{00000000-0005-0000-0000-0000B56B0000}"/>
    <cellStyle name="Total 2 2 5 3 2 3" xfId="19093" xr:uid="{00000000-0005-0000-0000-0000B66B0000}"/>
    <cellStyle name="Total 2 2 5 3 3" xfId="13923" xr:uid="{00000000-0005-0000-0000-0000B76B0000}"/>
    <cellStyle name="Total 2 2 5 3 3 2" xfId="28755" xr:uid="{00000000-0005-0000-0000-0000B86B0000}"/>
    <cellStyle name="Total 2 2 5 3 4" xfId="10890" xr:uid="{00000000-0005-0000-0000-0000B96B0000}"/>
    <cellStyle name="Total 2 2 5 3 4 2" xfId="25722" xr:uid="{00000000-0005-0000-0000-0000BA6B0000}"/>
    <cellStyle name="Total 2 2 5 4" xfId="4687" xr:uid="{00000000-0005-0000-0000-0000BB6B0000}"/>
    <cellStyle name="Total 2 2 5 4 2" xfId="8726" xr:uid="{00000000-0005-0000-0000-0000BC6B0000}"/>
    <cellStyle name="Total 2 2 5 4 2 2" xfId="17834" xr:uid="{00000000-0005-0000-0000-0000BD6B0000}"/>
    <cellStyle name="Total 2 2 5 4 2 2 2" xfId="32666" xr:uid="{00000000-0005-0000-0000-0000BE6B0000}"/>
    <cellStyle name="Total 2 2 5 4 2 3" xfId="19467" xr:uid="{00000000-0005-0000-0000-0000BF6B0000}"/>
    <cellStyle name="Total 2 2 5 4 3" xfId="15012" xr:uid="{00000000-0005-0000-0000-0000C06B0000}"/>
    <cellStyle name="Total 2 2 5 4 3 2" xfId="29844" xr:uid="{00000000-0005-0000-0000-0000C16B0000}"/>
    <cellStyle name="Total 2 2 5 4 4" xfId="11438" xr:uid="{00000000-0005-0000-0000-0000C26B0000}"/>
    <cellStyle name="Total 2 2 5 4 4 2" xfId="26270" xr:uid="{00000000-0005-0000-0000-0000C36B0000}"/>
    <cellStyle name="Total 2 2 5 5" xfId="2677" xr:uid="{00000000-0005-0000-0000-0000C46B0000}"/>
    <cellStyle name="Total 2 2 5 5 2" xfId="6773" xr:uid="{00000000-0005-0000-0000-0000C56B0000}"/>
    <cellStyle name="Total 2 2 5 5 2 2" xfId="16729" xr:uid="{00000000-0005-0000-0000-0000C66B0000}"/>
    <cellStyle name="Total 2 2 5 5 2 2 2" xfId="31561" xr:uid="{00000000-0005-0000-0000-0000C76B0000}"/>
    <cellStyle name="Total 2 2 5 5 2 3" xfId="18757" xr:uid="{00000000-0005-0000-0000-0000C86B0000}"/>
    <cellStyle name="Total 2 2 5 5 3" xfId="13015" xr:uid="{00000000-0005-0000-0000-0000C96B0000}"/>
    <cellStyle name="Total 2 2 5 5 3 2" xfId="27847" xr:uid="{00000000-0005-0000-0000-0000CA6B0000}"/>
    <cellStyle name="Total 2 2 5 5 4" xfId="10381" xr:uid="{00000000-0005-0000-0000-0000CB6B0000}"/>
    <cellStyle name="Total 2 2 5 5 4 2" xfId="25213" xr:uid="{00000000-0005-0000-0000-0000CC6B0000}"/>
    <cellStyle name="Total 2 2 5 6" xfId="5789" xr:uid="{00000000-0005-0000-0000-0000CD6B0000}"/>
    <cellStyle name="Total 2 2 5 6 2" xfId="16023" xr:uid="{00000000-0005-0000-0000-0000CE6B0000}"/>
    <cellStyle name="Total 2 2 5 6 2 2" xfId="30855" xr:uid="{00000000-0005-0000-0000-0000CF6B0000}"/>
    <cellStyle name="Total 2 2 5 6 3" xfId="18398" xr:uid="{00000000-0005-0000-0000-0000D06B0000}"/>
    <cellStyle name="Total 2 2 5 7" xfId="12043" xr:uid="{00000000-0005-0000-0000-0000D16B0000}"/>
    <cellStyle name="Total 2 2 5 7 2" xfId="26875" xr:uid="{00000000-0005-0000-0000-0000D26B0000}"/>
    <cellStyle name="Total 2 2 5 8" xfId="9703" xr:uid="{00000000-0005-0000-0000-0000D36B0000}"/>
    <cellStyle name="Total 2 2 5 8 2" xfId="20003" xr:uid="{00000000-0005-0000-0000-0000D46B0000}"/>
    <cellStyle name="Total 2 2 6" xfId="1793" xr:uid="{00000000-0005-0000-0000-0000D56B0000}"/>
    <cellStyle name="Total 2 2 6 2" xfId="3572" xr:uid="{00000000-0005-0000-0000-0000D66B0000}"/>
    <cellStyle name="Total 2 2 6 2 2" xfId="7634" xr:uid="{00000000-0005-0000-0000-0000D76B0000}"/>
    <cellStyle name="Total 2 2 6 2 2 2" xfId="17263" xr:uid="{00000000-0005-0000-0000-0000D86B0000}"/>
    <cellStyle name="Total 2 2 6 2 2 2 2" xfId="32095" xr:uid="{00000000-0005-0000-0000-0000D96B0000}"/>
    <cellStyle name="Total 2 2 6 2 2 3" xfId="19086" xr:uid="{00000000-0005-0000-0000-0000DA6B0000}"/>
    <cellStyle name="Total 2 2 6 2 3" xfId="13908" xr:uid="{00000000-0005-0000-0000-0000DB6B0000}"/>
    <cellStyle name="Total 2 2 6 2 3 2" xfId="28740" xr:uid="{00000000-0005-0000-0000-0000DC6B0000}"/>
    <cellStyle name="Total 2 2 6 2 4" xfId="10880" xr:uid="{00000000-0005-0000-0000-0000DD6B0000}"/>
    <cellStyle name="Total 2 2 6 2 4 2" xfId="25712" xr:uid="{00000000-0005-0000-0000-0000DE6B0000}"/>
    <cellStyle name="Total 2 2 6 3" xfId="4771" xr:uid="{00000000-0005-0000-0000-0000DF6B0000}"/>
    <cellStyle name="Total 2 2 6 3 2" xfId="8810" xr:uid="{00000000-0005-0000-0000-0000E06B0000}"/>
    <cellStyle name="Total 2 2 6 3 2 2" xfId="17882" xr:uid="{00000000-0005-0000-0000-0000E16B0000}"/>
    <cellStyle name="Total 2 2 6 3 2 2 2" xfId="32714" xr:uid="{00000000-0005-0000-0000-0000E26B0000}"/>
    <cellStyle name="Total 2 2 6 3 2 3" xfId="19499" xr:uid="{00000000-0005-0000-0000-0000E36B0000}"/>
    <cellStyle name="Total 2 2 6 3 3" xfId="15095" xr:uid="{00000000-0005-0000-0000-0000E46B0000}"/>
    <cellStyle name="Total 2 2 6 3 3 2" xfId="29927" xr:uid="{00000000-0005-0000-0000-0000E56B0000}"/>
    <cellStyle name="Total 2 2 6 3 4" xfId="11485" xr:uid="{00000000-0005-0000-0000-0000E66B0000}"/>
    <cellStyle name="Total 2 2 6 3 4 2" xfId="26317" xr:uid="{00000000-0005-0000-0000-0000E76B0000}"/>
    <cellStyle name="Total 2 2 6 4" xfId="2761" xr:uid="{00000000-0005-0000-0000-0000E86B0000}"/>
    <cellStyle name="Total 2 2 6 4 2" xfId="6852" xr:uid="{00000000-0005-0000-0000-0000E96B0000}"/>
    <cellStyle name="Total 2 2 6 4 2 2" xfId="16776" xr:uid="{00000000-0005-0000-0000-0000EA6B0000}"/>
    <cellStyle name="Total 2 2 6 4 2 2 2" xfId="31608" xr:uid="{00000000-0005-0000-0000-0000EB6B0000}"/>
    <cellStyle name="Total 2 2 6 4 2 3" xfId="18790" xr:uid="{00000000-0005-0000-0000-0000EC6B0000}"/>
    <cellStyle name="Total 2 2 6 4 3" xfId="13099" xr:uid="{00000000-0005-0000-0000-0000ED6B0000}"/>
    <cellStyle name="Total 2 2 6 4 3 2" xfId="27931" xr:uid="{00000000-0005-0000-0000-0000EE6B0000}"/>
    <cellStyle name="Total 2 2 6 4 4" xfId="10429" xr:uid="{00000000-0005-0000-0000-0000EF6B0000}"/>
    <cellStyle name="Total 2 2 6 4 4 2" xfId="25261" xr:uid="{00000000-0005-0000-0000-0000F06B0000}"/>
    <cellStyle name="Total 2 2 6 5" xfId="5925" xr:uid="{00000000-0005-0000-0000-0000F16B0000}"/>
    <cellStyle name="Total 2 2 6 5 2" xfId="16117" xr:uid="{00000000-0005-0000-0000-0000F26B0000}"/>
    <cellStyle name="Total 2 2 6 5 2 2" xfId="30949" xr:uid="{00000000-0005-0000-0000-0000F36B0000}"/>
    <cellStyle name="Total 2 2 6 5 3" xfId="18432" xr:uid="{00000000-0005-0000-0000-0000F46B0000}"/>
    <cellStyle name="Total 2 2 6 6" xfId="12187" xr:uid="{00000000-0005-0000-0000-0000F56B0000}"/>
    <cellStyle name="Total 2 2 6 6 2" xfId="27019" xr:uid="{00000000-0005-0000-0000-0000F66B0000}"/>
    <cellStyle name="Total 2 2 6 7" xfId="9783" xr:uid="{00000000-0005-0000-0000-0000F76B0000}"/>
    <cellStyle name="Total 2 2 6 7 2" xfId="24740" xr:uid="{00000000-0005-0000-0000-0000F86B0000}"/>
    <cellStyle name="Total 2 2 7" xfId="2173" xr:uid="{00000000-0005-0000-0000-0000F96B0000}"/>
    <cellStyle name="Total 2 2 7 2" xfId="3767" xr:uid="{00000000-0005-0000-0000-0000FA6B0000}"/>
    <cellStyle name="Total 2 2 7 2 2" xfId="7823" xr:uid="{00000000-0005-0000-0000-0000FB6B0000}"/>
    <cellStyle name="Total 2 2 7 2 2 2" xfId="17357" xr:uid="{00000000-0005-0000-0000-0000FC6B0000}"/>
    <cellStyle name="Total 2 2 7 2 2 2 2" xfId="32189" xr:uid="{00000000-0005-0000-0000-0000FD6B0000}"/>
    <cellStyle name="Total 2 2 7 2 2 3" xfId="19151" xr:uid="{00000000-0005-0000-0000-0000FE6B0000}"/>
    <cellStyle name="Total 2 2 7 2 3" xfId="14102" xr:uid="{00000000-0005-0000-0000-0000FF6B0000}"/>
    <cellStyle name="Total 2 2 7 2 3 2" xfId="28934" xr:uid="{00000000-0005-0000-0000-0000006C0000}"/>
    <cellStyle name="Total 2 2 7 2 4" xfId="10973" xr:uid="{00000000-0005-0000-0000-0000016C0000}"/>
    <cellStyle name="Total 2 2 7 2 4 2" xfId="25805" xr:uid="{00000000-0005-0000-0000-0000026C0000}"/>
    <cellStyle name="Total 2 2 7 3" xfId="5141" xr:uid="{00000000-0005-0000-0000-0000036C0000}"/>
    <cellStyle name="Total 2 2 7 3 2" xfId="9180" xr:uid="{00000000-0005-0000-0000-0000046C0000}"/>
    <cellStyle name="Total 2 2 7 3 2 2" xfId="18103" xr:uid="{00000000-0005-0000-0000-0000056C0000}"/>
    <cellStyle name="Total 2 2 7 3 2 2 2" xfId="32935" xr:uid="{00000000-0005-0000-0000-0000066C0000}"/>
    <cellStyle name="Total 2 2 7 3 2 3" xfId="19654" xr:uid="{00000000-0005-0000-0000-0000076C0000}"/>
    <cellStyle name="Total 2 2 7 3 3" xfId="15459" xr:uid="{00000000-0005-0000-0000-0000086C0000}"/>
    <cellStyle name="Total 2 2 7 3 3 2" xfId="30291" xr:uid="{00000000-0005-0000-0000-0000096C0000}"/>
    <cellStyle name="Total 2 2 7 3 4" xfId="11700" xr:uid="{00000000-0005-0000-0000-00000A6C0000}"/>
    <cellStyle name="Total 2 2 7 3 4 2" xfId="26532" xr:uid="{00000000-0005-0000-0000-00000B6C0000}"/>
    <cellStyle name="Total 2 2 7 4" xfId="4171" xr:uid="{00000000-0005-0000-0000-00000C6C0000}"/>
    <cellStyle name="Total 2 2 7 4 2" xfId="8212" xr:uid="{00000000-0005-0000-0000-00000D6C0000}"/>
    <cellStyle name="Total 2 2 7 4 2 2" xfId="17559" xr:uid="{00000000-0005-0000-0000-00000E6C0000}"/>
    <cellStyle name="Total 2 2 7 4 2 2 2" xfId="32391" xr:uid="{00000000-0005-0000-0000-00000F6C0000}"/>
    <cellStyle name="Total 2 2 7 4 2 3" xfId="19297" xr:uid="{00000000-0005-0000-0000-0000106C0000}"/>
    <cellStyle name="Total 2 2 7 4 3" xfId="14503" xr:uid="{00000000-0005-0000-0000-0000116C0000}"/>
    <cellStyle name="Total 2 2 7 4 3 2" xfId="29335" xr:uid="{00000000-0005-0000-0000-0000126C0000}"/>
    <cellStyle name="Total 2 2 7 4 4" xfId="11179" xr:uid="{00000000-0005-0000-0000-0000136C0000}"/>
    <cellStyle name="Total 2 2 7 4 4 2" xfId="26011" xr:uid="{00000000-0005-0000-0000-0000146C0000}"/>
    <cellStyle name="Total 2 2 7 5" xfId="6287" xr:uid="{00000000-0005-0000-0000-0000156C0000}"/>
    <cellStyle name="Total 2 2 7 5 2" xfId="16471" xr:uid="{00000000-0005-0000-0000-0000166C0000}"/>
    <cellStyle name="Total 2 2 7 5 2 2" xfId="31303" xr:uid="{00000000-0005-0000-0000-0000176C0000}"/>
    <cellStyle name="Total 2 2 7 5 3" xfId="18590" xr:uid="{00000000-0005-0000-0000-0000186C0000}"/>
    <cellStyle name="Total 2 2 7 6" xfId="12541" xr:uid="{00000000-0005-0000-0000-0000196C0000}"/>
    <cellStyle name="Total 2 2 7 6 2" xfId="27373" xr:uid="{00000000-0005-0000-0000-00001A6C0000}"/>
    <cellStyle name="Total 2 2 7 7" xfId="10123" xr:uid="{00000000-0005-0000-0000-00001B6C0000}"/>
    <cellStyle name="Total 2 2 7 7 2" xfId="24955" xr:uid="{00000000-0005-0000-0000-00001C6C0000}"/>
    <cellStyle name="Total 2 2 8" xfId="3553" xr:uid="{00000000-0005-0000-0000-00001D6C0000}"/>
    <cellStyle name="Total 2 2 8 2" xfId="7615" xr:uid="{00000000-0005-0000-0000-00001E6C0000}"/>
    <cellStyle name="Total 2 2 8 2 2" xfId="17253" xr:uid="{00000000-0005-0000-0000-00001F6C0000}"/>
    <cellStyle name="Total 2 2 8 2 2 2" xfId="32085" xr:uid="{00000000-0005-0000-0000-0000206C0000}"/>
    <cellStyle name="Total 2 2 8 2 3" xfId="19076" xr:uid="{00000000-0005-0000-0000-0000216C0000}"/>
    <cellStyle name="Total 2 2 8 3" xfId="13889" xr:uid="{00000000-0005-0000-0000-0000226C0000}"/>
    <cellStyle name="Total 2 2 8 3 2" xfId="28721" xr:uid="{00000000-0005-0000-0000-0000236C0000}"/>
    <cellStyle name="Total 2 2 8 4" xfId="10870" xr:uid="{00000000-0005-0000-0000-0000246C0000}"/>
    <cellStyle name="Total 2 2 8 4 2" xfId="25702" xr:uid="{00000000-0005-0000-0000-0000256C0000}"/>
    <cellStyle name="Total 2 2 9" xfId="3349" xr:uid="{00000000-0005-0000-0000-0000266C0000}"/>
    <cellStyle name="Total 2 2 9 2" xfId="7412" xr:uid="{00000000-0005-0000-0000-0000276C0000}"/>
    <cellStyle name="Total 2 2 9 2 2" xfId="17137" xr:uid="{00000000-0005-0000-0000-0000286C0000}"/>
    <cellStyle name="Total 2 2 9 2 2 2" xfId="31969" xr:uid="{00000000-0005-0000-0000-0000296C0000}"/>
    <cellStyle name="Total 2 2 9 2 3" xfId="19007" xr:uid="{00000000-0005-0000-0000-00002A6C0000}"/>
    <cellStyle name="Total 2 2 9 3" xfId="13686" xr:uid="{00000000-0005-0000-0000-00002B6C0000}"/>
    <cellStyle name="Total 2 2 9 3 2" xfId="28518" xr:uid="{00000000-0005-0000-0000-00002C6C0000}"/>
    <cellStyle name="Total 2 2 9 4" xfId="10756" xr:uid="{00000000-0005-0000-0000-00002D6C0000}"/>
    <cellStyle name="Total 2 2 9 4 2" xfId="25588" xr:uid="{00000000-0005-0000-0000-00002E6C0000}"/>
    <cellStyle name="Total 2 20" xfId="9337" xr:uid="{00000000-0005-0000-0000-00002F6C0000}"/>
    <cellStyle name="Total 2 20 2" xfId="24643" xr:uid="{00000000-0005-0000-0000-0000306C0000}"/>
    <cellStyle name="Total 2 21" xfId="5326" xr:uid="{00000000-0005-0000-0000-0000316C0000}"/>
    <cellStyle name="Total 2 21 2" xfId="18200" xr:uid="{00000000-0005-0000-0000-0000326C0000}"/>
    <cellStyle name="Total 2 3" xfId="1269" xr:uid="{00000000-0005-0000-0000-0000336C0000}"/>
    <cellStyle name="Total 2 3 10" xfId="2336" xr:uid="{00000000-0005-0000-0000-0000346C0000}"/>
    <cellStyle name="Total 2 3 10 2" xfId="6448" xr:uid="{00000000-0005-0000-0000-0000356C0000}"/>
    <cellStyle name="Total 2 3 10 2 2" xfId="16540" xr:uid="{00000000-0005-0000-0000-0000366C0000}"/>
    <cellStyle name="Total 2 3 10 2 2 2" xfId="31372" xr:uid="{00000000-0005-0000-0000-0000376C0000}"/>
    <cellStyle name="Total 2 3 10 2 3" xfId="18628" xr:uid="{00000000-0005-0000-0000-0000386C0000}"/>
    <cellStyle name="Total 2 3 10 3" xfId="12676" xr:uid="{00000000-0005-0000-0000-0000396C0000}"/>
    <cellStyle name="Total 2 3 10 3 2" xfId="27508" xr:uid="{00000000-0005-0000-0000-00003A6C0000}"/>
    <cellStyle name="Total 2 3 10 4" xfId="10191" xr:uid="{00000000-0005-0000-0000-00003B6C0000}"/>
    <cellStyle name="Total 2 3 10 4 2" xfId="25023" xr:uid="{00000000-0005-0000-0000-00003C6C0000}"/>
    <cellStyle name="Total 2 3 11" xfId="5298" xr:uid="{00000000-0005-0000-0000-00003D6C0000}"/>
    <cellStyle name="Total 2 3 11 2" xfId="9306" xr:uid="{00000000-0005-0000-0000-00003E6C0000}"/>
    <cellStyle name="Total 2 3 11 2 2" xfId="18173" xr:uid="{00000000-0005-0000-0000-00003F6C0000}"/>
    <cellStyle name="Total 2 3 11 2 2 2" xfId="33005" xr:uid="{00000000-0005-0000-0000-0000406C0000}"/>
    <cellStyle name="Total 2 3 11 2 3" xfId="19692" xr:uid="{00000000-0005-0000-0000-0000416C0000}"/>
    <cellStyle name="Total 2 3 11 3" xfId="15614" xr:uid="{00000000-0005-0000-0000-0000426C0000}"/>
    <cellStyle name="Total 2 3 11 3 2" xfId="30446" xr:uid="{00000000-0005-0000-0000-0000436C0000}"/>
    <cellStyle name="Total 2 3 12" xfId="5456" xr:uid="{00000000-0005-0000-0000-0000446C0000}"/>
    <cellStyle name="Total 2 3 12 2" xfId="15692" xr:uid="{00000000-0005-0000-0000-0000456C0000}"/>
    <cellStyle name="Total 2 3 12 2 2" xfId="30524" xr:uid="{00000000-0005-0000-0000-0000466C0000}"/>
    <cellStyle name="Total 2 3 12 3" xfId="18269" xr:uid="{00000000-0005-0000-0000-0000476C0000}"/>
    <cellStyle name="Total 2 3 13" xfId="9335" xr:uid="{00000000-0005-0000-0000-0000486C0000}"/>
    <cellStyle name="Total 2 3 13 2" xfId="24641" xr:uid="{00000000-0005-0000-0000-0000496C0000}"/>
    <cellStyle name="Total 2 3 14" xfId="5324" xr:uid="{00000000-0005-0000-0000-00004A6C0000}"/>
    <cellStyle name="Total 2 3 14 2" xfId="18198" xr:uid="{00000000-0005-0000-0000-00004B6C0000}"/>
    <cellStyle name="Total 2 3 2" xfId="1368" xr:uid="{00000000-0005-0000-0000-00004C6C0000}"/>
    <cellStyle name="Total 2 3 2 2" xfId="1872" xr:uid="{00000000-0005-0000-0000-00004D6C0000}"/>
    <cellStyle name="Total 2 3 2 2 2" xfId="3598" xr:uid="{00000000-0005-0000-0000-00004E6C0000}"/>
    <cellStyle name="Total 2 3 2 2 2 2" xfId="7660" xr:uid="{00000000-0005-0000-0000-00004F6C0000}"/>
    <cellStyle name="Total 2 3 2 2 2 2 2" xfId="17277" xr:uid="{00000000-0005-0000-0000-0000506C0000}"/>
    <cellStyle name="Total 2 3 2 2 2 2 2 2" xfId="32109" xr:uid="{00000000-0005-0000-0000-0000516C0000}"/>
    <cellStyle name="Total 2 3 2 2 2 2 3" xfId="19096" xr:uid="{00000000-0005-0000-0000-0000526C0000}"/>
    <cellStyle name="Total 2 3 2 2 2 3" xfId="13934" xr:uid="{00000000-0005-0000-0000-0000536C0000}"/>
    <cellStyle name="Total 2 3 2 2 2 3 2" xfId="28766" xr:uid="{00000000-0005-0000-0000-0000546C0000}"/>
    <cellStyle name="Total 2 3 2 2 2 4" xfId="10894" xr:uid="{00000000-0005-0000-0000-0000556C0000}"/>
    <cellStyle name="Total 2 3 2 2 2 4 2" xfId="25726" xr:uid="{00000000-0005-0000-0000-0000566C0000}"/>
    <cellStyle name="Total 2 3 2 2 3" xfId="4850" xr:uid="{00000000-0005-0000-0000-0000576C0000}"/>
    <cellStyle name="Total 2 3 2 2 3 2" xfId="8889" xr:uid="{00000000-0005-0000-0000-0000586C0000}"/>
    <cellStyle name="Total 2 3 2 2 3 2 2" xfId="17930" xr:uid="{00000000-0005-0000-0000-0000596C0000}"/>
    <cellStyle name="Total 2 3 2 2 3 2 2 2" xfId="32762" xr:uid="{00000000-0005-0000-0000-00005A6C0000}"/>
    <cellStyle name="Total 2 3 2 2 3 2 3" xfId="19532" xr:uid="{00000000-0005-0000-0000-00005B6C0000}"/>
    <cellStyle name="Total 2 3 2 2 3 3" xfId="15174" xr:uid="{00000000-0005-0000-0000-00005C6C0000}"/>
    <cellStyle name="Total 2 3 2 2 3 3 2" xfId="30006" xr:uid="{00000000-0005-0000-0000-00005D6C0000}"/>
    <cellStyle name="Total 2 3 2 2 3 4" xfId="11533" xr:uid="{00000000-0005-0000-0000-00005E6C0000}"/>
    <cellStyle name="Total 2 3 2 2 3 4 2" xfId="26365" xr:uid="{00000000-0005-0000-0000-00005F6C0000}"/>
    <cellStyle name="Total 2 3 2 2 4" xfId="2840" xr:uid="{00000000-0005-0000-0000-0000606C0000}"/>
    <cellStyle name="Total 2 3 2 2 4 2" xfId="6931" xr:uid="{00000000-0005-0000-0000-0000616C0000}"/>
    <cellStyle name="Total 2 3 2 2 4 2 2" xfId="16824" xr:uid="{00000000-0005-0000-0000-0000626C0000}"/>
    <cellStyle name="Total 2 3 2 2 4 2 2 2" xfId="31656" xr:uid="{00000000-0005-0000-0000-0000636C0000}"/>
    <cellStyle name="Total 2 3 2 2 4 2 3" xfId="18823" xr:uid="{00000000-0005-0000-0000-0000646C0000}"/>
    <cellStyle name="Total 2 3 2 2 4 3" xfId="13178" xr:uid="{00000000-0005-0000-0000-0000656C0000}"/>
    <cellStyle name="Total 2 3 2 2 4 3 2" xfId="28010" xr:uid="{00000000-0005-0000-0000-0000666C0000}"/>
    <cellStyle name="Total 2 3 2 2 4 4" xfId="10477" xr:uid="{00000000-0005-0000-0000-0000676C0000}"/>
    <cellStyle name="Total 2 3 2 2 4 4 2" xfId="25309" xr:uid="{00000000-0005-0000-0000-0000686C0000}"/>
    <cellStyle name="Total 2 3 2 2 5" xfId="6004" xr:uid="{00000000-0005-0000-0000-0000696C0000}"/>
    <cellStyle name="Total 2 3 2 2 5 2" xfId="16196" xr:uid="{00000000-0005-0000-0000-00006A6C0000}"/>
    <cellStyle name="Total 2 3 2 2 5 2 2" xfId="31028" xr:uid="{00000000-0005-0000-0000-00006B6C0000}"/>
    <cellStyle name="Total 2 3 2 2 5 3" xfId="18465" xr:uid="{00000000-0005-0000-0000-00006C6C0000}"/>
    <cellStyle name="Total 2 3 2 2 6" xfId="12266" xr:uid="{00000000-0005-0000-0000-00006D6C0000}"/>
    <cellStyle name="Total 2 3 2 2 6 2" xfId="27098" xr:uid="{00000000-0005-0000-0000-00006E6C0000}"/>
    <cellStyle name="Total 2 3 2 2 7" xfId="9862" xr:uid="{00000000-0005-0000-0000-00006F6C0000}"/>
    <cellStyle name="Total 2 3 2 2 7 2" xfId="24788" xr:uid="{00000000-0005-0000-0000-0000706C0000}"/>
    <cellStyle name="Total 2 3 2 3" xfId="3832" xr:uid="{00000000-0005-0000-0000-0000716C0000}"/>
    <cellStyle name="Total 2 3 2 3 2" xfId="7885" xr:uid="{00000000-0005-0000-0000-0000726C0000}"/>
    <cellStyle name="Total 2 3 2 3 2 2" xfId="17386" xr:uid="{00000000-0005-0000-0000-0000736C0000}"/>
    <cellStyle name="Total 2 3 2 3 2 2 2" xfId="32218" xr:uid="{00000000-0005-0000-0000-0000746C0000}"/>
    <cellStyle name="Total 2 3 2 3 2 3" xfId="19170" xr:uid="{00000000-0005-0000-0000-0000756C0000}"/>
    <cellStyle name="Total 2 3 2 3 3" xfId="14167" xr:uid="{00000000-0005-0000-0000-0000766C0000}"/>
    <cellStyle name="Total 2 3 2 3 3 2" xfId="28999" xr:uid="{00000000-0005-0000-0000-0000776C0000}"/>
    <cellStyle name="Total 2 3 2 3 4" xfId="11005" xr:uid="{00000000-0005-0000-0000-0000786C0000}"/>
    <cellStyle name="Total 2 3 2 3 4 2" xfId="25837" xr:uid="{00000000-0005-0000-0000-0000796C0000}"/>
    <cellStyle name="Total 2 3 2 4" xfId="4430" xr:uid="{00000000-0005-0000-0000-00007A6C0000}"/>
    <cellStyle name="Total 2 3 2 4 2" xfId="8469" xr:uid="{00000000-0005-0000-0000-00007B6C0000}"/>
    <cellStyle name="Total 2 3 2 4 2 2" xfId="17690" xr:uid="{00000000-0005-0000-0000-00007C6C0000}"/>
    <cellStyle name="Total 2 3 2 4 2 2 2" xfId="32522" xr:uid="{00000000-0005-0000-0000-00007D6C0000}"/>
    <cellStyle name="Total 2 3 2 4 2 3" xfId="19372" xr:uid="{00000000-0005-0000-0000-00007E6C0000}"/>
    <cellStyle name="Total 2 3 2 4 3" xfId="14759" xr:uid="{00000000-0005-0000-0000-00007F6C0000}"/>
    <cellStyle name="Total 2 3 2 4 3 2" xfId="29591" xr:uid="{00000000-0005-0000-0000-0000806C0000}"/>
    <cellStyle name="Total 2 3 2 4 4" xfId="11298" xr:uid="{00000000-0005-0000-0000-0000816C0000}"/>
    <cellStyle name="Total 2 3 2 4 4 2" xfId="26130" xr:uid="{00000000-0005-0000-0000-0000826C0000}"/>
    <cellStyle name="Total 2 3 2 5" xfId="2420" xr:uid="{00000000-0005-0000-0000-0000836C0000}"/>
    <cellStyle name="Total 2 3 2 5 2" xfId="6532" xr:uid="{00000000-0005-0000-0000-0000846C0000}"/>
    <cellStyle name="Total 2 3 2 5 2 2" xfId="16588" xr:uid="{00000000-0005-0000-0000-0000856C0000}"/>
    <cellStyle name="Total 2 3 2 5 2 2 2" xfId="31420" xr:uid="{00000000-0005-0000-0000-0000866C0000}"/>
    <cellStyle name="Total 2 3 2 5 2 3" xfId="18660" xr:uid="{00000000-0005-0000-0000-0000876C0000}"/>
    <cellStyle name="Total 2 3 2 5 3" xfId="12759" xr:uid="{00000000-0005-0000-0000-0000886C0000}"/>
    <cellStyle name="Total 2 3 2 5 3 2" xfId="27591" xr:uid="{00000000-0005-0000-0000-0000896C0000}"/>
    <cellStyle name="Total 2 3 2 5 4" xfId="10238" xr:uid="{00000000-0005-0000-0000-00008A6C0000}"/>
    <cellStyle name="Total 2 3 2 5 4 2" xfId="25070" xr:uid="{00000000-0005-0000-0000-00008B6C0000}"/>
    <cellStyle name="Total 2 3 2 6" xfId="5545" xr:uid="{00000000-0005-0000-0000-00008C6C0000}"/>
    <cellStyle name="Total 2 3 2 6 2" xfId="15780" xr:uid="{00000000-0005-0000-0000-00008D6C0000}"/>
    <cellStyle name="Total 2 3 2 6 2 2" xfId="30612" xr:uid="{00000000-0005-0000-0000-00008E6C0000}"/>
    <cellStyle name="Total 2 3 2 6 3" xfId="18302" xr:uid="{00000000-0005-0000-0000-00008F6C0000}"/>
    <cellStyle name="Total 2 3 2 7" xfId="11795" xr:uid="{00000000-0005-0000-0000-0000906C0000}"/>
    <cellStyle name="Total 2 3 2 7 2" xfId="26627" xr:uid="{00000000-0005-0000-0000-0000916C0000}"/>
    <cellStyle name="Total 2 3 2 8" xfId="9466" xr:uid="{00000000-0005-0000-0000-0000926C0000}"/>
    <cellStyle name="Total 2 3 2 8 2" xfId="19770" xr:uid="{00000000-0005-0000-0000-0000936C0000}"/>
    <cellStyle name="Total 2 3 3" xfId="1540" xr:uid="{00000000-0005-0000-0000-0000946C0000}"/>
    <cellStyle name="Total 2 3 3 2" xfId="2037" xr:uid="{00000000-0005-0000-0000-0000956C0000}"/>
    <cellStyle name="Total 2 3 3 2 2" xfId="3584" xr:uid="{00000000-0005-0000-0000-0000966C0000}"/>
    <cellStyle name="Total 2 3 3 2 2 2" xfId="7646" xr:uid="{00000000-0005-0000-0000-0000976C0000}"/>
    <cellStyle name="Total 2 3 3 2 2 2 2" xfId="17270" xr:uid="{00000000-0005-0000-0000-0000986C0000}"/>
    <cellStyle name="Total 2 3 3 2 2 2 2 2" xfId="32102" xr:uid="{00000000-0005-0000-0000-0000996C0000}"/>
    <cellStyle name="Total 2 3 3 2 2 2 3" xfId="19091" xr:uid="{00000000-0005-0000-0000-00009A6C0000}"/>
    <cellStyle name="Total 2 3 3 2 2 3" xfId="13920" xr:uid="{00000000-0005-0000-0000-00009B6C0000}"/>
    <cellStyle name="Total 2 3 3 2 2 3 2" xfId="28752" xr:uid="{00000000-0005-0000-0000-00009C6C0000}"/>
    <cellStyle name="Total 2 3 3 2 2 4" xfId="10887" xr:uid="{00000000-0005-0000-0000-00009D6C0000}"/>
    <cellStyle name="Total 2 3 3 2 2 4 2" xfId="25719" xr:uid="{00000000-0005-0000-0000-00009E6C0000}"/>
    <cellStyle name="Total 2 3 3 2 3" xfId="5005" xr:uid="{00000000-0005-0000-0000-00009F6C0000}"/>
    <cellStyle name="Total 2 3 3 2 3 2" xfId="9044" xr:uid="{00000000-0005-0000-0000-0000A06C0000}"/>
    <cellStyle name="Total 2 3 3 2 3 2 2" xfId="17982" xr:uid="{00000000-0005-0000-0000-0000A16C0000}"/>
    <cellStyle name="Total 2 3 3 2 3 2 2 2" xfId="32814" xr:uid="{00000000-0005-0000-0000-0000A26C0000}"/>
    <cellStyle name="Total 2 3 3 2 3 2 3" xfId="19564" xr:uid="{00000000-0005-0000-0000-0000A36C0000}"/>
    <cellStyle name="Total 2 3 3 2 3 3" xfId="15327" xr:uid="{00000000-0005-0000-0000-0000A46C0000}"/>
    <cellStyle name="Total 2 3 3 2 3 3 2" xfId="30159" xr:uid="{00000000-0005-0000-0000-0000A56C0000}"/>
    <cellStyle name="Total 2 3 3 2 3 4" xfId="11583" xr:uid="{00000000-0005-0000-0000-0000A66C0000}"/>
    <cellStyle name="Total 2 3 3 2 3 4 2" xfId="26415" xr:uid="{00000000-0005-0000-0000-0000A76C0000}"/>
    <cellStyle name="Total 2 3 3 2 4" xfId="2995" xr:uid="{00000000-0005-0000-0000-0000A86C0000}"/>
    <cellStyle name="Total 2 3 3 2 4 2" xfId="7075" xr:uid="{00000000-0005-0000-0000-0000A96C0000}"/>
    <cellStyle name="Total 2 3 3 2 4 2 2" xfId="16874" xr:uid="{00000000-0005-0000-0000-0000AA6C0000}"/>
    <cellStyle name="Total 2 3 3 2 4 2 2 2" xfId="31706" xr:uid="{00000000-0005-0000-0000-0000AB6C0000}"/>
    <cellStyle name="Total 2 3 3 2 4 2 3" xfId="18856" xr:uid="{00000000-0005-0000-0000-0000AC6C0000}"/>
    <cellStyle name="Total 2 3 3 2 4 3" xfId="13333" xr:uid="{00000000-0005-0000-0000-0000AD6C0000}"/>
    <cellStyle name="Total 2 3 3 2 4 3 2" xfId="28165" xr:uid="{00000000-0005-0000-0000-0000AE6C0000}"/>
    <cellStyle name="Total 2 3 3 2 4 4" xfId="10529" xr:uid="{00000000-0005-0000-0000-0000AF6C0000}"/>
    <cellStyle name="Total 2 3 3 2 4 4 2" xfId="25361" xr:uid="{00000000-0005-0000-0000-0000B06C0000}"/>
    <cellStyle name="Total 2 3 3 2 5" xfId="6167" xr:uid="{00000000-0005-0000-0000-0000B16C0000}"/>
    <cellStyle name="Total 2 3 3 2 5 2" xfId="16354" xr:uid="{00000000-0005-0000-0000-0000B26C0000}"/>
    <cellStyle name="Total 2 3 3 2 5 2 2" xfId="31186" xr:uid="{00000000-0005-0000-0000-0000B36C0000}"/>
    <cellStyle name="Total 2 3 3 2 5 3" xfId="18497" xr:uid="{00000000-0005-0000-0000-0000B46C0000}"/>
    <cellStyle name="Total 2 3 3 2 6" xfId="12424" xr:uid="{00000000-0005-0000-0000-0000B56C0000}"/>
    <cellStyle name="Total 2 3 3 2 6 2" xfId="27256" xr:uid="{00000000-0005-0000-0000-0000B66C0000}"/>
    <cellStyle name="Total 2 3 3 2 7" xfId="10006" xr:uid="{00000000-0005-0000-0000-0000B76C0000}"/>
    <cellStyle name="Total 2 3 3 2 7 2" xfId="24838" xr:uid="{00000000-0005-0000-0000-0000B86C0000}"/>
    <cellStyle name="Total 2 3 3 3" xfId="4333" xr:uid="{00000000-0005-0000-0000-0000B96C0000}"/>
    <cellStyle name="Total 2 3 3 3 2" xfId="8372" xr:uid="{00000000-0005-0000-0000-0000BA6C0000}"/>
    <cellStyle name="Total 2 3 3 3 2 2" xfId="17650" xr:uid="{00000000-0005-0000-0000-0000BB6C0000}"/>
    <cellStyle name="Total 2 3 3 3 2 2 2" xfId="32482" xr:uid="{00000000-0005-0000-0000-0000BC6C0000}"/>
    <cellStyle name="Total 2 3 3 3 2 3" xfId="19349" xr:uid="{00000000-0005-0000-0000-0000BD6C0000}"/>
    <cellStyle name="Total 2 3 3 3 3" xfId="14664" xr:uid="{00000000-0005-0000-0000-0000BE6C0000}"/>
    <cellStyle name="Total 2 3 3 3 3 2" xfId="29496" xr:uid="{00000000-0005-0000-0000-0000BF6C0000}"/>
    <cellStyle name="Total 2 3 3 3 4" xfId="11260" xr:uid="{00000000-0005-0000-0000-0000C06C0000}"/>
    <cellStyle name="Total 2 3 3 3 4 2" xfId="26092" xr:uid="{00000000-0005-0000-0000-0000C16C0000}"/>
    <cellStyle name="Total 2 3 3 4" xfId="4585" xr:uid="{00000000-0005-0000-0000-0000C26C0000}"/>
    <cellStyle name="Total 2 3 3 4 2" xfId="8624" xr:uid="{00000000-0005-0000-0000-0000C36C0000}"/>
    <cellStyle name="Total 2 3 3 4 2 2" xfId="17742" xr:uid="{00000000-0005-0000-0000-0000C46C0000}"/>
    <cellStyle name="Total 2 3 3 4 2 2 2" xfId="32574" xr:uid="{00000000-0005-0000-0000-0000C56C0000}"/>
    <cellStyle name="Total 2 3 3 4 2 3" xfId="19404" xr:uid="{00000000-0005-0000-0000-0000C66C0000}"/>
    <cellStyle name="Total 2 3 3 4 3" xfId="14912" xr:uid="{00000000-0005-0000-0000-0000C76C0000}"/>
    <cellStyle name="Total 2 3 3 4 3 2" xfId="29744" xr:uid="{00000000-0005-0000-0000-0000C86C0000}"/>
    <cellStyle name="Total 2 3 3 4 4" xfId="11348" xr:uid="{00000000-0005-0000-0000-0000C96C0000}"/>
    <cellStyle name="Total 2 3 3 4 4 2" xfId="26180" xr:uid="{00000000-0005-0000-0000-0000CA6C0000}"/>
    <cellStyle name="Total 2 3 3 5" xfId="2575" xr:uid="{00000000-0005-0000-0000-0000CB6C0000}"/>
    <cellStyle name="Total 2 3 3 5 2" xfId="6681" xr:uid="{00000000-0005-0000-0000-0000CC6C0000}"/>
    <cellStyle name="Total 2 3 3 5 2 2" xfId="16639" xr:uid="{00000000-0005-0000-0000-0000CD6C0000}"/>
    <cellStyle name="Total 2 3 3 5 2 2 2" xfId="31471" xr:uid="{00000000-0005-0000-0000-0000CE6C0000}"/>
    <cellStyle name="Total 2 3 3 5 2 3" xfId="18692" xr:uid="{00000000-0005-0000-0000-0000CF6C0000}"/>
    <cellStyle name="Total 2 3 3 5 3" xfId="12913" xr:uid="{00000000-0005-0000-0000-0000D06C0000}"/>
    <cellStyle name="Total 2 3 3 5 3 2" xfId="27745" xr:uid="{00000000-0005-0000-0000-0000D16C0000}"/>
    <cellStyle name="Total 2 3 3 5 4" xfId="10289" xr:uid="{00000000-0005-0000-0000-0000D26C0000}"/>
    <cellStyle name="Total 2 3 3 5 4 2" xfId="25121" xr:uid="{00000000-0005-0000-0000-0000D36C0000}"/>
    <cellStyle name="Total 2 3 3 6" xfId="5698" xr:uid="{00000000-0005-0000-0000-0000D46C0000}"/>
    <cellStyle name="Total 2 3 3 6 2" xfId="15933" xr:uid="{00000000-0005-0000-0000-0000D56C0000}"/>
    <cellStyle name="Total 2 3 3 6 2 2" xfId="30765" xr:uid="{00000000-0005-0000-0000-0000D66C0000}"/>
    <cellStyle name="Total 2 3 3 6 3" xfId="18334" xr:uid="{00000000-0005-0000-0000-0000D76C0000}"/>
    <cellStyle name="Total 2 3 3 7" xfId="11953" xr:uid="{00000000-0005-0000-0000-0000D86C0000}"/>
    <cellStyle name="Total 2 3 3 7 2" xfId="26785" xr:uid="{00000000-0005-0000-0000-0000D96C0000}"/>
    <cellStyle name="Total 2 3 3 8" xfId="9611" xr:uid="{00000000-0005-0000-0000-0000DA6C0000}"/>
    <cellStyle name="Total 2 3 3 8 2" xfId="19913" xr:uid="{00000000-0005-0000-0000-0000DB6C0000}"/>
    <cellStyle name="Total 2 3 4" xfId="1593" xr:uid="{00000000-0005-0000-0000-0000DC6C0000}"/>
    <cellStyle name="Total 2 3 4 2" xfId="2090" xr:uid="{00000000-0005-0000-0000-0000DD6C0000}"/>
    <cellStyle name="Total 2 3 4 2 2" xfId="3412" xr:uid="{00000000-0005-0000-0000-0000DE6C0000}"/>
    <cellStyle name="Total 2 3 4 2 2 2" xfId="7475" xr:uid="{00000000-0005-0000-0000-0000DF6C0000}"/>
    <cellStyle name="Total 2 3 4 2 2 2 2" xfId="17174" xr:uid="{00000000-0005-0000-0000-0000E06C0000}"/>
    <cellStyle name="Total 2 3 4 2 2 2 2 2" xfId="32006" xr:uid="{00000000-0005-0000-0000-0000E16C0000}"/>
    <cellStyle name="Total 2 3 4 2 2 2 3" xfId="19024" xr:uid="{00000000-0005-0000-0000-0000E26C0000}"/>
    <cellStyle name="Total 2 3 4 2 2 3" xfId="13749" xr:uid="{00000000-0005-0000-0000-0000E36C0000}"/>
    <cellStyle name="Total 2 3 4 2 2 3 2" xfId="28581" xr:uid="{00000000-0005-0000-0000-0000E46C0000}"/>
    <cellStyle name="Total 2 3 4 2 2 4" xfId="10793" xr:uid="{00000000-0005-0000-0000-0000E56C0000}"/>
    <cellStyle name="Total 2 3 4 2 2 4 2" xfId="25625" xr:uid="{00000000-0005-0000-0000-0000E66C0000}"/>
    <cellStyle name="Total 2 3 4 2 3" xfId="5058" xr:uid="{00000000-0005-0000-0000-0000E76C0000}"/>
    <cellStyle name="Total 2 3 4 2 3 2" xfId="9097" xr:uid="{00000000-0005-0000-0000-0000E86C0000}"/>
    <cellStyle name="Total 2 3 4 2 3 2 2" xfId="18030" xr:uid="{00000000-0005-0000-0000-0000E96C0000}"/>
    <cellStyle name="Total 2 3 4 2 3 2 2 2" xfId="32862" xr:uid="{00000000-0005-0000-0000-0000EA6C0000}"/>
    <cellStyle name="Total 2 3 4 2 3 2 3" xfId="19596" xr:uid="{00000000-0005-0000-0000-0000EB6C0000}"/>
    <cellStyle name="Total 2 3 4 2 3 3" xfId="15379" xr:uid="{00000000-0005-0000-0000-0000EC6C0000}"/>
    <cellStyle name="Total 2 3 4 2 3 3 2" xfId="30211" xr:uid="{00000000-0005-0000-0000-0000ED6C0000}"/>
    <cellStyle name="Total 2 3 4 2 3 4" xfId="11630" xr:uid="{00000000-0005-0000-0000-0000EE6C0000}"/>
    <cellStyle name="Total 2 3 4 2 3 4 2" xfId="26462" xr:uid="{00000000-0005-0000-0000-0000EF6C0000}"/>
    <cellStyle name="Total 2 3 4 2 4" xfId="3048" xr:uid="{00000000-0005-0000-0000-0000F06C0000}"/>
    <cellStyle name="Total 2 3 4 2 4 2" xfId="7123" xr:uid="{00000000-0005-0000-0000-0000F16C0000}"/>
    <cellStyle name="Total 2 3 4 2 4 2 2" xfId="16921" xr:uid="{00000000-0005-0000-0000-0000F26C0000}"/>
    <cellStyle name="Total 2 3 4 2 4 2 2 2" xfId="31753" xr:uid="{00000000-0005-0000-0000-0000F36C0000}"/>
    <cellStyle name="Total 2 3 4 2 4 2 3" xfId="18889" xr:uid="{00000000-0005-0000-0000-0000F46C0000}"/>
    <cellStyle name="Total 2 3 4 2 4 3" xfId="13386" xr:uid="{00000000-0005-0000-0000-0000F56C0000}"/>
    <cellStyle name="Total 2 3 4 2 4 3 2" xfId="28218" xr:uid="{00000000-0005-0000-0000-0000F66C0000}"/>
    <cellStyle name="Total 2 3 4 2 4 4" xfId="10577" xr:uid="{00000000-0005-0000-0000-0000F76C0000}"/>
    <cellStyle name="Total 2 3 4 2 4 4 2" xfId="25409" xr:uid="{00000000-0005-0000-0000-0000F86C0000}"/>
    <cellStyle name="Total 2 3 4 2 5" xfId="6215" xr:uid="{00000000-0005-0000-0000-0000F96C0000}"/>
    <cellStyle name="Total 2 3 4 2 5 2" xfId="16401" xr:uid="{00000000-0005-0000-0000-0000FA6C0000}"/>
    <cellStyle name="Total 2 3 4 2 5 2 2" xfId="31233" xr:uid="{00000000-0005-0000-0000-0000FB6C0000}"/>
    <cellStyle name="Total 2 3 4 2 5 3" xfId="18530" xr:uid="{00000000-0005-0000-0000-0000FC6C0000}"/>
    <cellStyle name="Total 2 3 4 2 6" xfId="12471" xr:uid="{00000000-0005-0000-0000-0000FD6C0000}"/>
    <cellStyle name="Total 2 3 4 2 6 2" xfId="27303" xr:uid="{00000000-0005-0000-0000-0000FE6C0000}"/>
    <cellStyle name="Total 2 3 4 2 7" xfId="10053" xr:uid="{00000000-0005-0000-0000-0000FF6C0000}"/>
    <cellStyle name="Total 2 3 4 2 7 2" xfId="24885" xr:uid="{00000000-0005-0000-0000-0000006D0000}"/>
    <cellStyle name="Total 2 3 4 3" xfId="4319" xr:uid="{00000000-0005-0000-0000-0000016D0000}"/>
    <cellStyle name="Total 2 3 4 3 2" xfId="8358" xr:uid="{00000000-0005-0000-0000-0000026D0000}"/>
    <cellStyle name="Total 2 3 4 3 2 2" xfId="17636" xr:uid="{00000000-0005-0000-0000-0000036D0000}"/>
    <cellStyle name="Total 2 3 4 3 2 2 2" xfId="32468" xr:uid="{00000000-0005-0000-0000-0000046D0000}"/>
    <cellStyle name="Total 2 3 4 3 2 3" xfId="19338" xr:uid="{00000000-0005-0000-0000-0000056D0000}"/>
    <cellStyle name="Total 2 3 4 3 3" xfId="14650" xr:uid="{00000000-0005-0000-0000-0000066D0000}"/>
    <cellStyle name="Total 2 3 4 3 3 2" xfId="29482" xr:uid="{00000000-0005-0000-0000-0000076D0000}"/>
    <cellStyle name="Total 2 3 4 3 4" xfId="11246" xr:uid="{00000000-0005-0000-0000-0000086D0000}"/>
    <cellStyle name="Total 2 3 4 3 4 2" xfId="26078" xr:uid="{00000000-0005-0000-0000-0000096D0000}"/>
    <cellStyle name="Total 2 3 4 4" xfId="4638" xr:uid="{00000000-0005-0000-0000-00000A6D0000}"/>
    <cellStyle name="Total 2 3 4 4 2" xfId="8677" xr:uid="{00000000-0005-0000-0000-00000B6D0000}"/>
    <cellStyle name="Total 2 3 4 4 2 2" xfId="17790" xr:uid="{00000000-0005-0000-0000-00000C6D0000}"/>
    <cellStyle name="Total 2 3 4 4 2 2 2" xfId="32622" xr:uid="{00000000-0005-0000-0000-00000D6D0000}"/>
    <cellStyle name="Total 2 3 4 4 2 3" xfId="19436" xr:uid="{00000000-0005-0000-0000-00000E6D0000}"/>
    <cellStyle name="Total 2 3 4 4 3" xfId="14964" xr:uid="{00000000-0005-0000-0000-00000F6D0000}"/>
    <cellStyle name="Total 2 3 4 4 3 2" xfId="29796" xr:uid="{00000000-0005-0000-0000-0000106D0000}"/>
    <cellStyle name="Total 2 3 4 4 4" xfId="11395" xr:uid="{00000000-0005-0000-0000-0000116D0000}"/>
    <cellStyle name="Total 2 3 4 4 4 2" xfId="26227" xr:uid="{00000000-0005-0000-0000-0000126D0000}"/>
    <cellStyle name="Total 2 3 4 5" xfId="2628" xr:uid="{00000000-0005-0000-0000-0000136D0000}"/>
    <cellStyle name="Total 2 3 4 5 2" xfId="6729" xr:uid="{00000000-0005-0000-0000-0000146D0000}"/>
    <cellStyle name="Total 2 3 4 5 2 2" xfId="16686" xr:uid="{00000000-0005-0000-0000-0000156D0000}"/>
    <cellStyle name="Total 2 3 4 5 2 2 2" xfId="31518" xr:uid="{00000000-0005-0000-0000-0000166D0000}"/>
    <cellStyle name="Total 2 3 4 5 2 3" xfId="18725" xr:uid="{00000000-0005-0000-0000-0000176D0000}"/>
    <cellStyle name="Total 2 3 4 5 3" xfId="12966" xr:uid="{00000000-0005-0000-0000-0000186D0000}"/>
    <cellStyle name="Total 2 3 4 5 3 2" xfId="27798" xr:uid="{00000000-0005-0000-0000-0000196D0000}"/>
    <cellStyle name="Total 2 3 4 5 4" xfId="10337" xr:uid="{00000000-0005-0000-0000-00001A6D0000}"/>
    <cellStyle name="Total 2 3 4 5 4 2" xfId="25169" xr:uid="{00000000-0005-0000-0000-00001B6D0000}"/>
    <cellStyle name="Total 2 3 4 6" xfId="5745" xr:uid="{00000000-0005-0000-0000-00001C6D0000}"/>
    <cellStyle name="Total 2 3 4 6 2" xfId="15980" xr:uid="{00000000-0005-0000-0000-00001D6D0000}"/>
    <cellStyle name="Total 2 3 4 6 2 2" xfId="30812" xr:uid="{00000000-0005-0000-0000-00001E6D0000}"/>
    <cellStyle name="Total 2 3 4 6 3" xfId="18366" xr:uid="{00000000-0005-0000-0000-00001F6D0000}"/>
    <cellStyle name="Total 2 3 4 7" xfId="12000" xr:uid="{00000000-0005-0000-0000-0000206D0000}"/>
    <cellStyle name="Total 2 3 4 7 2" xfId="26832" xr:uid="{00000000-0005-0000-0000-0000216D0000}"/>
    <cellStyle name="Total 2 3 4 8" xfId="9659" xr:uid="{00000000-0005-0000-0000-0000226D0000}"/>
    <cellStyle name="Total 2 3 4 8 2" xfId="19960" xr:uid="{00000000-0005-0000-0000-0000236D0000}"/>
    <cellStyle name="Total 2 3 5" xfId="1643" xr:uid="{00000000-0005-0000-0000-0000246D0000}"/>
    <cellStyle name="Total 2 3 5 2" xfId="2140" xr:uid="{00000000-0005-0000-0000-0000256D0000}"/>
    <cellStyle name="Total 2 3 5 2 2" xfId="3595" xr:uid="{00000000-0005-0000-0000-0000266D0000}"/>
    <cellStyle name="Total 2 3 5 2 2 2" xfId="7657" xr:uid="{00000000-0005-0000-0000-0000276D0000}"/>
    <cellStyle name="Total 2 3 5 2 2 2 2" xfId="17276" xr:uid="{00000000-0005-0000-0000-0000286D0000}"/>
    <cellStyle name="Total 2 3 5 2 2 2 2 2" xfId="32108" xr:uid="{00000000-0005-0000-0000-0000296D0000}"/>
    <cellStyle name="Total 2 3 5 2 2 2 3" xfId="19095" xr:uid="{00000000-0005-0000-0000-00002A6D0000}"/>
    <cellStyle name="Total 2 3 5 2 2 3" xfId="13931" xr:uid="{00000000-0005-0000-0000-00002B6D0000}"/>
    <cellStyle name="Total 2 3 5 2 2 3 2" xfId="28763" xr:uid="{00000000-0005-0000-0000-00002C6D0000}"/>
    <cellStyle name="Total 2 3 5 2 2 4" xfId="10893" xr:uid="{00000000-0005-0000-0000-00002D6D0000}"/>
    <cellStyle name="Total 2 3 5 2 2 4 2" xfId="25725" xr:uid="{00000000-0005-0000-0000-00002E6D0000}"/>
    <cellStyle name="Total 2 3 5 2 3" xfId="5108" xr:uid="{00000000-0005-0000-0000-00002F6D0000}"/>
    <cellStyle name="Total 2 3 5 2 3 2" xfId="9147" xr:uid="{00000000-0005-0000-0000-0000306D0000}"/>
    <cellStyle name="Total 2 3 5 2 3 2 2" xfId="18075" xr:uid="{00000000-0005-0000-0000-0000316D0000}"/>
    <cellStyle name="Total 2 3 5 2 3 2 2 2" xfId="32907" xr:uid="{00000000-0005-0000-0000-0000326D0000}"/>
    <cellStyle name="Total 2 3 5 2 3 2 3" xfId="19628" xr:uid="{00000000-0005-0000-0000-0000336D0000}"/>
    <cellStyle name="Total 2 3 5 2 3 3" xfId="15428" xr:uid="{00000000-0005-0000-0000-0000346D0000}"/>
    <cellStyle name="Total 2 3 5 2 3 3 2" xfId="30260" xr:uid="{00000000-0005-0000-0000-0000356D0000}"/>
    <cellStyle name="Total 2 3 5 2 3 4" xfId="11674" xr:uid="{00000000-0005-0000-0000-0000366D0000}"/>
    <cellStyle name="Total 2 3 5 2 3 4 2" xfId="26506" xr:uid="{00000000-0005-0000-0000-0000376D0000}"/>
    <cellStyle name="Total 2 3 5 2 4" xfId="3098" xr:uid="{00000000-0005-0000-0000-0000386D0000}"/>
    <cellStyle name="Total 2 3 5 2 4 2" xfId="7168" xr:uid="{00000000-0005-0000-0000-0000396D0000}"/>
    <cellStyle name="Total 2 3 5 2 4 2 2" xfId="16965" xr:uid="{00000000-0005-0000-0000-00003A6D0000}"/>
    <cellStyle name="Total 2 3 5 2 4 2 2 2" xfId="31797" xr:uid="{00000000-0005-0000-0000-00003B6D0000}"/>
    <cellStyle name="Total 2 3 5 2 4 2 3" xfId="18922" xr:uid="{00000000-0005-0000-0000-00003C6D0000}"/>
    <cellStyle name="Total 2 3 5 2 4 3" xfId="13436" xr:uid="{00000000-0005-0000-0000-00003D6D0000}"/>
    <cellStyle name="Total 2 3 5 2 4 3 2" xfId="28268" xr:uid="{00000000-0005-0000-0000-00003E6D0000}"/>
    <cellStyle name="Total 2 3 5 2 4 4" xfId="10622" xr:uid="{00000000-0005-0000-0000-00003F6D0000}"/>
    <cellStyle name="Total 2 3 5 2 4 4 2" xfId="25454" xr:uid="{00000000-0005-0000-0000-0000406D0000}"/>
    <cellStyle name="Total 2 3 5 2 5" xfId="6260" xr:uid="{00000000-0005-0000-0000-0000416D0000}"/>
    <cellStyle name="Total 2 3 5 2 5 2" xfId="16445" xr:uid="{00000000-0005-0000-0000-0000426D0000}"/>
    <cellStyle name="Total 2 3 5 2 5 2 2" xfId="31277" xr:uid="{00000000-0005-0000-0000-0000436D0000}"/>
    <cellStyle name="Total 2 3 5 2 5 3" xfId="18563" xr:uid="{00000000-0005-0000-0000-0000446D0000}"/>
    <cellStyle name="Total 2 3 5 2 6" xfId="12515" xr:uid="{00000000-0005-0000-0000-0000456D0000}"/>
    <cellStyle name="Total 2 3 5 2 6 2" xfId="27347" xr:uid="{00000000-0005-0000-0000-0000466D0000}"/>
    <cellStyle name="Total 2 3 5 2 7" xfId="10097" xr:uid="{00000000-0005-0000-0000-0000476D0000}"/>
    <cellStyle name="Total 2 3 5 2 7 2" xfId="24929" xr:uid="{00000000-0005-0000-0000-0000486D0000}"/>
    <cellStyle name="Total 2 3 5 3" xfId="4021" xr:uid="{00000000-0005-0000-0000-0000496D0000}"/>
    <cellStyle name="Total 2 3 5 3 2" xfId="8068" xr:uid="{00000000-0005-0000-0000-00004A6D0000}"/>
    <cellStyle name="Total 2 3 5 3 2 2" xfId="17479" xr:uid="{00000000-0005-0000-0000-00004B6D0000}"/>
    <cellStyle name="Total 2 3 5 3 2 2 2" xfId="32311" xr:uid="{00000000-0005-0000-0000-00004C6D0000}"/>
    <cellStyle name="Total 2 3 5 3 2 3" xfId="19237" xr:uid="{00000000-0005-0000-0000-00004D6D0000}"/>
    <cellStyle name="Total 2 3 5 3 3" xfId="14353" xr:uid="{00000000-0005-0000-0000-00004E6D0000}"/>
    <cellStyle name="Total 2 3 5 3 3 2" xfId="29185" xr:uid="{00000000-0005-0000-0000-00004F6D0000}"/>
    <cellStyle name="Total 2 3 5 3 4" xfId="11095" xr:uid="{00000000-0005-0000-0000-0000506D0000}"/>
    <cellStyle name="Total 2 3 5 3 4 2" xfId="25927" xr:uid="{00000000-0005-0000-0000-0000516D0000}"/>
    <cellStyle name="Total 2 3 5 4" xfId="4688" xr:uid="{00000000-0005-0000-0000-0000526D0000}"/>
    <cellStyle name="Total 2 3 5 4 2" xfId="8727" xr:uid="{00000000-0005-0000-0000-0000536D0000}"/>
    <cellStyle name="Total 2 3 5 4 2 2" xfId="17835" xr:uid="{00000000-0005-0000-0000-0000546D0000}"/>
    <cellStyle name="Total 2 3 5 4 2 2 2" xfId="32667" xr:uid="{00000000-0005-0000-0000-0000556D0000}"/>
    <cellStyle name="Total 2 3 5 4 2 3" xfId="19468" xr:uid="{00000000-0005-0000-0000-0000566D0000}"/>
    <cellStyle name="Total 2 3 5 4 3" xfId="15013" xr:uid="{00000000-0005-0000-0000-0000576D0000}"/>
    <cellStyle name="Total 2 3 5 4 3 2" xfId="29845" xr:uid="{00000000-0005-0000-0000-0000586D0000}"/>
    <cellStyle name="Total 2 3 5 4 4" xfId="11439" xr:uid="{00000000-0005-0000-0000-0000596D0000}"/>
    <cellStyle name="Total 2 3 5 4 4 2" xfId="26271" xr:uid="{00000000-0005-0000-0000-00005A6D0000}"/>
    <cellStyle name="Total 2 3 5 5" xfId="2678" xr:uid="{00000000-0005-0000-0000-00005B6D0000}"/>
    <cellStyle name="Total 2 3 5 5 2" xfId="6774" xr:uid="{00000000-0005-0000-0000-00005C6D0000}"/>
    <cellStyle name="Total 2 3 5 5 2 2" xfId="16730" xr:uid="{00000000-0005-0000-0000-00005D6D0000}"/>
    <cellStyle name="Total 2 3 5 5 2 2 2" xfId="31562" xr:uid="{00000000-0005-0000-0000-00005E6D0000}"/>
    <cellStyle name="Total 2 3 5 5 2 3" xfId="18758" xr:uid="{00000000-0005-0000-0000-00005F6D0000}"/>
    <cellStyle name="Total 2 3 5 5 3" xfId="13016" xr:uid="{00000000-0005-0000-0000-0000606D0000}"/>
    <cellStyle name="Total 2 3 5 5 3 2" xfId="27848" xr:uid="{00000000-0005-0000-0000-0000616D0000}"/>
    <cellStyle name="Total 2 3 5 5 4" xfId="10382" xr:uid="{00000000-0005-0000-0000-0000626D0000}"/>
    <cellStyle name="Total 2 3 5 5 4 2" xfId="25214" xr:uid="{00000000-0005-0000-0000-0000636D0000}"/>
    <cellStyle name="Total 2 3 5 6" xfId="5790" xr:uid="{00000000-0005-0000-0000-0000646D0000}"/>
    <cellStyle name="Total 2 3 5 6 2" xfId="16024" xr:uid="{00000000-0005-0000-0000-0000656D0000}"/>
    <cellStyle name="Total 2 3 5 6 2 2" xfId="30856" xr:uid="{00000000-0005-0000-0000-0000666D0000}"/>
    <cellStyle name="Total 2 3 5 6 3" xfId="18399" xr:uid="{00000000-0005-0000-0000-0000676D0000}"/>
    <cellStyle name="Total 2 3 5 7" xfId="12044" xr:uid="{00000000-0005-0000-0000-0000686D0000}"/>
    <cellStyle name="Total 2 3 5 7 2" xfId="26876" xr:uid="{00000000-0005-0000-0000-0000696D0000}"/>
    <cellStyle name="Total 2 3 5 8" xfId="9704" xr:uid="{00000000-0005-0000-0000-00006A6D0000}"/>
    <cellStyle name="Total 2 3 5 8 2" xfId="20004" xr:uid="{00000000-0005-0000-0000-00006B6D0000}"/>
    <cellStyle name="Total 2 3 6" xfId="1794" xr:uid="{00000000-0005-0000-0000-00006C6D0000}"/>
    <cellStyle name="Total 2 3 6 2" xfId="3884" xr:uid="{00000000-0005-0000-0000-00006D6D0000}"/>
    <cellStyle name="Total 2 3 6 2 2" xfId="7935" xr:uid="{00000000-0005-0000-0000-00006E6D0000}"/>
    <cellStyle name="Total 2 3 6 2 2 2" xfId="17410" xr:uid="{00000000-0005-0000-0000-00006F6D0000}"/>
    <cellStyle name="Total 2 3 6 2 2 2 2" xfId="32242" xr:uid="{00000000-0005-0000-0000-0000706D0000}"/>
    <cellStyle name="Total 2 3 6 2 2 3" xfId="19186" xr:uid="{00000000-0005-0000-0000-0000716D0000}"/>
    <cellStyle name="Total 2 3 6 2 3" xfId="14218" xr:uid="{00000000-0005-0000-0000-0000726D0000}"/>
    <cellStyle name="Total 2 3 6 2 3 2" xfId="29050" xr:uid="{00000000-0005-0000-0000-0000736D0000}"/>
    <cellStyle name="Total 2 3 6 2 4" xfId="11027" xr:uid="{00000000-0005-0000-0000-0000746D0000}"/>
    <cellStyle name="Total 2 3 6 2 4 2" xfId="25859" xr:uid="{00000000-0005-0000-0000-0000756D0000}"/>
    <cellStyle name="Total 2 3 6 3" xfId="4772" xr:uid="{00000000-0005-0000-0000-0000766D0000}"/>
    <cellStyle name="Total 2 3 6 3 2" xfId="8811" xr:uid="{00000000-0005-0000-0000-0000776D0000}"/>
    <cellStyle name="Total 2 3 6 3 2 2" xfId="17883" xr:uid="{00000000-0005-0000-0000-0000786D0000}"/>
    <cellStyle name="Total 2 3 6 3 2 2 2" xfId="32715" xr:uid="{00000000-0005-0000-0000-0000796D0000}"/>
    <cellStyle name="Total 2 3 6 3 2 3" xfId="19500" xr:uid="{00000000-0005-0000-0000-00007A6D0000}"/>
    <cellStyle name="Total 2 3 6 3 3" xfId="15096" xr:uid="{00000000-0005-0000-0000-00007B6D0000}"/>
    <cellStyle name="Total 2 3 6 3 3 2" xfId="29928" xr:uid="{00000000-0005-0000-0000-00007C6D0000}"/>
    <cellStyle name="Total 2 3 6 3 4" xfId="11486" xr:uid="{00000000-0005-0000-0000-00007D6D0000}"/>
    <cellStyle name="Total 2 3 6 3 4 2" xfId="26318" xr:uid="{00000000-0005-0000-0000-00007E6D0000}"/>
    <cellStyle name="Total 2 3 6 4" xfId="2762" xr:uid="{00000000-0005-0000-0000-00007F6D0000}"/>
    <cellStyle name="Total 2 3 6 4 2" xfId="6853" xr:uid="{00000000-0005-0000-0000-0000806D0000}"/>
    <cellStyle name="Total 2 3 6 4 2 2" xfId="16777" xr:uid="{00000000-0005-0000-0000-0000816D0000}"/>
    <cellStyle name="Total 2 3 6 4 2 2 2" xfId="31609" xr:uid="{00000000-0005-0000-0000-0000826D0000}"/>
    <cellStyle name="Total 2 3 6 4 2 3" xfId="18791" xr:uid="{00000000-0005-0000-0000-0000836D0000}"/>
    <cellStyle name="Total 2 3 6 4 3" xfId="13100" xr:uid="{00000000-0005-0000-0000-0000846D0000}"/>
    <cellStyle name="Total 2 3 6 4 3 2" xfId="27932" xr:uid="{00000000-0005-0000-0000-0000856D0000}"/>
    <cellStyle name="Total 2 3 6 4 4" xfId="10430" xr:uid="{00000000-0005-0000-0000-0000866D0000}"/>
    <cellStyle name="Total 2 3 6 4 4 2" xfId="25262" xr:uid="{00000000-0005-0000-0000-0000876D0000}"/>
    <cellStyle name="Total 2 3 6 5" xfId="5926" xr:uid="{00000000-0005-0000-0000-0000886D0000}"/>
    <cellStyle name="Total 2 3 6 5 2" xfId="16118" xr:uid="{00000000-0005-0000-0000-0000896D0000}"/>
    <cellStyle name="Total 2 3 6 5 2 2" xfId="30950" xr:uid="{00000000-0005-0000-0000-00008A6D0000}"/>
    <cellStyle name="Total 2 3 6 5 3" xfId="18433" xr:uid="{00000000-0005-0000-0000-00008B6D0000}"/>
    <cellStyle name="Total 2 3 6 6" xfId="12188" xr:uid="{00000000-0005-0000-0000-00008C6D0000}"/>
    <cellStyle name="Total 2 3 6 6 2" xfId="27020" xr:uid="{00000000-0005-0000-0000-00008D6D0000}"/>
    <cellStyle name="Total 2 3 6 7" xfId="9784" xr:uid="{00000000-0005-0000-0000-00008E6D0000}"/>
    <cellStyle name="Total 2 3 6 7 2" xfId="24741" xr:uid="{00000000-0005-0000-0000-00008F6D0000}"/>
    <cellStyle name="Total 2 3 7" xfId="2172" xr:uid="{00000000-0005-0000-0000-0000906D0000}"/>
    <cellStyle name="Total 2 3 7 2" xfId="3539" xr:uid="{00000000-0005-0000-0000-0000916D0000}"/>
    <cellStyle name="Total 2 3 7 2 2" xfId="7601" xr:uid="{00000000-0005-0000-0000-0000926D0000}"/>
    <cellStyle name="Total 2 3 7 2 2 2" xfId="17245" xr:uid="{00000000-0005-0000-0000-0000936D0000}"/>
    <cellStyle name="Total 2 3 7 2 2 2 2" xfId="32077" xr:uid="{00000000-0005-0000-0000-0000946D0000}"/>
    <cellStyle name="Total 2 3 7 2 2 3" xfId="19071" xr:uid="{00000000-0005-0000-0000-0000956D0000}"/>
    <cellStyle name="Total 2 3 7 2 3" xfId="13875" xr:uid="{00000000-0005-0000-0000-0000966D0000}"/>
    <cellStyle name="Total 2 3 7 2 3 2" xfId="28707" xr:uid="{00000000-0005-0000-0000-0000976D0000}"/>
    <cellStyle name="Total 2 3 7 2 4" xfId="10862" xr:uid="{00000000-0005-0000-0000-0000986D0000}"/>
    <cellStyle name="Total 2 3 7 2 4 2" xfId="25694" xr:uid="{00000000-0005-0000-0000-0000996D0000}"/>
    <cellStyle name="Total 2 3 7 3" xfId="5140" xr:uid="{00000000-0005-0000-0000-00009A6D0000}"/>
    <cellStyle name="Total 2 3 7 3 2" xfId="9179" xr:uid="{00000000-0005-0000-0000-00009B6D0000}"/>
    <cellStyle name="Total 2 3 7 3 2 2" xfId="18102" xr:uid="{00000000-0005-0000-0000-00009C6D0000}"/>
    <cellStyle name="Total 2 3 7 3 2 2 2" xfId="32934" xr:uid="{00000000-0005-0000-0000-00009D6D0000}"/>
    <cellStyle name="Total 2 3 7 3 2 3" xfId="19653" xr:uid="{00000000-0005-0000-0000-00009E6D0000}"/>
    <cellStyle name="Total 2 3 7 3 3" xfId="15458" xr:uid="{00000000-0005-0000-0000-00009F6D0000}"/>
    <cellStyle name="Total 2 3 7 3 3 2" xfId="30290" xr:uid="{00000000-0005-0000-0000-0000A06D0000}"/>
    <cellStyle name="Total 2 3 7 3 4" xfId="11699" xr:uid="{00000000-0005-0000-0000-0000A16D0000}"/>
    <cellStyle name="Total 2 3 7 3 4 2" xfId="26531" xr:uid="{00000000-0005-0000-0000-0000A26D0000}"/>
    <cellStyle name="Total 2 3 7 4" xfId="4170" xr:uid="{00000000-0005-0000-0000-0000A36D0000}"/>
    <cellStyle name="Total 2 3 7 4 2" xfId="8211" xr:uid="{00000000-0005-0000-0000-0000A46D0000}"/>
    <cellStyle name="Total 2 3 7 4 2 2" xfId="17558" xr:uid="{00000000-0005-0000-0000-0000A56D0000}"/>
    <cellStyle name="Total 2 3 7 4 2 2 2" xfId="32390" xr:uid="{00000000-0005-0000-0000-0000A66D0000}"/>
    <cellStyle name="Total 2 3 7 4 2 3" xfId="19296" xr:uid="{00000000-0005-0000-0000-0000A76D0000}"/>
    <cellStyle name="Total 2 3 7 4 3" xfId="14502" xr:uid="{00000000-0005-0000-0000-0000A86D0000}"/>
    <cellStyle name="Total 2 3 7 4 3 2" xfId="29334" xr:uid="{00000000-0005-0000-0000-0000A96D0000}"/>
    <cellStyle name="Total 2 3 7 4 4" xfId="11178" xr:uid="{00000000-0005-0000-0000-0000AA6D0000}"/>
    <cellStyle name="Total 2 3 7 4 4 2" xfId="26010" xr:uid="{00000000-0005-0000-0000-0000AB6D0000}"/>
    <cellStyle name="Total 2 3 7 5" xfId="6286" xr:uid="{00000000-0005-0000-0000-0000AC6D0000}"/>
    <cellStyle name="Total 2 3 7 5 2" xfId="16470" xr:uid="{00000000-0005-0000-0000-0000AD6D0000}"/>
    <cellStyle name="Total 2 3 7 5 2 2" xfId="31302" xr:uid="{00000000-0005-0000-0000-0000AE6D0000}"/>
    <cellStyle name="Total 2 3 7 5 3" xfId="18589" xr:uid="{00000000-0005-0000-0000-0000AF6D0000}"/>
    <cellStyle name="Total 2 3 7 6" xfId="12540" xr:uid="{00000000-0005-0000-0000-0000B06D0000}"/>
    <cellStyle name="Total 2 3 7 6 2" xfId="27372" xr:uid="{00000000-0005-0000-0000-0000B16D0000}"/>
    <cellStyle name="Total 2 3 7 7" xfId="10122" xr:uid="{00000000-0005-0000-0000-0000B26D0000}"/>
    <cellStyle name="Total 2 3 7 7 2" xfId="24954" xr:uid="{00000000-0005-0000-0000-0000B36D0000}"/>
    <cellStyle name="Total 2 3 8" xfId="3319" xr:uid="{00000000-0005-0000-0000-0000B46D0000}"/>
    <cellStyle name="Total 2 3 8 2" xfId="7382" xr:uid="{00000000-0005-0000-0000-0000B56D0000}"/>
    <cellStyle name="Total 2 3 8 2 2" xfId="17116" xr:uid="{00000000-0005-0000-0000-0000B66D0000}"/>
    <cellStyle name="Total 2 3 8 2 2 2" xfId="31948" xr:uid="{00000000-0005-0000-0000-0000B76D0000}"/>
    <cellStyle name="Total 2 3 8 2 3" xfId="18996" xr:uid="{00000000-0005-0000-0000-0000B86D0000}"/>
    <cellStyle name="Total 2 3 8 3" xfId="13656" xr:uid="{00000000-0005-0000-0000-0000B96D0000}"/>
    <cellStyle name="Total 2 3 8 3 2" xfId="28488" xr:uid="{00000000-0005-0000-0000-0000BA6D0000}"/>
    <cellStyle name="Total 2 3 8 4" xfId="10737" xr:uid="{00000000-0005-0000-0000-0000BB6D0000}"/>
    <cellStyle name="Total 2 3 8 4 2" xfId="25569" xr:uid="{00000000-0005-0000-0000-0000BC6D0000}"/>
    <cellStyle name="Total 2 3 9" xfId="4309" xr:uid="{00000000-0005-0000-0000-0000BD6D0000}"/>
    <cellStyle name="Total 2 3 9 2" xfId="8348" xr:uid="{00000000-0005-0000-0000-0000BE6D0000}"/>
    <cellStyle name="Total 2 3 9 2 2" xfId="17627" xr:uid="{00000000-0005-0000-0000-0000BF6D0000}"/>
    <cellStyle name="Total 2 3 9 2 2 2" xfId="32459" xr:uid="{00000000-0005-0000-0000-0000C06D0000}"/>
    <cellStyle name="Total 2 3 9 2 3" xfId="19330" xr:uid="{00000000-0005-0000-0000-0000C16D0000}"/>
    <cellStyle name="Total 2 3 9 3" xfId="14640" xr:uid="{00000000-0005-0000-0000-0000C26D0000}"/>
    <cellStyle name="Total 2 3 9 3 2" xfId="29472" xr:uid="{00000000-0005-0000-0000-0000C36D0000}"/>
    <cellStyle name="Total 2 3 9 4" xfId="11237" xr:uid="{00000000-0005-0000-0000-0000C46D0000}"/>
    <cellStyle name="Total 2 3 9 4 2" xfId="26069" xr:uid="{00000000-0005-0000-0000-0000C56D0000}"/>
    <cellStyle name="Total 2 4" xfId="1270" xr:uid="{00000000-0005-0000-0000-0000C66D0000}"/>
    <cellStyle name="Total 2 4 10" xfId="2337" xr:uid="{00000000-0005-0000-0000-0000C76D0000}"/>
    <cellStyle name="Total 2 4 10 2" xfId="6449" xr:uid="{00000000-0005-0000-0000-0000C86D0000}"/>
    <cellStyle name="Total 2 4 10 2 2" xfId="16541" xr:uid="{00000000-0005-0000-0000-0000C96D0000}"/>
    <cellStyle name="Total 2 4 10 2 2 2" xfId="31373" xr:uid="{00000000-0005-0000-0000-0000CA6D0000}"/>
    <cellStyle name="Total 2 4 10 2 3" xfId="18629" xr:uid="{00000000-0005-0000-0000-0000CB6D0000}"/>
    <cellStyle name="Total 2 4 10 3" xfId="12677" xr:uid="{00000000-0005-0000-0000-0000CC6D0000}"/>
    <cellStyle name="Total 2 4 10 3 2" xfId="27509" xr:uid="{00000000-0005-0000-0000-0000CD6D0000}"/>
    <cellStyle name="Total 2 4 10 4" xfId="10192" xr:uid="{00000000-0005-0000-0000-0000CE6D0000}"/>
    <cellStyle name="Total 2 4 10 4 2" xfId="25024" xr:uid="{00000000-0005-0000-0000-0000CF6D0000}"/>
    <cellStyle name="Total 2 4 11" xfId="5299" xr:uid="{00000000-0005-0000-0000-0000D06D0000}"/>
    <cellStyle name="Total 2 4 11 2" xfId="9307" xr:uid="{00000000-0005-0000-0000-0000D16D0000}"/>
    <cellStyle name="Total 2 4 11 2 2" xfId="18174" xr:uid="{00000000-0005-0000-0000-0000D26D0000}"/>
    <cellStyle name="Total 2 4 11 2 2 2" xfId="33006" xr:uid="{00000000-0005-0000-0000-0000D36D0000}"/>
    <cellStyle name="Total 2 4 11 2 3" xfId="19693" xr:uid="{00000000-0005-0000-0000-0000D46D0000}"/>
    <cellStyle name="Total 2 4 11 3" xfId="15615" xr:uid="{00000000-0005-0000-0000-0000D56D0000}"/>
    <cellStyle name="Total 2 4 11 3 2" xfId="30447" xr:uid="{00000000-0005-0000-0000-0000D66D0000}"/>
    <cellStyle name="Total 2 4 12" xfId="5457" xr:uid="{00000000-0005-0000-0000-0000D76D0000}"/>
    <cellStyle name="Total 2 4 12 2" xfId="15693" xr:uid="{00000000-0005-0000-0000-0000D86D0000}"/>
    <cellStyle name="Total 2 4 12 2 2" xfId="30525" xr:uid="{00000000-0005-0000-0000-0000D96D0000}"/>
    <cellStyle name="Total 2 4 12 3" xfId="18270" xr:uid="{00000000-0005-0000-0000-0000DA6D0000}"/>
    <cellStyle name="Total 2 4 13" xfId="9334" xr:uid="{00000000-0005-0000-0000-0000DB6D0000}"/>
    <cellStyle name="Total 2 4 13 2" xfId="24640" xr:uid="{00000000-0005-0000-0000-0000DC6D0000}"/>
    <cellStyle name="Total 2 4 14" xfId="5323" xr:uid="{00000000-0005-0000-0000-0000DD6D0000}"/>
    <cellStyle name="Total 2 4 14 2" xfId="18197" xr:uid="{00000000-0005-0000-0000-0000DE6D0000}"/>
    <cellStyle name="Total 2 4 2" xfId="1369" xr:uid="{00000000-0005-0000-0000-0000DF6D0000}"/>
    <cellStyle name="Total 2 4 2 2" xfId="1873" xr:uid="{00000000-0005-0000-0000-0000E06D0000}"/>
    <cellStyle name="Total 2 4 2 2 2" xfId="4121" xr:uid="{00000000-0005-0000-0000-0000E16D0000}"/>
    <cellStyle name="Total 2 4 2 2 2 2" xfId="8166" xr:uid="{00000000-0005-0000-0000-0000E26D0000}"/>
    <cellStyle name="Total 2 4 2 2 2 2 2" xfId="17528" xr:uid="{00000000-0005-0000-0000-0000E36D0000}"/>
    <cellStyle name="Total 2 4 2 2 2 2 2 2" xfId="32360" xr:uid="{00000000-0005-0000-0000-0000E46D0000}"/>
    <cellStyle name="Total 2 4 2 2 2 2 3" xfId="19273" xr:uid="{00000000-0005-0000-0000-0000E56D0000}"/>
    <cellStyle name="Total 2 4 2 2 2 3" xfId="14453" xr:uid="{00000000-0005-0000-0000-0000E66D0000}"/>
    <cellStyle name="Total 2 4 2 2 2 3 2" xfId="29285" xr:uid="{00000000-0005-0000-0000-0000E76D0000}"/>
    <cellStyle name="Total 2 4 2 2 2 4" xfId="11146" xr:uid="{00000000-0005-0000-0000-0000E86D0000}"/>
    <cellStyle name="Total 2 4 2 2 2 4 2" xfId="25978" xr:uid="{00000000-0005-0000-0000-0000E96D0000}"/>
    <cellStyle name="Total 2 4 2 2 3" xfId="4851" xr:uid="{00000000-0005-0000-0000-0000EA6D0000}"/>
    <cellStyle name="Total 2 4 2 2 3 2" xfId="8890" xr:uid="{00000000-0005-0000-0000-0000EB6D0000}"/>
    <cellStyle name="Total 2 4 2 2 3 2 2" xfId="17931" xr:uid="{00000000-0005-0000-0000-0000EC6D0000}"/>
    <cellStyle name="Total 2 4 2 2 3 2 2 2" xfId="32763" xr:uid="{00000000-0005-0000-0000-0000ED6D0000}"/>
    <cellStyle name="Total 2 4 2 2 3 2 3" xfId="19533" xr:uid="{00000000-0005-0000-0000-0000EE6D0000}"/>
    <cellStyle name="Total 2 4 2 2 3 3" xfId="15175" xr:uid="{00000000-0005-0000-0000-0000EF6D0000}"/>
    <cellStyle name="Total 2 4 2 2 3 3 2" xfId="30007" xr:uid="{00000000-0005-0000-0000-0000F06D0000}"/>
    <cellStyle name="Total 2 4 2 2 3 4" xfId="11534" xr:uid="{00000000-0005-0000-0000-0000F16D0000}"/>
    <cellStyle name="Total 2 4 2 2 3 4 2" xfId="26366" xr:uid="{00000000-0005-0000-0000-0000F26D0000}"/>
    <cellStyle name="Total 2 4 2 2 4" xfId="2841" xr:uid="{00000000-0005-0000-0000-0000F36D0000}"/>
    <cellStyle name="Total 2 4 2 2 4 2" xfId="6932" xr:uid="{00000000-0005-0000-0000-0000F46D0000}"/>
    <cellStyle name="Total 2 4 2 2 4 2 2" xfId="16825" xr:uid="{00000000-0005-0000-0000-0000F56D0000}"/>
    <cellStyle name="Total 2 4 2 2 4 2 2 2" xfId="31657" xr:uid="{00000000-0005-0000-0000-0000F66D0000}"/>
    <cellStyle name="Total 2 4 2 2 4 2 3" xfId="18824" xr:uid="{00000000-0005-0000-0000-0000F76D0000}"/>
    <cellStyle name="Total 2 4 2 2 4 3" xfId="13179" xr:uid="{00000000-0005-0000-0000-0000F86D0000}"/>
    <cellStyle name="Total 2 4 2 2 4 3 2" xfId="28011" xr:uid="{00000000-0005-0000-0000-0000F96D0000}"/>
    <cellStyle name="Total 2 4 2 2 4 4" xfId="10478" xr:uid="{00000000-0005-0000-0000-0000FA6D0000}"/>
    <cellStyle name="Total 2 4 2 2 4 4 2" xfId="25310" xr:uid="{00000000-0005-0000-0000-0000FB6D0000}"/>
    <cellStyle name="Total 2 4 2 2 5" xfId="6005" xr:uid="{00000000-0005-0000-0000-0000FC6D0000}"/>
    <cellStyle name="Total 2 4 2 2 5 2" xfId="16197" xr:uid="{00000000-0005-0000-0000-0000FD6D0000}"/>
    <cellStyle name="Total 2 4 2 2 5 2 2" xfId="31029" xr:uid="{00000000-0005-0000-0000-0000FE6D0000}"/>
    <cellStyle name="Total 2 4 2 2 5 3" xfId="18466" xr:uid="{00000000-0005-0000-0000-0000FF6D0000}"/>
    <cellStyle name="Total 2 4 2 2 6" xfId="12267" xr:uid="{00000000-0005-0000-0000-0000006E0000}"/>
    <cellStyle name="Total 2 4 2 2 6 2" xfId="27099" xr:uid="{00000000-0005-0000-0000-0000016E0000}"/>
    <cellStyle name="Total 2 4 2 2 7" xfId="9863" xr:uid="{00000000-0005-0000-0000-0000026E0000}"/>
    <cellStyle name="Total 2 4 2 2 7 2" xfId="24789" xr:uid="{00000000-0005-0000-0000-0000036E0000}"/>
    <cellStyle name="Total 2 4 2 3" xfId="3457" xr:uid="{00000000-0005-0000-0000-0000046E0000}"/>
    <cellStyle name="Total 2 4 2 3 2" xfId="7520" xr:uid="{00000000-0005-0000-0000-0000056E0000}"/>
    <cellStyle name="Total 2 4 2 3 2 2" xfId="17198" xr:uid="{00000000-0005-0000-0000-0000066E0000}"/>
    <cellStyle name="Total 2 4 2 3 2 2 2" xfId="32030" xr:uid="{00000000-0005-0000-0000-0000076E0000}"/>
    <cellStyle name="Total 2 4 2 3 2 3" xfId="19041" xr:uid="{00000000-0005-0000-0000-0000086E0000}"/>
    <cellStyle name="Total 2 4 2 3 3" xfId="13794" xr:uid="{00000000-0005-0000-0000-0000096E0000}"/>
    <cellStyle name="Total 2 4 2 3 3 2" xfId="28626" xr:uid="{00000000-0005-0000-0000-00000A6E0000}"/>
    <cellStyle name="Total 2 4 2 3 4" xfId="10817" xr:uid="{00000000-0005-0000-0000-00000B6E0000}"/>
    <cellStyle name="Total 2 4 2 3 4 2" xfId="25649" xr:uid="{00000000-0005-0000-0000-00000C6E0000}"/>
    <cellStyle name="Total 2 4 2 4" xfId="4431" xr:uid="{00000000-0005-0000-0000-00000D6E0000}"/>
    <cellStyle name="Total 2 4 2 4 2" xfId="8470" xr:uid="{00000000-0005-0000-0000-00000E6E0000}"/>
    <cellStyle name="Total 2 4 2 4 2 2" xfId="17691" xr:uid="{00000000-0005-0000-0000-00000F6E0000}"/>
    <cellStyle name="Total 2 4 2 4 2 2 2" xfId="32523" xr:uid="{00000000-0005-0000-0000-0000106E0000}"/>
    <cellStyle name="Total 2 4 2 4 2 3" xfId="19373" xr:uid="{00000000-0005-0000-0000-0000116E0000}"/>
    <cellStyle name="Total 2 4 2 4 3" xfId="14760" xr:uid="{00000000-0005-0000-0000-0000126E0000}"/>
    <cellStyle name="Total 2 4 2 4 3 2" xfId="29592" xr:uid="{00000000-0005-0000-0000-0000136E0000}"/>
    <cellStyle name="Total 2 4 2 4 4" xfId="11299" xr:uid="{00000000-0005-0000-0000-0000146E0000}"/>
    <cellStyle name="Total 2 4 2 4 4 2" xfId="26131" xr:uid="{00000000-0005-0000-0000-0000156E0000}"/>
    <cellStyle name="Total 2 4 2 5" xfId="2421" xr:uid="{00000000-0005-0000-0000-0000166E0000}"/>
    <cellStyle name="Total 2 4 2 5 2" xfId="6533" xr:uid="{00000000-0005-0000-0000-0000176E0000}"/>
    <cellStyle name="Total 2 4 2 5 2 2" xfId="16589" xr:uid="{00000000-0005-0000-0000-0000186E0000}"/>
    <cellStyle name="Total 2 4 2 5 2 2 2" xfId="31421" xr:uid="{00000000-0005-0000-0000-0000196E0000}"/>
    <cellStyle name="Total 2 4 2 5 2 3" xfId="18661" xr:uid="{00000000-0005-0000-0000-00001A6E0000}"/>
    <cellStyle name="Total 2 4 2 5 3" xfId="12760" xr:uid="{00000000-0005-0000-0000-00001B6E0000}"/>
    <cellStyle name="Total 2 4 2 5 3 2" xfId="27592" xr:uid="{00000000-0005-0000-0000-00001C6E0000}"/>
    <cellStyle name="Total 2 4 2 5 4" xfId="10239" xr:uid="{00000000-0005-0000-0000-00001D6E0000}"/>
    <cellStyle name="Total 2 4 2 5 4 2" xfId="25071" xr:uid="{00000000-0005-0000-0000-00001E6E0000}"/>
    <cellStyle name="Total 2 4 2 6" xfId="5546" xr:uid="{00000000-0005-0000-0000-00001F6E0000}"/>
    <cellStyle name="Total 2 4 2 6 2" xfId="15781" xr:uid="{00000000-0005-0000-0000-0000206E0000}"/>
    <cellStyle name="Total 2 4 2 6 2 2" xfId="30613" xr:uid="{00000000-0005-0000-0000-0000216E0000}"/>
    <cellStyle name="Total 2 4 2 6 3" xfId="18303" xr:uid="{00000000-0005-0000-0000-0000226E0000}"/>
    <cellStyle name="Total 2 4 2 7" xfId="11796" xr:uid="{00000000-0005-0000-0000-0000236E0000}"/>
    <cellStyle name="Total 2 4 2 7 2" xfId="26628" xr:uid="{00000000-0005-0000-0000-0000246E0000}"/>
    <cellStyle name="Total 2 4 2 8" xfId="9467" xr:uid="{00000000-0005-0000-0000-0000256E0000}"/>
    <cellStyle name="Total 2 4 2 8 2" xfId="19771" xr:uid="{00000000-0005-0000-0000-0000266E0000}"/>
    <cellStyle name="Total 2 4 3" xfId="1541" xr:uid="{00000000-0005-0000-0000-0000276E0000}"/>
    <cellStyle name="Total 2 4 3 2" xfId="2038" xr:uid="{00000000-0005-0000-0000-0000286E0000}"/>
    <cellStyle name="Total 2 4 3 2 2" xfId="3494" xr:uid="{00000000-0005-0000-0000-0000296E0000}"/>
    <cellStyle name="Total 2 4 3 2 2 2" xfId="7556" xr:uid="{00000000-0005-0000-0000-00002A6E0000}"/>
    <cellStyle name="Total 2 4 3 2 2 2 2" xfId="17217" xr:uid="{00000000-0005-0000-0000-00002B6E0000}"/>
    <cellStyle name="Total 2 4 3 2 2 2 2 2" xfId="32049" xr:uid="{00000000-0005-0000-0000-00002C6E0000}"/>
    <cellStyle name="Total 2 4 3 2 2 2 3" xfId="19053" xr:uid="{00000000-0005-0000-0000-00002D6E0000}"/>
    <cellStyle name="Total 2 4 3 2 2 3" xfId="13831" xr:uid="{00000000-0005-0000-0000-00002E6E0000}"/>
    <cellStyle name="Total 2 4 3 2 2 3 2" xfId="28663" xr:uid="{00000000-0005-0000-0000-00002F6E0000}"/>
    <cellStyle name="Total 2 4 3 2 2 4" xfId="10835" xr:uid="{00000000-0005-0000-0000-0000306E0000}"/>
    <cellStyle name="Total 2 4 3 2 2 4 2" xfId="25667" xr:uid="{00000000-0005-0000-0000-0000316E0000}"/>
    <cellStyle name="Total 2 4 3 2 3" xfId="5006" xr:uid="{00000000-0005-0000-0000-0000326E0000}"/>
    <cellStyle name="Total 2 4 3 2 3 2" xfId="9045" xr:uid="{00000000-0005-0000-0000-0000336E0000}"/>
    <cellStyle name="Total 2 4 3 2 3 2 2" xfId="17983" xr:uid="{00000000-0005-0000-0000-0000346E0000}"/>
    <cellStyle name="Total 2 4 3 2 3 2 2 2" xfId="32815" xr:uid="{00000000-0005-0000-0000-0000356E0000}"/>
    <cellStyle name="Total 2 4 3 2 3 2 3" xfId="19565" xr:uid="{00000000-0005-0000-0000-0000366E0000}"/>
    <cellStyle name="Total 2 4 3 2 3 3" xfId="15328" xr:uid="{00000000-0005-0000-0000-0000376E0000}"/>
    <cellStyle name="Total 2 4 3 2 3 3 2" xfId="30160" xr:uid="{00000000-0005-0000-0000-0000386E0000}"/>
    <cellStyle name="Total 2 4 3 2 3 4" xfId="11584" xr:uid="{00000000-0005-0000-0000-0000396E0000}"/>
    <cellStyle name="Total 2 4 3 2 3 4 2" xfId="26416" xr:uid="{00000000-0005-0000-0000-00003A6E0000}"/>
    <cellStyle name="Total 2 4 3 2 4" xfId="2996" xr:uid="{00000000-0005-0000-0000-00003B6E0000}"/>
    <cellStyle name="Total 2 4 3 2 4 2" xfId="7076" xr:uid="{00000000-0005-0000-0000-00003C6E0000}"/>
    <cellStyle name="Total 2 4 3 2 4 2 2" xfId="16875" xr:uid="{00000000-0005-0000-0000-00003D6E0000}"/>
    <cellStyle name="Total 2 4 3 2 4 2 2 2" xfId="31707" xr:uid="{00000000-0005-0000-0000-00003E6E0000}"/>
    <cellStyle name="Total 2 4 3 2 4 2 3" xfId="18857" xr:uid="{00000000-0005-0000-0000-00003F6E0000}"/>
    <cellStyle name="Total 2 4 3 2 4 3" xfId="13334" xr:uid="{00000000-0005-0000-0000-0000406E0000}"/>
    <cellStyle name="Total 2 4 3 2 4 3 2" xfId="28166" xr:uid="{00000000-0005-0000-0000-0000416E0000}"/>
    <cellStyle name="Total 2 4 3 2 4 4" xfId="10530" xr:uid="{00000000-0005-0000-0000-0000426E0000}"/>
    <cellStyle name="Total 2 4 3 2 4 4 2" xfId="25362" xr:uid="{00000000-0005-0000-0000-0000436E0000}"/>
    <cellStyle name="Total 2 4 3 2 5" xfId="6168" xr:uid="{00000000-0005-0000-0000-0000446E0000}"/>
    <cellStyle name="Total 2 4 3 2 5 2" xfId="16355" xr:uid="{00000000-0005-0000-0000-0000456E0000}"/>
    <cellStyle name="Total 2 4 3 2 5 2 2" xfId="31187" xr:uid="{00000000-0005-0000-0000-0000466E0000}"/>
    <cellStyle name="Total 2 4 3 2 5 3" xfId="18498" xr:uid="{00000000-0005-0000-0000-0000476E0000}"/>
    <cellStyle name="Total 2 4 3 2 6" xfId="12425" xr:uid="{00000000-0005-0000-0000-0000486E0000}"/>
    <cellStyle name="Total 2 4 3 2 6 2" xfId="27257" xr:uid="{00000000-0005-0000-0000-0000496E0000}"/>
    <cellStyle name="Total 2 4 3 2 7" xfId="10007" xr:uid="{00000000-0005-0000-0000-00004A6E0000}"/>
    <cellStyle name="Total 2 4 3 2 7 2" xfId="24839" xr:uid="{00000000-0005-0000-0000-00004B6E0000}"/>
    <cellStyle name="Total 2 4 3 3" xfId="4303" xr:uid="{00000000-0005-0000-0000-00004C6E0000}"/>
    <cellStyle name="Total 2 4 3 3 2" xfId="8342" xr:uid="{00000000-0005-0000-0000-00004D6E0000}"/>
    <cellStyle name="Total 2 4 3 3 2 2" xfId="17621" xr:uid="{00000000-0005-0000-0000-00004E6E0000}"/>
    <cellStyle name="Total 2 4 3 3 2 2 2" xfId="32453" xr:uid="{00000000-0005-0000-0000-00004F6E0000}"/>
    <cellStyle name="Total 2 4 3 3 2 3" xfId="19327" xr:uid="{00000000-0005-0000-0000-0000506E0000}"/>
    <cellStyle name="Total 2 4 3 3 3" xfId="14634" xr:uid="{00000000-0005-0000-0000-0000516E0000}"/>
    <cellStyle name="Total 2 4 3 3 3 2" xfId="29466" xr:uid="{00000000-0005-0000-0000-0000526E0000}"/>
    <cellStyle name="Total 2 4 3 3 4" xfId="11233" xr:uid="{00000000-0005-0000-0000-0000536E0000}"/>
    <cellStyle name="Total 2 4 3 3 4 2" xfId="26065" xr:uid="{00000000-0005-0000-0000-0000546E0000}"/>
    <cellStyle name="Total 2 4 3 4" xfId="4586" xr:uid="{00000000-0005-0000-0000-0000556E0000}"/>
    <cellStyle name="Total 2 4 3 4 2" xfId="8625" xr:uid="{00000000-0005-0000-0000-0000566E0000}"/>
    <cellStyle name="Total 2 4 3 4 2 2" xfId="17743" xr:uid="{00000000-0005-0000-0000-0000576E0000}"/>
    <cellStyle name="Total 2 4 3 4 2 2 2" xfId="32575" xr:uid="{00000000-0005-0000-0000-0000586E0000}"/>
    <cellStyle name="Total 2 4 3 4 2 3" xfId="19405" xr:uid="{00000000-0005-0000-0000-0000596E0000}"/>
    <cellStyle name="Total 2 4 3 4 3" xfId="14913" xr:uid="{00000000-0005-0000-0000-00005A6E0000}"/>
    <cellStyle name="Total 2 4 3 4 3 2" xfId="29745" xr:uid="{00000000-0005-0000-0000-00005B6E0000}"/>
    <cellStyle name="Total 2 4 3 4 4" xfId="11349" xr:uid="{00000000-0005-0000-0000-00005C6E0000}"/>
    <cellStyle name="Total 2 4 3 4 4 2" xfId="26181" xr:uid="{00000000-0005-0000-0000-00005D6E0000}"/>
    <cellStyle name="Total 2 4 3 5" xfId="2576" xr:uid="{00000000-0005-0000-0000-00005E6E0000}"/>
    <cellStyle name="Total 2 4 3 5 2" xfId="6682" xr:uid="{00000000-0005-0000-0000-00005F6E0000}"/>
    <cellStyle name="Total 2 4 3 5 2 2" xfId="16640" xr:uid="{00000000-0005-0000-0000-0000606E0000}"/>
    <cellStyle name="Total 2 4 3 5 2 2 2" xfId="31472" xr:uid="{00000000-0005-0000-0000-0000616E0000}"/>
    <cellStyle name="Total 2 4 3 5 2 3" xfId="18693" xr:uid="{00000000-0005-0000-0000-0000626E0000}"/>
    <cellStyle name="Total 2 4 3 5 3" xfId="12914" xr:uid="{00000000-0005-0000-0000-0000636E0000}"/>
    <cellStyle name="Total 2 4 3 5 3 2" xfId="27746" xr:uid="{00000000-0005-0000-0000-0000646E0000}"/>
    <cellStyle name="Total 2 4 3 5 4" xfId="10290" xr:uid="{00000000-0005-0000-0000-0000656E0000}"/>
    <cellStyle name="Total 2 4 3 5 4 2" xfId="25122" xr:uid="{00000000-0005-0000-0000-0000666E0000}"/>
    <cellStyle name="Total 2 4 3 6" xfId="5699" xr:uid="{00000000-0005-0000-0000-0000676E0000}"/>
    <cellStyle name="Total 2 4 3 6 2" xfId="15934" xr:uid="{00000000-0005-0000-0000-0000686E0000}"/>
    <cellStyle name="Total 2 4 3 6 2 2" xfId="30766" xr:uid="{00000000-0005-0000-0000-0000696E0000}"/>
    <cellStyle name="Total 2 4 3 6 3" xfId="18335" xr:uid="{00000000-0005-0000-0000-00006A6E0000}"/>
    <cellStyle name="Total 2 4 3 7" xfId="11954" xr:uid="{00000000-0005-0000-0000-00006B6E0000}"/>
    <cellStyle name="Total 2 4 3 7 2" xfId="26786" xr:uid="{00000000-0005-0000-0000-00006C6E0000}"/>
    <cellStyle name="Total 2 4 3 8" xfId="9612" xr:uid="{00000000-0005-0000-0000-00006D6E0000}"/>
    <cellStyle name="Total 2 4 3 8 2" xfId="19914" xr:uid="{00000000-0005-0000-0000-00006E6E0000}"/>
    <cellStyle name="Total 2 4 4" xfId="1594" xr:uid="{00000000-0005-0000-0000-00006F6E0000}"/>
    <cellStyle name="Total 2 4 4 2" xfId="2091" xr:uid="{00000000-0005-0000-0000-0000706E0000}"/>
    <cellStyle name="Total 2 4 4 2 2" xfId="3873" xr:uid="{00000000-0005-0000-0000-0000716E0000}"/>
    <cellStyle name="Total 2 4 4 2 2 2" xfId="7925" xr:uid="{00000000-0005-0000-0000-0000726E0000}"/>
    <cellStyle name="Total 2 4 4 2 2 2 2" xfId="17404" xr:uid="{00000000-0005-0000-0000-0000736E0000}"/>
    <cellStyle name="Total 2 4 4 2 2 2 2 2" xfId="32236" xr:uid="{00000000-0005-0000-0000-0000746E0000}"/>
    <cellStyle name="Total 2 4 4 2 2 2 3" xfId="19182" xr:uid="{00000000-0005-0000-0000-0000756E0000}"/>
    <cellStyle name="Total 2 4 4 2 2 3" xfId="14208" xr:uid="{00000000-0005-0000-0000-0000766E0000}"/>
    <cellStyle name="Total 2 4 4 2 2 3 2" xfId="29040" xr:uid="{00000000-0005-0000-0000-0000776E0000}"/>
    <cellStyle name="Total 2 4 4 2 2 4" xfId="11023" xr:uid="{00000000-0005-0000-0000-0000786E0000}"/>
    <cellStyle name="Total 2 4 4 2 2 4 2" xfId="25855" xr:uid="{00000000-0005-0000-0000-0000796E0000}"/>
    <cellStyle name="Total 2 4 4 2 3" xfId="5059" xr:uid="{00000000-0005-0000-0000-00007A6E0000}"/>
    <cellStyle name="Total 2 4 4 2 3 2" xfId="9098" xr:uid="{00000000-0005-0000-0000-00007B6E0000}"/>
    <cellStyle name="Total 2 4 4 2 3 2 2" xfId="18031" xr:uid="{00000000-0005-0000-0000-00007C6E0000}"/>
    <cellStyle name="Total 2 4 4 2 3 2 2 2" xfId="32863" xr:uid="{00000000-0005-0000-0000-00007D6E0000}"/>
    <cellStyle name="Total 2 4 4 2 3 2 3" xfId="19597" xr:uid="{00000000-0005-0000-0000-00007E6E0000}"/>
    <cellStyle name="Total 2 4 4 2 3 3" xfId="15380" xr:uid="{00000000-0005-0000-0000-00007F6E0000}"/>
    <cellStyle name="Total 2 4 4 2 3 3 2" xfId="30212" xr:uid="{00000000-0005-0000-0000-0000806E0000}"/>
    <cellStyle name="Total 2 4 4 2 3 4" xfId="11631" xr:uid="{00000000-0005-0000-0000-0000816E0000}"/>
    <cellStyle name="Total 2 4 4 2 3 4 2" xfId="26463" xr:uid="{00000000-0005-0000-0000-0000826E0000}"/>
    <cellStyle name="Total 2 4 4 2 4" xfId="3049" xr:uid="{00000000-0005-0000-0000-0000836E0000}"/>
    <cellStyle name="Total 2 4 4 2 4 2" xfId="7124" xr:uid="{00000000-0005-0000-0000-0000846E0000}"/>
    <cellStyle name="Total 2 4 4 2 4 2 2" xfId="16922" xr:uid="{00000000-0005-0000-0000-0000856E0000}"/>
    <cellStyle name="Total 2 4 4 2 4 2 2 2" xfId="31754" xr:uid="{00000000-0005-0000-0000-0000866E0000}"/>
    <cellStyle name="Total 2 4 4 2 4 2 3" xfId="18890" xr:uid="{00000000-0005-0000-0000-0000876E0000}"/>
    <cellStyle name="Total 2 4 4 2 4 3" xfId="13387" xr:uid="{00000000-0005-0000-0000-0000886E0000}"/>
    <cellStyle name="Total 2 4 4 2 4 3 2" xfId="28219" xr:uid="{00000000-0005-0000-0000-0000896E0000}"/>
    <cellStyle name="Total 2 4 4 2 4 4" xfId="10578" xr:uid="{00000000-0005-0000-0000-00008A6E0000}"/>
    <cellStyle name="Total 2 4 4 2 4 4 2" xfId="25410" xr:uid="{00000000-0005-0000-0000-00008B6E0000}"/>
    <cellStyle name="Total 2 4 4 2 5" xfId="6216" xr:uid="{00000000-0005-0000-0000-00008C6E0000}"/>
    <cellStyle name="Total 2 4 4 2 5 2" xfId="16402" xr:uid="{00000000-0005-0000-0000-00008D6E0000}"/>
    <cellStyle name="Total 2 4 4 2 5 2 2" xfId="31234" xr:uid="{00000000-0005-0000-0000-00008E6E0000}"/>
    <cellStyle name="Total 2 4 4 2 5 3" xfId="18531" xr:uid="{00000000-0005-0000-0000-00008F6E0000}"/>
    <cellStyle name="Total 2 4 4 2 6" xfId="12472" xr:uid="{00000000-0005-0000-0000-0000906E0000}"/>
    <cellStyle name="Total 2 4 4 2 6 2" xfId="27304" xr:uid="{00000000-0005-0000-0000-0000916E0000}"/>
    <cellStyle name="Total 2 4 4 2 7" xfId="10054" xr:uid="{00000000-0005-0000-0000-0000926E0000}"/>
    <cellStyle name="Total 2 4 4 2 7 2" xfId="24886" xr:uid="{00000000-0005-0000-0000-0000936E0000}"/>
    <cellStyle name="Total 2 4 4 3" xfId="3367" xr:uid="{00000000-0005-0000-0000-0000946E0000}"/>
    <cellStyle name="Total 2 4 4 3 2" xfId="7430" xr:uid="{00000000-0005-0000-0000-0000956E0000}"/>
    <cellStyle name="Total 2 4 4 3 2 2" xfId="17141" xr:uid="{00000000-0005-0000-0000-0000966E0000}"/>
    <cellStyle name="Total 2 4 4 3 2 2 2" xfId="31973" xr:uid="{00000000-0005-0000-0000-0000976E0000}"/>
    <cellStyle name="Total 2 4 4 3 2 3" xfId="19010" xr:uid="{00000000-0005-0000-0000-0000986E0000}"/>
    <cellStyle name="Total 2 4 4 3 3" xfId="13704" xr:uid="{00000000-0005-0000-0000-0000996E0000}"/>
    <cellStyle name="Total 2 4 4 3 3 2" xfId="28536" xr:uid="{00000000-0005-0000-0000-00009A6E0000}"/>
    <cellStyle name="Total 2 4 4 3 4" xfId="10760" xr:uid="{00000000-0005-0000-0000-00009B6E0000}"/>
    <cellStyle name="Total 2 4 4 3 4 2" xfId="25592" xr:uid="{00000000-0005-0000-0000-00009C6E0000}"/>
    <cellStyle name="Total 2 4 4 4" xfId="4639" xr:uid="{00000000-0005-0000-0000-00009D6E0000}"/>
    <cellStyle name="Total 2 4 4 4 2" xfId="8678" xr:uid="{00000000-0005-0000-0000-00009E6E0000}"/>
    <cellStyle name="Total 2 4 4 4 2 2" xfId="17791" xr:uid="{00000000-0005-0000-0000-00009F6E0000}"/>
    <cellStyle name="Total 2 4 4 4 2 2 2" xfId="32623" xr:uid="{00000000-0005-0000-0000-0000A06E0000}"/>
    <cellStyle name="Total 2 4 4 4 2 3" xfId="19437" xr:uid="{00000000-0005-0000-0000-0000A16E0000}"/>
    <cellStyle name="Total 2 4 4 4 3" xfId="14965" xr:uid="{00000000-0005-0000-0000-0000A26E0000}"/>
    <cellStyle name="Total 2 4 4 4 3 2" xfId="29797" xr:uid="{00000000-0005-0000-0000-0000A36E0000}"/>
    <cellStyle name="Total 2 4 4 4 4" xfId="11396" xr:uid="{00000000-0005-0000-0000-0000A46E0000}"/>
    <cellStyle name="Total 2 4 4 4 4 2" xfId="26228" xr:uid="{00000000-0005-0000-0000-0000A56E0000}"/>
    <cellStyle name="Total 2 4 4 5" xfId="2629" xr:uid="{00000000-0005-0000-0000-0000A66E0000}"/>
    <cellStyle name="Total 2 4 4 5 2" xfId="6730" xr:uid="{00000000-0005-0000-0000-0000A76E0000}"/>
    <cellStyle name="Total 2 4 4 5 2 2" xfId="16687" xr:uid="{00000000-0005-0000-0000-0000A86E0000}"/>
    <cellStyle name="Total 2 4 4 5 2 2 2" xfId="31519" xr:uid="{00000000-0005-0000-0000-0000A96E0000}"/>
    <cellStyle name="Total 2 4 4 5 2 3" xfId="18726" xr:uid="{00000000-0005-0000-0000-0000AA6E0000}"/>
    <cellStyle name="Total 2 4 4 5 3" xfId="12967" xr:uid="{00000000-0005-0000-0000-0000AB6E0000}"/>
    <cellStyle name="Total 2 4 4 5 3 2" xfId="27799" xr:uid="{00000000-0005-0000-0000-0000AC6E0000}"/>
    <cellStyle name="Total 2 4 4 5 4" xfId="10338" xr:uid="{00000000-0005-0000-0000-0000AD6E0000}"/>
    <cellStyle name="Total 2 4 4 5 4 2" xfId="25170" xr:uid="{00000000-0005-0000-0000-0000AE6E0000}"/>
    <cellStyle name="Total 2 4 4 6" xfId="5746" xr:uid="{00000000-0005-0000-0000-0000AF6E0000}"/>
    <cellStyle name="Total 2 4 4 6 2" xfId="15981" xr:uid="{00000000-0005-0000-0000-0000B06E0000}"/>
    <cellStyle name="Total 2 4 4 6 2 2" xfId="30813" xr:uid="{00000000-0005-0000-0000-0000B16E0000}"/>
    <cellStyle name="Total 2 4 4 6 3" xfId="18367" xr:uid="{00000000-0005-0000-0000-0000B26E0000}"/>
    <cellStyle name="Total 2 4 4 7" xfId="12001" xr:uid="{00000000-0005-0000-0000-0000B36E0000}"/>
    <cellStyle name="Total 2 4 4 7 2" xfId="26833" xr:uid="{00000000-0005-0000-0000-0000B46E0000}"/>
    <cellStyle name="Total 2 4 4 8" xfId="9660" xr:uid="{00000000-0005-0000-0000-0000B56E0000}"/>
    <cellStyle name="Total 2 4 4 8 2" xfId="19961" xr:uid="{00000000-0005-0000-0000-0000B66E0000}"/>
    <cellStyle name="Total 2 4 5" xfId="1644" xr:uid="{00000000-0005-0000-0000-0000B76E0000}"/>
    <cellStyle name="Total 2 4 5 2" xfId="2141" xr:uid="{00000000-0005-0000-0000-0000B86E0000}"/>
    <cellStyle name="Total 2 4 5 2 2" xfId="3536" xr:uid="{00000000-0005-0000-0000-0000B96E0000}"/>
    <cellStyle name="Total 2 4 5 2 2 2" xfId="7598" xr:uid="{00000000-0005-0000-0000-0000BA6E0000}"/>
    <cellStyle name="Total 2 4 5 2 2 2 2" xfId="17242" xr:uid="{00000000-0005-0000-0000-0000BB6E0000}"/>
    <cellStyle name="Total 2 4 5 2 2 2 2 2" xfId="32074" xr:uid="{00000000-0005-0000-0000-0000BC6E0000}"/>
    <cellStyle name="Total 2 4 5 2 2 2 3" xfId="19069" xr:uid="{00000000-0005-0000-0000-0000BD6E0000}"/>
    <cellStyle name="Total 2 4 5 2 2 3" xfId="13873" xr:uid="{00000000-0005-0000-0000-0000BE6E0000}"/>
    <cellStyle name="Total 2 4 5 2 2 3 2" xfId="28705" xr:uid="{00000000-0005-0000-0000-0000BF6E0000}"/>
    <cellStyle name="Total 2 4 5 2 2 4" xfId="10860" xr:uid="{00000000-0005-0000-0000-0000C06E0000}"/>
    <cellStyle name="Total 2 4 5 2 2 4 2" xfId="25692" xr:uid="{00000000-0005-0000-0000-0000C16E0000}"/>
    <cellStyle name="Total 2 4 5 2 3" xfId="5109" xr:uid="{00000000-0005-0000-0000-0000C26E0000}"/>
    <cellStyle name="Total 2 4 5 2 3 2" xfId="9148" xr:uid="{00000000-0005-0000-0000-0000C36E0000}"/>
    <cellStyle name="Total 2 4 5 2 3 2 2" xfId="18076" xr:uid="{00000000-0005-0000-0000-0000C46E0000}"/>
    <cellStyle name="Total 2 4 5 2 3 2 2 2" xfId="32908" xr:uid="{00000000-0005-0000-0000-0000C56E0000}"/>
    <cellStyle name="Total 2 4 5 2 3 2 3" xfId="19629" xr:uid="{00000000-0005-0000-0000-0000C66E0000}"/>
    <cellStyle name="Total 2 4 5 2 3 3" xfId="15429" xr:uid="{00000000-0005-0000-0000-0000C76E0000}"/>
    <cellStyle name="Total 2 4 5 2 3 3 2" xfId="30261" xr:uid="{00000000-0005-0000-0000-0000C86E0000}"/>
    <cellStyle name="Total 2 4 5 2 3 4" xfId="11675" xr:uid="{00000000-0005-0000-0000-0000C96E0000}"/>
    <cellStyle name="Total 2 4 5 2 3 4 2" xfId="26507" xr:uid="{00000000-0005-0000-0000-0000CA6E0000}"/>
    <cellStyle name="Total 2 4 5 2 4" xfId="3099" xr:uid="{00000000-0005-0000-0000-0000CB6E0000}"/>
    <cellStyle name="Total 2 4 5 2 4 2" xfId="7169" xr:uid="{00000000-0005-0000-0000-0000CC6E0000}"/>
    <cellStyle name="Total 2 4 5 2 4 2 2" xfId="16966" xr:uid="{00000000-0005-0000-0000-0000CD6E0000}"/>
    <cellStyle name="Total 2 4 5 2 4 2 2 2" xfId="31798" xr:uid="{00000000-0005-0000-0000-0000CE6E0000}"/>
    <cellStyle name="Total 2 4 5 2 4 2 3" xfId="18923" xr:uid="{00000000-0005-0000-0000-0000CF6E0000}"/>
    <cellStyle name="Total 2 4 5 2 4 3" xfId="13437" xr:uid="{00000000-0005-0000-0000-0000D06E0000}"/>
    <cellStyle name="Total 2 4 5 2 4 3 2" xfId="28269" xr:uid="{00000000-0005-0000-0000-0000D16E0000}"/>
    <cellStyle name="Total 2 4 5 2 4 4" xfId="10623" xr:uid="{00000000-0005-0000-0000-0000D26E0000}"/>
    <cellStyle name="Total 2 4 5 2 4 4 2" xfId="25455" xr:uid="{00000000-0005-0000-0000-0000D36E0000}"/>
    <cellStyle name="Total 2 4 5 2 5" xfId="6261" xr:uid="{00000000-0005-0000-0000-0000D46E0000}"/>
    <cellStyle name="Total 2 4 5 2 5 2" xfId="16446" xr:uid="{00000000-0005-0000-0000-0000D56E0000}"/>
    <cellStyle name="Total 2 4 5 2 5 2 2" xfId="31278" xr:uid="{00000000-0005-0000-0000-0000D66E0000}"/>
    <cellStyle name="Total 2 4 5 2 5 3" xfId="18564" xr:uid="{00000000-0005-0000-0000-0000D76E0000}"/>
    <cellStyle name="Total 2 4 5 2 6" xfId="12516" xr:uid="{00000000-0005-0000-0000-0000D86E0000}"/>
    <cellStyle name="Total 2 4 5 2 6 2" xfId="27348" xr:uid="{00000000-0005-0000-0000-0000D96E0000}"/>
    <cellStyle name="Total 2 4 5 2 7" xfId="10098" xr:uid="{00000000-0005-0000-0000-0000DA6E0000}"/>
    <cellStyle name="Total 2 4 5 2 7 2" xfId="24930" xr:uid="{00000000-0005-0000-0000-0000DB6E0000}"/>
    <cellStyle name="Total 2 4 5 3" xfId="3574" xr:uid="{00000000-0005-0000-0000-0000DC6E0000}"/>
    <cellStyle name="Total 2 4 5 3 2" xfId="7636" xr:uid="{00000000-0005-0000-0000-0000DD6E0000}"/>
    <cellStyle name="Total 2 4 5 3 2 2" xfId="17264" xr:uid="{00000000-0005-0000-0000-0000DE6E0000}"/>
    <cellStyle name="Total 2 4 5 3 2 2 2" xfId="32096" xr:uid="{00000000-0005-0000-0000-0000DF6E0000}"/>
    <cellStyle name="Total 2 4 5 3 2 3" xfId="19087" xr:uid="{00000000-0005-0000-0000-0000E06E0000}"/>
    <cellStyle name="Total 2 4 5 3 3" xfId="13910" xr:uid="{00000000-0005-0000-0000-0000E16E0000}"/>
    <cellStyle name="Total 2 4 5 3 3 2" xfId="28742" xr:uid="{00000000-0005-0000-0000-0000E26E0000}"/>
    <cellStyle name="Total 2 4 5 3 4" xfId="10881" xr:uid="{00000000-0005-0000-0000-0000E36E0000}"/>
    <cellStyle name="Total 2 4 5 3 4 2" xfId="25713" xr:uid="{00000000-0005-0000-0000-0000E46E0000}"/>
    <cellStyle name="Total 2 4 5 4" xfId="4689" xr:uid="{00000000-0005-0000-0000-0000E56E0000}"/>
    <cellStyle name="Total 2 4 5 4 2" xfId="8728" xr:uid="{00000000-0005-0000-0000-0000E66E0000}"/>
    <cellStyle name="Total 2 4 5 4 2 2" xfId="17836" xr:uid="{00000000-0005-0000-0000-0000E76E0000}"/>
    <cellStyle name="Total 2 4 5 4 2 2 2" xfId="32668" xr:uid="{00000000-0005-0000-0000-0000E86E0000}"/>
    <cellStyle name="Total 2 4 5 4 2 3" xfId="19469" xr:uid="{00000000-0005-0000-0000-0000E96E0000}"/>
    <cellStyle name="Total 2 4 5 4 3" xfId="15014" xr:uid="{00000000-0005-0000-0000-0000EA6E0000}"/>
    <cellStyle name="Total 2 4 5 4 3 2" xfId="29846" xr:uid="{00000000-0005-0000-0000-0000EB6E0000}"/>
    <cellStyle name="Total 2 4 5 4 4" xfId="11440" xr:uid="{00000000-0005-0000-0000-0000EC6E0000}"/>
    <cellStyle name="Total 2 4 5 4 4 2" xfId="26272" xr:uid="{00000000-0005-0000-0000-0000ED6E0000}"/>
    <cellStyle name="Total 2 4 5 5" xfId="2679" xr:uid="{00000000-0005-0000-0000-0000EE6E0000}"/>
    <cellStyle name="Total 2 4 5 5 2" xfId="6775" xr:uid="{00000000-0005-0000-0000-0000EF6E0000}"/>
    <cellStyle name="Total 2 4 5 5 2 2" xfId="16731" xr:uid="{00000000-0005-0000-0000-0000F06E0000}"/>
    <cellStyle name="Total 2 4 5 5 2 2 2" xfId="31563" xr:uid="{00000000-0005-0000-0000-0000F16E0000}"/>
    <cellStyle name="Total 2 4 5 5 2 3" xfId="18759" xr:uid="{00000000-0005-0000-0000-0000F26E0000}"/>
    <cellStyle name="Total 2 4 5 5 3" xfId="13017" xr:uid="{00000000-0005-0000-0000-0000F36E0000}"/>
    <cellStyle name="Total 2 4 5 5 3 2" xfId="27849" xr:uid="{00000000-0005-0000-0000-0000F46E0000}"/>
    <cellStyle name="Total 2 4 5 5 4" xfId="10383" xr:uid="{00000000-0005-0000-0000-0000F56E0000}"/>
    <cellStyle name="Total 2 4 5 5 4 2" xfId="25215" xr:uid="{00000000-0005-0000-0000-0000F66E0000}"/>
    <cellStyle name="Total 2 4 5 6" xfId="5791" xr:uid="{00000000-0005-0000-0000-0000F76E0000}"/>
    <cellStyle name="Total 2 4 5 6 2" xfId="16025" xr:uid="{00000000-0005-0000-0000-0000F86E0000}"/>
    <cellStyle name="Total 2 4 5 6 2 2" xfId="30857" xr:uid="{00000000-0005-0000-0000-0000F96E0000}"/>
    <cellStyle name="Total 2 4 5 6 3" xfId="18400" xr:uid="{00000000-0005-0000-0000-0000FA6E0000}"/>
    <cellStyle name="Total 2 4 5 7" xfId="12045" xr:uid="{00000000-0005-0000-0000-0000FB6E0000}"/>
    <cellStyle name="Total 2 4 5 7 2" xfId="26877" xr:uid="{00000000-0005-0000-0000-0000FC6E0000}"/>
    <cellStyle name="Total 2 4 5 8" xfId="9705" xr:uid="{00000000-0005-0000-0000-0000FD6E0000}"/>
    <cellStyle name="Total 2 4 5 8 2" xfId="20005" xr:uid="{00000000-0005-0000-0000-0000FE6E0000}"/>
    <cellStyle name="Total 2 4 6" xfId="1795" xr:uid="{00000000-0005-0000-0000-0000FF6E0000}"/>
    <cellStyle name="Total 2 4 6 2" xfId="3953" xr:uid="{00000000-0005-0000-0000-0000006F0000}"/>
    <cellStyle name="Total 2 4 6 2 2" xfId="8003" xr:uid="{00000000-0005-0000-0000-0000016F0000}"/>
    <cellStyle name="Total 2 4 6 2 2 2" xfId="17445" xr:uid="{00000000-0005-0000-0000-0000026F0000}"/>
    <cellStyle name="Total 2 4 6 2 2 2 2" xfId="32277" xr:uid="{00000000-0005-0000-0000-0000036F0000}"/>
    <cellStyle name="Total 2 4 6 2 2 3" xfId="19212" xr:uid="{00000000-0005-0000-0000-0000046F0000}"/>
    <cellStyle name="Total 2 4 6 2 3" xfId="14286" xr:uid="{00000000-0005-0000-0000-0000056F0000}"/>
    <cellStyle name="Total 2 4 6 2 3 2" xfId="29118" xr:uid="{00000000-0005-0000-0000-0000066F0000}"/>
    <cellStyle name="Total 2 4 6 2 4" xfId="11060" xr:uid="{00000000-0005-0000-0000-0000076F0000}"/>
    <cellStyle name="Total 2 4 6 2 4 2" xfId="25892" xr:uid="{00000000-0005-0000-0000-0000086F0000}"/>
    <cellStyle name="Total 2 4 6 3" xfId="4773" xr:uid="{00000000-0005-0000-0000-0000096F0000}"/>
    <cellStyle name="Total 2 4 6 3 2" xfId="8812" xr:uid="{00000000-0005-0000-0000-00000A6F0000}"/>
    <cellStyle name="Total 2 4 6 3 2 2" xfId="17884" xr:uid="{00000000-0005-0000-0000-00000B6F0000}"/>
    <cellStyle name="Total 2 4 6 3 2 2 2" xfId="32716" xr:uid="{00000000-0005-0000-0000-00000C6F0000}"/>
    <cellStyle name="Total 2 4 6 3 2 3" xfId="19501" xr:uid="{00000000-0005-0000-0000-00000D6F0000}"/>
    <cellStyle name="Total 2 4 6 3 3" xfId="15097" xr:uid="{00000000-0005-0000-0000-00000E6F0000}"/>
    <cellStyle name="Total 2 4 6 3 3 2" xfId="29929" xr:uid="{00000000-0005-0000-0000-00000F6F0000}"/>
    <cellStyle name="Total 2 4 6 3 4" xfId="11487" xr:uid="{00000000-0005-0000-0000-0000106F0000}"/>
    <cellStyle name="Total 2 4 6 3 4 2" xfId="26319" xr:uid="{00000000-0005-0000-0000-0000116F0000}"/>
    <cellStyle name="Total 2 4 6 4" xfId="2763" xr:uid="{00000000-0005-0000-0000-0000126F0000}"/>
    <cellStyle name="Total 2 4 6 4 2" xfId="6854" xr:uid="{00000000-0005-0000-0000-0000136F0000}"/>
    <cellStyle name="Total 2 4 6 4 2 2" xfId="16778" xr:uid="{00000000-0005-0000-0000-0000146F0000}"/>
    <cellStyle name="Total 2 4 6 4 2 2 2" xfId="31610" xr:uid="{00000000-0005-0000-0000-0000156F0000}"/>
    <cellStyle name="Total 2 4 6 4 2 3" xfId="18792" xr:uid="{00000000-0005-0000-0000-0000166F0000}"/>
    <cellStyle name="Total 2 4 6 4 3" xfId="13101" xr:uid="{00000000-0005-0000-0000-0000176F0000}"/>
    <cellStyle name="Total 2 4 6 4 3 2" xfId="27933" xr:uid="{00000000-0005-0000-0000-0000186F0000}"/>
    <cellStyle name="Total 2 4 6 4 4" xfId="10431" xr:uid="{00000000-0005-0000-0000-0000196F0000}"/>
    <cellStyle name="Total 2 4 6 4 4 2" xfId="25263" xr:uid="{00000000-0005-0000-0000-00001A6F0000}"/>
    <cellStyle name="Total 2 4 6 5" xfId="5927" xr:uid="{00000000-0005-0000-0000-00001B6F0000}"/>
    <cellStyle name="Total 2 4 6 5 2" xfId="16119" xr:uid="{00000000-0005-0000-0000-00001C6F0000}"/>
    <cellStyle name="Total 2 4 6 5 2 2" xfId="30951" xr:uid="{00000000-0005-0000-0000-00001D6F0000}"/>
    <cellStyle name="Total 2 4 6 5 3" xfId="18434" xr:uid="{00000000-0005-0000-0000-00001E6F0000}"/>
    <cellStyle name="Total 2 4 6 6" xfId="12189" xr:uid="{00000000-0005-0000-0000-00001F6F0000}"/>
    <cellStyle name="Total 2 4 6 6 2" xfId="27021" xr:uid="{00000000-0005-0000-0000-0000206F0000}"/>
    <cellStyle name="Total 2 4 6 7" xfId="9785" xr:uid="{00000000-0005-0000-0000-0000216F0000}"/>
    <cellStyle name="Total 2 4 6 7 2" xfId="24742" xr:uid="{00000000-0005-0000-0000-0000226F0000}"/>
    <cellStyle name="Total 2 4 7" xfId="2171" xr:uid="{00000000-0005-0000-0000-0000236F0000}"/>
    <cellStyle name="Total 2 4 7 2" xfId="3762" xr:uid="{00000000-0005-0000-0000-0000246F0000}"/>
    <cellStyle name="Total 2 4 7 2 2" xfId="7818" xr:uid="{00000000-0005-0000-0000-0000256F0000}"/>
    <cellStyle name="Total 2 4 7 2 2 2" xfId="17353" xr:uid="{00000000-0005-0000-0000-0000266F0000}"/>
    <cellStyle name="Total 2 4 7 2 2 2 2" xfId="32185" xr:uid="{00000000-0005-0000-0000-0000276F0000}"/>
    <cellStyle name="Total 2 4 7 2 2 3" xfId="19147" xr:uid="{00000000-0005-0000-0000-0000286F0000}"/>
    <cellStyle name="Total 2 4 7 2 3" xfId="14097" xr:uid="{00000000-0005-0000-0000-0000296F0000}"/>
    <cellStyle name="Total 2 4 7 2 3 2" xfId="28929" xr:uid="{00000000-0005-0000-0000-00002A6F0000}"/>
    <cellStyle name="Total 2 4 7 2 4" xfId="10969" xr:uid="{00000000-0005-0000-0000-00002B6F0000}"/>
    <cellStyle name="Total 2 4 7 2 4 2" xfId="25801" xr:uid="{00000000-0005-0000-0000-00002C6F0000}"/>
    <cellStyle name="Total 2 4 7 3" xfId="5139" xr:uid="{00000000-0005-0000-0000-00002D6F0000}"/>
    <cellStyle name="Total 2 4 7 3 2" xfId="9178" xr:uid="{00000000-0005-0000-0000-00002E6F0000}"/>
    <cellStyle name="Total 2 4 7 3 2 2" xfId="18101" xr:uid="{00000000-0005-0000-0000-00002F6F0000}"/>
    <cellStyle name="Total 2 4 7 3 2 2 2" xfId="32933" xr:uid="{00000000-0005-0000-0000-0000306F0000}"/>
    <cellStyle name="Total 2 4 7 3 2 3" xfId="19652" xr:uid="{00000000-0005-0000-0000-0000316F0000}"/>
    <cellStyle name="Total 2 4 7 3 3" xfId="15457" xr:uid="{00000000-0005-0000-0000-0000326F0000}"/>
    <cellStyle name="Total 2 4 7 3 3 2" xfId="30289" xr:uid="{00000000-0005-0000-0000-0000336F0000}"/>
    <cellStyle name="Total 2 4 7 3 4" xfId="11698" xr:uid="{00000000-0005-0000-0000-0000346F0000}"/>
    <cellStyle name="Total 2 4 7 3 4 2" xfId="26530" xr:uid="{00000000-0005-0000-0000-0000356F0000}"/>
    <cellStyle name="Total 2 4 7 4" xfId="4169" xr:uid="{00000000-0005-0000-0000-0000366F0000}"/>
    <cellStyle name="Total 2 4 7 4 2" xfId="8210" xr:uid="{00000000-0005-0000-0000-0000376F0000}"/>
    <cellStyle name="Total 2 4 7 4 2 2" xfId="17557" xr:uid="{00000000-0005-0000-0000-0000386F0000}"/>
    <cellStyle name="Total 2 4 7 4 2 2 2" xfId="32389" xr:uid="{00000000-0005-0000-0000-0000396F0000}"/>
    <cellStyle name="Total 2 4 7 4 2 3" xfId="19295" xr:uid="{00000000-0005-0000-0000-00003A6F0000}"/>
    <cellStyle name="Total 2 4 7 4 3" xfId="14501" xr:uid="{00000000-0005-0000-0000-00003B6F0000}"/>
    <cellStyle name="Total 2 4 7 4 3 2" xfId="29333" xr:uid="{00000000-0005-0000-0000-00003C6F0000}"/>
    <cellStyle name="Total 2 4 7 4 4" xfId="11177" xr:uid="{00000000-0005-0000-0000-00003D6F0000}"/>
    <cellStyle name="Total 2 4 7 4 4 2" xfId="26009" xr:uid="{00000000-0005-0000-0000-00003E6F0000}"/>
    <cellStyle name="Total 2 4 7 5" xfId="6285" xr:uid="{00000000-0005-0000-0000-00003F6F0000}"/>
    <cellStyle name="Total 2 4 7 5 2" xfId="16469" xr:uid="{00000000-0005-0000-0000-0000406F0000}"/>
    <cellStyle name="Total 2 4 7 5 2 2" xfId="31301" xr:uid="{00000000-0005-0000-0000-0000416F0000}"/>
    <cellStyle name="Total 2 4 7 5 3" xfId="18588" xr:uid="{00000000-0005-0000-0000-0000426F0000}"/>
    <cellStyle name="Total 2 4 7 6" xfId="12539" xr:uid="{00000000-0005-0000-0000-0000436F0000}"/>
    <cellStyle name="Total 2 4 7 6 2" xfId="27371" xr:uid="{00000000-0005-0000-0000-0000446F0000}"/>
    <cellStyle name="Total 2 4 7 7" xfId="10121" xr:uid="{00000000-0005-0000-0000-0000456F0000}"/>
    <cellStyle name="Total 2 4 7 7 2" xfId="24953" xr:uid="{00000000-0005-0000-0000-0000466F0000}"/>
    <cellStyle name="Total 2 4 8" xfId="3369" xr:uid="{00000000-0005-0000-0000-0000476F0000}"/>
    <cellStyle name="Total 2 4 8 2" xfId="7432" xr:uid="{00000000-0005-0000-0000-0000486F0000}"/>
    <cellStyle name="Total 2 4 8 2 2" xfId="17143" xr:uid="{00000000-0005-0000-0000-0000496F0000}"/>
    <cellStyle name="Total 2 4 8 2 2 2" xfId="31975" xr:uid="{00000000-0005-0000-0000-00004A6F0000}"/>
    <cellStyle name="Total 2 4 8 2 3" xfId="19012" xr:uid="{00000000-0005-0000-0000-00004B6F0000}"/>
    <cellStyle name="Total 2 4 8 3" xfId="13706" xr:uid="{00000000-0005-0000-0000-00004C6F0000}"/>
    <cellStyle name="Total 2 4 8 3 2" xfId="28538" xr:uid="{00000000-0005-0000-0000-00004D6F0000}"/>
    <cellStyle name="Total 2 4 8 4" xfId="10762" xr:uid="{00000000-0005-0000-0000-00004E6F0000}"/>
    <cellStyle name="Total 2 4 8 4 2" xfId="25594" xr:uid="{00000000-0005-0000-0000-00004F6F0000}"/>
    <cellStyle name="Total 2 4 9" xfId="3230" xr:uid="{00000000-0005-0000-0000-0000506F0000}"/>
    <cellStyle name="Total 2 4 9 2" xfId="7294" xr:uid="{00000000-0005-0000-0000-0000516F0000}"/>
    <cellStyle name="Total 2 4 9 2 2" xfId="17054" xr:uid="{00000000-0005-0000-0000-0000526F0000}"/>
    <cellStyle name="Total 2 4 9 2 2 2" xfId="31886" xr:uid="{00000000-0005-0000-0000-0000536F0000}"/>
    <cellStyle name="Total 2 4 9 2 3" xfId="18970" xr:uid="{00000000-0005-0000-0000-0000546F0000}"/>
    <cellStyle name="Total 2 4 9 3" xfId="13568" xr:uid="{00000000-0005-0000-0000-0000556F0000}"/>
    <cellStyle name="Total 2 4 9 3 2" xfId="28400" xr:uid="{00000000-0005-0000-0000-0000566F0000}"/>
    <cellStyle name="Total 2 4 9 4" xfId="10694" xr:uid="{00000000-0005-0000-0000-0000576F0000}"/>
    <cellStyle name="Total 2 4 9 4 2" xfId="25526" xr:uid="{00000000-0005-0000-0000-0000586F0000}"/>
    <cellStyle name="Total 2 5" xfId="1271" xr:uid="{00000000-0005-0000-0000-0000596F0000}"/>
    <cellStyle name="Total 2 5 10" xfId="2338" xr:uid="{00000000-0005-0000-0000-00005A6F0000}"/>
    <cellStyle name="Total 2 5 10 2" xfId="6450" xr:uid="{00000000-0005-0000-0000-00005B6F0000}"/>
    <cellStyle name="Total 2 5 10 2 2" xfId="16542" xr:uid="{00000000-0005-0000-0000-00005C6F0000}"/>
    <cellStyle name="Total 2 5 10 2 2 2" xfId="31374" xr:uid="{00000000-0005-0000-0000-00005D6F0000}"/>
    <cellStyle name="Total 2 5 10 2 3" xfId="18630" xr:uid="{00000000-0005-0000-0000-00005E6F0000}"/>
    <cellStyle name="Total 2 5 10 3" xfId="12678" xr:uid="{00000000-0005-0000-0000-00005F6F0000}"/>
    <cellStyle name="Total 2 5 10 3 2" xfId="27510" xr:uid="{00000000-0005-0000-0000-0000606F0000}"/>
    <cellStyle name="Total 2 5 10 4" xfId="10193" xr:uid="{00000000-0005-0000-0000-0000616F0000}"/>
    <cellStyle name="Total 2 5 10 4 2" xfId="25025" xr:uid="{00000000-0005-0000-0000-0000626F0000}"/>
    <cellStyle name="Total 2 5 11" xfId="5300" xr:uid="{00000000-0005-0000-0000-0000636F0000}"/>
    <cellStyle name="Total 2 5 11 2" xfId="9308" xr:uid="{00000000-0005-0000-0000-0000646F0000}"/>
    <cellStyle name="Total 2 5 11 2 2" xfId="18175" xr:uid="{00000000-0005-0000-0000-0000656F0000}"/>
    <cellStyle name="Total 2 5 11 2 2 2" xfId="33007" xr:uid="{00000000-0005-0000-0000-0000666F0000}"/>
    <cellStyle name="Total 2 5 11 2 3" xfId="19694" xr:uid="{00000000-0005-0000-0000-0000676F0000}"/>
    <cellStyle name="Total 2 5 11 3" xfId="15616" xr:uid="{00000000-0005-0000-0000-0000686F0000}"/>
    <cellStyle name="Total 2 5 11 3 2" xfId="30448" xr:uid="{00000000-0005-0000-0000-0000696F0000}"/>
    <cellStyle name="Total 2 5 12" xfId="5458" xr:uid="{00000000-0005-0000-0000-00006A6F0000}"/>
    <cellStyle name="Total 2 5 12 2" xfId="15694" xr:uid="{00000000-0005-0000-0000-00006B6F0000}"/>
    <cellStyle name="Total 2 5 12 2 2" xfId="30526" xr:uid="{00000000-0005-0000-0000-00006C6F0000}"/>
    <cellStyle name="Total 2 5 12 3" xfId="18271" xr:uid="{00000000-0005-0000-0000-00006D6F0000}"/>
    <cellStyle name="Total 2 5 13" xfId="9333" xr:uid="{00000000-0005-0000-0000-00006E6F0000}"/>
    <cellStyle name="Total 2 5 13 2" xfId="24639" xr:uid="{00000000-0005-0000-0000-00006F6F0000}"/>
    <cellStyle name="Total 2 5 14" xfId="5322" xr:uid="{00000000-0005-0000-0000-0000706F0000}"/>
    <cellStyle name="Total 2 5 14 2" xfId="18196" xr:uid="{00000000-0005-0000-0000-0000716F0000}"/>
    <cellStyle name="Total 2 5 2" xfId="1370" xr:uid="{00000000-0005-0000-0000-0000726F0000}"/>
    <cellStyle name="Total 2 5 2 2" xfId="1874" xr:uid="{00000000-0005-0000-0000-0000736F0000}"/>
    <cellStyle name="Total 2 5 2 2 2" xfId="4148" xr:uid="{00000000-0005-0000-0000-0000746F0000}"/>
    <cellStyle name="Total 2 5 2 2 2 2" xfId="8191" xr:uid="{00000000-0005-0000-0000-0000756F0000}"/>
    <cellStyle name="Total 2 5 2 2 2 2 2" xfId="17544" xr:uid="{00000000-0005-0000-0000-0000766F0000}"/>
    <cellStyle name="Total 2 5 2 2 2 2 2 2" xfId="32376" xr:uid="{00000000-0005-0000-0000-0000776F0000}"/>
    <cellStyle name="Total 2 5 2 2 2 2 3" xfId="19283" xr:uid="{00000000-0005-0000-0000-0000786F0000}"/>
    <cellStyle name="Total 2 5 2 2 2 3" xfId="14480" xr:uid="{00000000-0005-0000-0000-0000796F0000}"/>
    <cellStyle name="Total 2 5 2 2 2 3 2" xfId="29312" xr:uid="{00000000-0005-0000-0000-00007A6F0000}"/>
    <cellStyle name="Total 2 5 2 2 2 4" xfId="11162" xr:uid="{00000000-0005-0000-0000-00007B6F0000}"/>
    <cellStyle name="Total 2 5 2 2 2 4 2" xfId="25994" xr:uid="{00000000-0005-0000-0000-00007C6F0000}"/>
    <cellStyle name="Total 2 5 2 2 3" xfId="4852" xr:uid="{00000000-0005-0000-0000-00007D6F0000}"/>
    <cellStyle name="Total 2 5 2 2 3 2" xfId="8891" xr:uid="{00000000-0005-0000-0000-00007E6F0000}"/>
    <cellStyle name="Total 2 5 2 2 3 2 2" xfId="17932" xr:uid="{00000000-0005-0000-0000-00007F6F0000}"/>
    <cellStyle name="Total 2 5 2 2 3 2 2 2" xfId="32764" xr:uid="{00000000-0005-0000-0000-0000806F0000}"/>
    <cellStyle name="Total 2 5 2 2 3 2 3" xfId="19534" xr:uid="{00000000-0005-0000-0000-0000816F0000}"/>
    <cellStyle name="Total 2 5 2 2 3 3" xfId="15176" xr:uid="{00000000-0005-0000-0000-0000826F0000}"/>
    <cellStyle name="Total 2 5 2 2 3 3 2" xfId="30008" xr:uid="{00000000-0005-0000-0000-0000836F0000}"/>
    <cellStyle name="Total 2 5 2 2 3 4" xfId="11535" xr:uid="{00000000-0005-0000-0000-0000846F0000}"/>
    <cellStyle name="Total 2 5 2 2 3 4 2" xfId="26367" xr:uid="{00000000-0005-0000-0000-0000856F0000}"/>
    <cellStyle name="Total 2 5 2 2 4" xfId="2842" xr:uid="{00000000-0005-0000-0000-0000866F0000}"/>
    <cellStyle name="Total 2 5 2 2 4 2" xfId="6933" xr:uid="{00000000-0005-0000-0000-0000876F0000}"/>
    <cellStyle name="Total 2 5 2 2 4 2 2" xfId="16826" xr:uid="{00000000-0005-0000-0000-0000886F0000}"/>
    <cellStyle name="Total 2 5 2 2 4 2 2 2" xfId="31658" xr:uid="{00000000-0005-0000-0000-0000896F0000}"/>
    <cellStyle name="Total 2 5 2 2 4 2 3" xfId="18825" xr:uid="{00000000-0005-0000-0000-00008A6F0000}"/>
    <cellStyle name="Total 2 5 2 2 4 3" xfId="13180" xr:uid="{00000000-0005-0000-0000-00008B6F0000}"/>
    <cellStyle name="Total 2 5 2 2 4 3 2" xfId="28012" xr:uid="{00000000-0005-0000-0000-00008C6F0000}"/>
    <cellStyle name="Total 2 5 2 2 4 4" xfId="10479" xr:uid="{00000000-0005-0000-0000-00008D6F0000}"/>
    <cellStyle name="Total 2 5 2 2 4 4 2" xfId="25311" xr:uid="{00000000-0005-0000-0000-00008E6F0000}"/>
    <cellStyle name="Total 2 5 2 2 5" xfId="6006" xr:uid="{00000000-0005-0000-0000-00008F6F0000}"/>
    <cellStyle name="Total 2 5 2 2 5 2" xfId="16198" xr:uid="{00000000-0005-0000-0000-0000906F0000}"/>
    <cellStyle name="Total 2 5 2 2 5 2 2" xfId="31030" xr:uid="{00000000-0005-0000-0000-0000916F0000}"/>
    <cellStyle name="Total 2 5 2 2 5 3" xfId="18467" xr:uid="{00000000-0005-0000-0000-0000926F0000}"/>
    <cellStyle name="Total 2 5 2 2 6" xfId="12268" xr:uid="{00000000-0005-0000-0000-0000936F0000}"/>
    <cellStyle name="Total 2 5 2 2 6 2" xfId="27100" xr:uid="{00000000-0005-0000-0000-0000946F0000}"/>
    <cellStyle name="Total 2 5 2 2 7" xfId="9864" xr:uid="{00000000-0005-0000-0000-0000956F0000}"/>
    <cellStyle name="Total 2 5 2 2 7 2" xfId="24790" xr:uid="{00000000-0005-0000-0000-0000966F0000}"/>
    <cellStyle name="Total 2 5 2 3" xfId="4048" xr:uid="{00000000-0005-0000-0000-0000976F0000}"/>
    <cellStyle name="Total 2 5 2 3 2" xfId="8095" xr:uid="{00000000-0005-0000-0000-0000986F0000}"/>
    <cellStyle name="Total 2 5 2 3 2 2" xfId="17491" xr:uid="{00000000-0005-0000-0000-0000996F0000}"/>
    <cellStyle name="Total 2 5 2 3 2 2 2" xfId="32323" xr:uid="{00000000-0005-0000-0000-00009A6F0000}"/>
    <cellStyle name="Total 2 5 2 3 2 3" xfId="19247" xr:uid="{00000000-0005-0000-0000-00009B6F0000}"/>
    <cellStyle name="Total 2 5 2 3 3" xfId="14380" xr:uid="{00000000-0005-0000-0000-00009C6F0000}"/>
    <cellStyle name="Total 2 5 2 3 3 2" xfId="29212" xr:uid="{00000000-0005-0000-0000-00009D6F0000}"/>
    <cellStyle name="Total 2 5 2 3 4" xfId="11107" xr:uid="{00000000-0005-0000-0000-00009E6F0000}"/>
    <cellStyle name="Total 2 5 2 3 4 2" xfId="25939" xr:uid="{00000000-0005-0000-0000-00009F6F0000}"/>
    <cellStyle name="Total 2 5 2 4" xfId="4432" xr:uid="{00000000-0005-0000-0000-0000A06F0000}"/>
    <cellStyle name="Total 2 5 2 4 2" xfId="8471" xr:uid="{00000000-0005-0000-0000-0000A16F0000}"/>
    <cellStyle name="Total 2 5 2 4 2 2" xfId="17692" xr:uid="{00000000-0005-0000-0000-0000A26F0000}"/>
    <cellStyle name="Total 2 5 2 4 2 2 2" xfId="32524" xr:uid="{00000000-0005-0000-0000-0000A36F0000}"/>
    <cellStyle name="Total 2 5 2 4 2 3" xfId="19374" xr:uid="{00000000-0005-0000-0000-0000A46F0000}"/>
    <cellStyle name="Total 2 5 2 4 3" xfId="14761" xr:uid="{00000000-0005-0000-0000-0000A56F0000}"/>
    <cellStyle name="Total 2 5 2 4 3 2" xfId="29593" xr:uid="{00000000-0005-0000-0000-0000A66F0000}"/>
    <cellStyle name="Total 2 5 2 4 4" xfId="11300" xr:uid="{00000000-0005-0000-0000-0000A76F0000}"/>
    <cellStyle name="Total 2 5 2 4 4 2" xfId="26132" xr:uid="{00000000-0005-0000-0000-0000A86F0000}"/>
    <cellStyle name="Total 2 5 2 5" xfId="2422" xr:uid="{00000000-0005-0000-0000-0000A96F0000}"/>
    <cellStyle name="Total 2 5 2 5 2" xfId="6534" xr:uid="{00000000-0005-0000-0000-0000AA6F0000}"/>
    <cellStyle name="Total 2 5 2 5 2 2" xfId="16590" xr:uid="{00000000-0005-0000-0000-0000AB6F0000}"/>
    <cellStyle name="Total 2 5 2 5 2 2 2" xfId="31422" xr:uid="{00000000-0005-0000-0000-0000AC6F0000}"/>
    <cellStyle name="Total 2 5 2 5 2 3" xfId="18662" xr:uid="{00000000-0005-0000-0000-0000AD6F0000}"/>
    <cellStyle name="Total 2 5 2 5 3" xfId="12761" xr:uid="{00000000-0005-0000-0000-0000AE6F0000}"/>
    <cellStyle name="Total 2 5 2 5 3 2" xfId="27593" xr:uid="{00000000-0005-0000-0000-0000AF6F0000}"/>
    <cellStyle name="Total 2 5 2 5 4" xfId="10240" xr:uid="{00000000-0005-0000-0000-0000B06F0000}"/>
    <cellStyle name="Total 2 5 2 5 4 2" xfId="25072" xr:uid="{00000000-0005-0000-0000-0000B16F0000}"/>
    <cellStyle name="Total 2 5 2 6" xfId="5547" xr:uid="{00000000-0005-0000-0000-0000B26F0000}"/>
    <cellStyle name="Total 2 5 2 6 2" xfId="15782" xr:uid="{00000000-0005-0000-0000-0000B36F0000}"/>
    <cellStyle name="Total 2 5 2 6 2 2" xfId="30614" xr:uid="{00000000-0005-0000-0000-0000B46F0000}"/>
    <cellStyle name="Total 2 5 2 6 3" xfId="18304" xr:uid="{00000000-0005-0000-0000-0000B56F0000}"/>
    <cellStyle name="Total 2 5 2 7" xfId="11797" xr:uid="{00000000-0005-0000-0000-0000B66F0000}"/>
    <cellStyle name="Total 2 5 2 7 2" xfId="26629" xr:uid="{00000000-0005-0000-0000-0000B76F0000}"/>
    <cellStyle name="Total 2 5 2 8" xfId="9468" xr:uid="{00000000-0005-0000-0000-0000B86F0000}"/>
    <cellStyle name="Total 2 5 2 8 2" xfId="19772" xr:uid="{00000000-0005-0000-0000-0000B96F0000}"/>
    <cellStyle name="Total 2 5 3" xfId="1542" xr:uid="{00000000-0005-0000-0000-0000BA6F0000}"/>
    <cellStyle name="Total 2 5 3 2" xfId="2039" xr:uid="{00000000-0005-0000-0000-0000BB6F0000}"/>
    <cellStyle name="Total 2 5 3 2 2" xfId="3802" xr:uid="{00000000-0005-0000-0000-0000BC6F0000}"/>
    <cellStyle name="Total 2 5 3 2 2 2" xfId="7857" xr:uid="{00000000-0005-0000-0000-0000BD6F0000}"/>
    <cellStyle name="Total 2 5 3 2 2 2 2" xfId="17372" xr:uid="{00000000-0005-0000-0000-0000BE6F0000}"/>
    <cellStyle name="Total 2 5 3 2 2 2 2 2" xfId="32204" xr:uid="{00000000-0005-0000-0000-0000BF6F0000}"/>
    <cellStyle name="Total 2 5 3 2 2 2 3" xfId="19158" xr:uid="{00000000-0005-0000-0000-0000C06F0000}"/>
    <cellStyle name="Total 2 5 3 2 2 3" xfId="14137" xr:uid="{00000000-0005-0000-0000-0000C16F0000}"/>
    <cellStyle name="Total 2 5 3 2 2 3 2" xfId="28969" xr:uid="{00000000-0005-0000-0000-0000C26F0000}"/>
    <cellStyle name="Total 2 5 3 2 2 4" xfId="10989" xr:uid="{00000000-0005-0000-0000-0000C36F0000}"/>
    <cellStyle name="Total 2 5 3 2 2 4 2" xfId="25821" xr:uid="{00000000-0005-0000-0000-0000C46F0000}"/>
    <cellStyle name="Total 2 5 3 2 3" xfId="5007" xr:uid="{00000000-0005-0000-0000-0000C56F0000}"/>
    <cellStyle name="Total 2 5 3 2 3 2" xfId="9046" xr:uid="{00000000-0005-0000-0000-0000C66F0000}"/>
    <cellStyle name="Total 2 5 3 2 3 2 2" xfId="17984" xr:uid="{00000000-0005-0000-0000-0000C76F0000}"/>
    <cellStyle name="Total 2 5 3 2 3 2 2 2" xfId="32816" xr:uid="{00000000-0005-0000-0000-0000C86F0000}"/>
    <cellStyle name="Total 2 5 3 2 3 2 3" xfId="19566" xr:uid="{00000000-0005-0000-0000-0000C96F0000}"/>
    <cellStyle name="Total 2 5 3 2 3 3" xfId="15329" xr:uid="{00000000-0005-0000-0000-0000CA6F0000}"/>
    <cellStyle name="Total 2 5 3 2 3 3 2" xfId="30161" xr:uid="{00000000-0005-0000-0000-0000CB6F0000}"/>
    <cellStyle name="Total 2 5 3 2 3 4" xfId="11585" xr:uid="{00000000-0005-0000-0000-0000CC6F0000}"/>
    <cellStyle name="Total 2 5 3 2 3 4 2" xfId="26417" xr:uid="{00000000-0005-0000-0000-0000CD6F0000}"/>
    <cellStyle name="Total 2 5 3 2 4" xfId="2997" xr:uid="{00000000-0005-0000-0000-0000CE6F0000}"/>
    <cellStyle name="Total 2 5 3 2 4 2" xfId="7077" xr:uid="{00000000-0005-0000-0000-0000CF6F0000}"/>
    <cellStyle name="Total 2 5 3 2 4 2 2" xfId="16876" xr:uid="{00000000-0005-0000-0000-0000D06F0000}"/>
    <cellStyle name="Total 2 5 3 2 4 2 2 2" xfId="31708" xr:uid="{00000000-0005-0000-0000-0000D16F0000}"/>
    <cellStyle name="Total 2 5 3 2 4 2 3" xfId="18858" xr:uid="{00000000-0005-0000-0000-0000D26F0000}"/>
    <cellStyle name="Total 2 5 3 2 4 3" xfId="13335" xr:uid="{00000000-0005-0000-0000-0000D36F0000}"/>
    <cellStyle name="Total 2 5 3 2 4 3 2" xfId="28167" xr:uid="{00000000-0005-0000-0000-0000D46F0000}"/>
    <cellStyle name="Total 2 5 3 2 4 4" xfId="10531" xr:uid="{00000000-0005-0000-0000-0000D56F0000}"/>
    <cellStyle name="Total 2 5 3 2 4 4 2" xfId="25363" xr:uid="{00000000-0005-0000-0000-0000D66F0000}"/>
    <cellStyle name="Total 2 5 3 2 5" xfId="6169" xr:uid="{00000000-0005-0000-0000-0000D76F0000}"/>
    <cellStyle name="Total 2 5 3 2 5 2" xfId="16356" xr:uid="{00000000-0005-0000-0000-0000D86F0000}"/>
    <cellStyle name="Total 2 5 3 2 5 2 2" xfId="31188" xr:uid="{00000000-0005-0000-0000-0000D96F0000}"/>
    <cellStyle name="Total 2 5 3 2 5 3" xfId="18499" xr:uid="{00000000-0005-0000-0000-0000DA6F0000}"/>
    <cellStyle name="Total 2 5 3 2 6" xfId="12426" xr:uid="{00000000-0005-0000-0000-0000DB6F0000}"/>
    <cellStyle name="Total 2 5 3 2 6 2" xfId="27258" xr:uid="{00000000-0005-0000-0000-0000DC6F0000}"/>
    <cellStyle name="Total 2 5 3 2 7" xfId="10008" xr:uid="{00000000-0005-0000-0000-0000DD6F0000}"/>
    <cellStyle name="Total 2 5 3 2 7 2" xfId="24840" xr:uid="{00000000-0005-0000-0000-0000DE6F0000}"/>
    <cellStyle name="Total 2 5 3 3" xfId="3228" xr:uid="{00000000-0005-0000-0000-0000DF6F0000}"/>
    <cellStyle name="Total 2 5 3 3 2" xfId="7292" xr:uid="{00000000-0005-0000-0000-0000E06F0000}"/>
    <cellStyle name="Total 2 5 3 3 2 2" xfId="17052" xr:uid="{00000000-0005-0000-0000-0000E16F0000}"/>
    <cellStyle name="Total 2 5 3 3 2 2 2" xfId="31884" xr:uid="{00000000-0005-0000-0000-0000E26F0000}"/>
    <cellStyle name="Total 2 5 3 3 2 3" xfId="18969" xr:uid="{00000000-0005-0000-0000-0000E36F0000}"/>
    <cellStyle name="Total 2 5 3 3 3" xfId="13566" xr:uid="{00000000-0005-0000-0000-0000E46F0000}"/>
    <cellStyle name="Total 2 5 3 3 3 2" xfId="28398" xr:uid="{00000000-0005-0000-0000-0000E56F0000}"/>
    <cellStyle name="Total 2 5 3 3 4" xfId="10692" xr:uid="{00000000-0005-0000-0000-0000E66F0000}"/>
    <cellStyle name="Total 2 5 3 3 4 2" xfId="25524" xr:uid="{00000000-0005-0000-0000-0000E76F0000}"/>
    <cellStyle name="Total 2 5 3 4" xfId="4587" xr:uid="{00000000-0005-0000-0000-0000E86F0000}"/>
    <cellStyle name="Total 2 5 3 4 2" xfId="8626" xr:uid="{00000000-0005-0000-0000-0000E96F0000}"/>
    <cellStyle name="Total 2 5 3 4 2 2" xfId="17744" xr:uid="{00000000-0005-0000-0000-0000EA6F0000}"/>
    <cellStyle name="Total 2 5 3 4 2 2 2" xfId="32576" xr:uid="{00000000-0005-0000-0000-0000EB6F0000}"/>
    <cellStyle name="Total 2 5 3 4 2 3" xfId="19406" xr:uid="{00000000-0005-0000-0000-0000EC6F0000}"/>
    <cellStyle name="Total 2 5 3 4 3" xfId="14914" xr:uid="{00000000-0005-0000-0000-0000ED6F0000}"/>
    <cellStyle name="Total 2 5 3 4 3 2" xfId="29746" xr:uid="{00000000-0005-0000-0000-0000EE6F0000}"/>
    <cellStyle name="Total 2 5 3 4 4" xfId="11350" xr:uid="{00000000-0005-0000-0000-0000EF6F0000}"/>
    <cellStyle name="Total 2 5 3 4 4 2" xfId="26182" xr:uid="{00000000-0005-0000-0000-0000F06F0000}"/>
    <cellStyle name="Total 2 5 3 5" xfId="2577" xr:uid="{00000000-0005-0000-0000-0000F16F0000}"/>
    <cellStyle name="Total 2 5 3 5 2" xfId="6683" xr:uid="{00000000-0005-0000-0000-0000F26F0000}"/>
    <cellStyle name="Total 2 5 3 5 2 2" xfId="16641" xr:uid="{00000000-0005-0000-0000-0000F36F0000}"/>
    <cellStyle name="Total 2 5 3 5 2 2 2" xfId="31473" xr:uid="{00000000-0005-0000-0000-0000F46F0000}"/>
    <cellStyle name="Total 2 5 3 5 2 3" xfId="18694" xr:uid="{00000000-0005-0000-0000-0000F56F0000}"/>
    <cellStyle name="Total 2 5 3 5 3" xfId="12915" xr:uid="{00000000-0005-0000-0000-0000F66F0000}"/>
    <cellStyle name="Total 2 5 3 5 3 2" xfId="27747" xr:uid="{00000000-0005-0000-0000-0000F76F0000}"/>
    <cellStyle name="Total 2 5 3 5 4" xfId="10291" xr:uid="{00000000-0005-0000-0000-0000F86F0000}"/>
    <cellStyle name="Total 2 5 3 5 4 2" xfId="25123" xr:uid="{00000000-0005-0000-0000-0000F96F0000}"/>
    <cellStyle name="Total 2 5 3 6" xfId="5700" xr:uid="{00000000-0005-0000-0000-0000FA6F0000}"/>
    <cellStyle name="Total 2 5 3 6 2" xfId="15935" xr:uid="{00000000-0005-0000-0000-0000FB6F0000}"/>
    <cellStyle name="Total 2 5 3 6 2 2" xfId="30767" xr:uid="{00000000-0005-0000-0000-0000FC6F0000}"/>
    <cellStyle name="Total 2 5 3 6 3" xfId="18336" xr:uid="{00000000-0005-0000-0000-0000FD6F0000}"/>
    <cellStyle name="Total 2 5 3 7" xfId="11955" xr:uid="{00000000-0005-0000-0000-0000FE6F0000}"/>
    <cellStyle name="Total 2 5 3 7 2" xfId="26787" xr:uid="{00000000-0005-0000-0000-0000FF6F0000}"/>
    <cellStyle name="Total 2 5 3 8" xfId="9613" xr:uid="{00000000-0005-0000-0000-000000700000}"/>
    <cellStyle name="Total 2 5 3 8 2" xfId="19915" xr:uid="{00000000-0005-0000-0000-000001700000}"/>
    <cellStyle name="Total 2 5 4" xfId="1595" xr:uid="{00000000-0005-0000-0000-000002700000}"/>
    <cellStyle name="Total 2 5 4 2" xfId="2092" xr:uid="{00000000-0005-0000-0000-000003700000}"/>
    <cellStyle name="Total 2 5 4 2 2" xfId="3564" xr:uid="{00000000-0005-0000-0000-000004700000}"/>
    <cellStyle name="Total 2 5 4 2 2 2" xfId="7626" xr:uid="{00000000-0005-0000-0000-000005700000}"/>
    <cellStyle name="Total 2 5 4 2 2 2 2" xfId="17259" xr:uid="{00000000-0005-0000-0000-000006700000}"/>
    <cellStyle name="Total 2 5 4 2 2 2 2 2" xfId="32091" xr:uid="{00000000-0005-0000-0000-000007700000}"/>
    <cellStyle name="Total 2 5 4 2 2 2 3" xfId="19082" xr:uid="{00000000-0005-0000-0000-000008700000}"/>
    <cellStyle name="Total 2 5 4 2 2 3" xfId="13900" xr:uid="{00000000-0005-0000-0000-000009700000}"/>
    <cellStyle name="Total 2 5 4 2 2 3 2" xfId="28732" xr:uid="{00000000-0005-0000-0000-00000A700000}"/>
    <cellStyle name="Total 2 5 4 2 2 4" xfId="10876" xr:uid="{00000000-0005-0000-0000-00000B700000}"/>
    <cellStyle name="Total 2 5 4 2 2 4 2" xfId="25708" xr:uid="{00000000-0005-0000-0000-00000C700000}"/>
    <cellStyle name="Total 2 5 4 2 3" xfId="5060" xr:uid="{00000000-0005-0000-0000-00000D700000}"/>
    <cellStyle name="Total 2 5 4 2 3 2" xfId="9099" xr:uid="{00000000-0005-0000-0000-00000E700000}"/>
    <cellStyle name="Total 2 5 4 2 3 2 2" xfId="18032" xr:uid="{00000000-0005-0000-0000-00000F700000}"/>
    <cellStyle name="Total 2 5 4 2 3 2 2 2" xfId="32864" xr:uid="{00000000-0005-0000-0000-000010700000}"/>
    <cellStyle name="Total 2 5 4 2 3 2 3" xfId="19598" xr:uid="{00000000-0005-0000-0000-000011700000}"/>
    <cellStyle name="Total 2 5 4 2 3 3" xfId="15381" xr:uid="{00000000-0005-0000-0000-000012700000}"/>
    <cellStyle name="Total 2 5 4 2 3 3 2" xfId="30213" xr:uid="{00000000-0005-0000-0000-000013700000}"/>
    <cellStyle name="Total 2 5 4 2 3 4" xfId="11632" xr:uid="{00000000-0005-0000-0000-000014700000}"/>
    <cellStyle name="Total 2 5 4 2 3 4 2" xfId="26464" xr:uid="{00000000-0005-0000-0000-000015700000}"/>
    <cellStyle name="Total 2 5 4 2 4" xfId="3050" xr:uid="{00000000-0005-0000-0000-000016700000}"/>
    <cellStyle name="Total 2 5 4 2 4 2" xfId="7125" xr:uid="{00000000-0005-0000-0000-000017700000}"/>
    <cellStyle name="Total 2 5 4 2 4 2 2" xfId="16923" xr:uid="{00000000-0005-0000-0000-000018700000}"/>
    <cellStyle name="Total 2 5 4 2 4 2 2 2" xfId="31755" xr:uid="{00000000-0005-0000-0000-000019700000}"/>
    <cellStyle name="Total 2 5 4 2 4 2 3" xfId="18891" xr:uid="{00000000-0005-0000-0000-00001A700000}"/>
    <cellStyle name="Total 2 5 4 2 4 3" xfId="13388" xr:uid="{00000000-0005-0000-0000-00001B700000}"/>
    <cellStyle name="Total 2 5 4 2 4 3 2" xfId="28220" xr:uid="{00000000-0005-0000-0000-00001C700000}"/>
    <cellStyle name="Total 2 5 4 2 4 4" xfId="10579" xr:uid="{00000000-0005-0000-0000-00001D700000}"/>
    <cellStyle name="Total 2 5 4 2 4 4 2" xfId="25411" xr:uid="{00000000-0005-0000-0000-00001E700000}"/>
    <cellStyle name="Total 2 5 4 2 5" xfId="6217" xr:uid="{00000000-0005-0000-0000-00001F700000}"/>
    <cellStyle name="Total 2 5 4 2 5 2" xfId="16403" xr:uid="{00000000-0005-0000-0000-000020700000}"/>
    <cellStyle name="Total 2 5 4 2 5 2 2" xfId="31235" xr:uid="{00000000-0005-0000-0000-000021700000}"/>
    <cellStyle name="Total 2 5 4 2 5 3" xfId="18532" xr:uid="{00000000-0005-0000-0000-000022700000}"/>
    <cellStyle name="Total 2 5 4 2 6" xfId="12473" xr:uid="{00000000-0005-0000-0000-000023700000}"/>
    <cellStyle name="Total 2 5 4 2 6 2" xfId="27305" xr:uid="{00000000-0005-0000-0000-000024700000}"/>
    <cellStyle name="Total 2 5 4 2 7" xfId="10055" xr:uid="{00000000-0005-0000-0000-000025700000}"/>
    <cellStyle name="Total 2 5 4 2 7 2" xfId="24887" xr:uid="{00000000-0005-0000-0000-000026700000}"/>
    <cellStyle name="Total 2 5 4 3" xfId="3425" xr:uid="{00000000-0005-0000-0000-000027700000}"/>
    <cellStyle name="Total 2 5 4 3 2" xfId="7488" xr:uid="{00000000-0005-0000-0000-000028700000}"/>
    <cellStyle name="Total 2 5 4 3 2 2" xfId="17183" xr:uid="{00000000-0005-0000-0000-000029700000}"/>
    <cellStyle name="Total 2 5 4 3 2 2 2" xfId="32015" xr:uid="{00000000-0005-0000-0000-00002A700000}"/>
    <cellStyle name="Total 2 5 4 3 2 3" xfId="19031" xr:uid="{00000000-0005-0000-0000-00002B700000}"/>
    <cellStyle name="Total 2 5 4 3 3" xfId="13762" xr:uid="{00000000-0005-0000-0000-00002C700000}"/>
    <cellStyle name="Total 2 5 4 3 3 2" xfId="28594" xr:uid="{00000000-0005-0000-0000-00002D700000}"/>
    <cellStyle name="Total 2 5 4 3 4" xfId="10802" xr:uid="{00000000-0005-0000-0000-00002E700000}"/>
    <cellStyle name="Total 2 5 4 3 4 2" xfId="25634" xr:uid="{00000000-0005-0000-0000-00002F700000}"/>
    <cellStyle name="Total 2 5 4 4" xfId="4640" xr:uid="{00000000-0005-0000-0000-000030700000}"/>
    <cellStyle name="Total 2 5 4 4 2" xfId="8679" xr:uid="{00000000-0005-0000-0000-000031700000}"/>
    <cellStyle name="Total 2 5 4 4 2 2" xfId="17792" xr:uid="{00000000-0005-0000-0000-000032700000}"/>
    <cellStyle name="Total 2 5 4 4 2 2 2" xfId="32624" xr:uid="{00000000-0005-0000-0000-000033700000}"/>
    <cellStyle name="Total 2 5 4 4 2 3" xfId="19438" xr:uid="{00000000-0005-0000-0000-000034700000}"/>
    <cellStyle name="Total 2 5 4 4 3" xfId="14966" xr:uid="{00000000-0005-0000-0000-000035700000}"/>
    <cellStyle name="Total 2 5 4 4 3 2" xfId="29798" xr:uid="{00000000-0005-0000-0000-000036700000}"/>
    <cellStyle name="Total 2 5 4 4 4" xfId="11397" xr:uid="{00000000-0005-0000-0000-000037700000}"/>
    <cellStyle name="Total 2 5 4 4 4 2" xfId="26229" xr:uid="{00000000-0005-0000-0000-000038700000}"/>
    <cellStyle name="Total 2 5 4 5" xfId="2630" xr:uid="{00000000-0005-0000-0000-000039700000}"/>
    <cellStyle name="Total 2 5 4 5 2" xfId="6731" xr:uid="{00000000-0005-0000-0000-00003A700000}"/>
    <cellStyle name="Total 2 5 4 5 2 2" xfId="16688" xr:uid="{00000000-0005-0000-0000-00003B700000}"/>
    <cellStyle name="Total 2 5 4 5 2 2 2" xfId="31520" xr:uid="{00000000-0005-0000-0000-00003C700000}"/>
    <cellStyle name="Total 2 5 4 5 2 3" xfId="18727" xr:uid="{00000000-0005-0000-0000-00003D700000}"/>
    <cellStyle name="Total 2 5 4 5 3" xfId="12968" xr:uid="{00000000-0005-0000-0000-00003E700000}"/>
    <cellStyle name="Total 2 5 4 5 3 2" xfId="27800" xr:uid="{00000000-0005-0000-0000-00003F700000}"/>
    <cellStyle name="Total 2 5 4 5 4" xfId="10339" xr:uid="{00000000-0005-0000-0000-000040700000}"/>
    <cellStyle name="Total 2 5 4 5 4 2" xfId="25171" xr:uid="{00000000-0005-0000-0000-000041700000}"/>
    <cellStyle name="Total 2 5 4 6" xfId="5747" xr:uid="{00000000-0005-0000-0000-000042700000}"/>
    <cellStyle name="Total 2 5 4 6 2" xfId="15982" xr:uid="{00000000-0005-0000-0000-000043700000}"/>
    <cellStyle name="Total 2 5 4 6 2 2" xfId="30814" xr:uid="{00000000-0005-0000-0000-000044700000}"/>
    <cellStyle name="Total 2 5 4 6 3" xfId="18368" xr:uid="{00000000-0005-0000-0000-000045700000}"/>
    <cellStyle name="Total 2 5 4 7" xfId="12002" xr:uid="{00000000-0005-0000-0000-000046700000}"/>
    <cellStyle name="Total 2 5 4 7 2" xfId="26834" xr:uid="{00000000-0005-0000-0000-000047700000}"/>
    <cellStyle name="Total 2 5 4 8" xfId="9661" xr:uid="{00000000-0005-0000-0000-000048700000}"/>
    <cellStyle name="Total 2 5 4 8 2" xfId="19962" xr:uid="{00000000-0005-0000-0000-000049700000}"/>
    <cellStyle name="Total 2 5 5" xfId="1645" xr:uid="{00000000-0005-0000-0000-00004A700000}"/>
    <cellStyle name="Total 2 5 5 2" xfId="2142" xr:uid="{00000000-0005-0000-0000-00004B700000}"/>
    <cellStyle name="Total 2 5 5 2 2" xfId="3600" xr:uid="{00000000-0005-0000-0000-00004C700000}"/>
    <cellStyle name="Total 2 5 5 2 2 2" xfId="7661" xr:uid="{00000000-0005-0000-0000-00004D700000}"/>
    <cellStyle name="Total 2 5 5 2 2 2 2" xfId="17278" xr:uid="{00000000-0005-0000-0000-00004E700000}"/>
    <cellStyle name="Total 2 5 5 2 2 2 2 2" xfId="32110" xr:uid="{00000000-0005-0000-0000-00004F700000}"/>
    <cellStyle name="Total 2 5 5 2 2 2 3" xfId="19097" xr:uid="{00000000-0005-0000-0000-000050700000}"/>
    <cellStyle name="Total 2 5 5 2 2 3" xfId="13936" xr:uid="{00000000-0005-0000-0000-000051700000}"/>
    <cellStyle name="Total 2 5 5 2 2 3 2" xfId="28768" xr:uid="{00000000-0005-0000-0000-000052700000}"/>
    <cellStyle name="Total 2 5 5 2 2 4" xfId="10895" xr:uid="{00000000-0005-0000-0000-000053700000}"/>
    <cellStyle name="Total 2 5 5 2 2 4 2" xfId="25727" xr:uid="{00000000-0005-0000-0000-000054700000}"/>
    <cellStyle name="Total 2 5 5 2 3" xfId="5110" xr:uid="{00000000-0005-0000-0000-000055700000}"/>
    <cellStyle name="Total 2 5 5 2 3 2" xfId="9149" xr:uid="{00000000-0005-0000-0000-000056700000}"/>
    <cellStyle name="Total 2 5 5 2 3 2 2" xfId="18077" xr:uid="{00000000-0005-0000-0000-000057700000}"/>
    <cellStyle name="Total 2 5 5 2 3 2 2 2" xfId="32909" xr:uid="{00000000-0005-0000-0000-000058700000}"/>
    <cellStyle name="Total 2 5 5 2 3 2 3" xfId="19630" xr:uid="{00000000-0005-0000-0000-000059700000}"/>
    <cellStyle name="Total 2 5 5 2 3 3" xfId="15430" xr:uid="{00000000-0005-0000-0000-00005A700000}"/>
    <cellStyle name="Total 2 5 5 2 3 3 2" xfId="30262" xr:uid="{00000000-0005-0000-0000-00005B700000}"/>
    <cellStyle name="Total 2 5 5 2 3 4" xfId="11676" xr:uid="{00000000-0005-0000-0000-00005C700000}"/>
    <cellStyle name="Total 2 5 5 2 3 4 2" xfId="26508" xr:uid="{00000000-0005-0000-0000-00005D700000}"/>
    <cellStyle name="Total 2 5 5 2 4" xfId="3100" xr:uid="{00000000-0005-0000-0000-00005E700000}"/>
    <cellStyle name="Total 2 5 5 2 4 2" xfId="7170" xr:uid="{00000000-0005-0000-0000-00005F700000}"/>
    <cellStyle name="Total 2 5 5 2 4 2 2" xfId="16967" xr:uid="{00000000-0005-0000-0000-000060700000}"/>
    <cellStyle name="Total 2 5 5 2 4 2 2 2" xfId="31799" xr:uid="{00000000-0005-0000-0000-000061700000}"/>
    <cellStyle name="Total 2 5 5 2 4 2 3" xfId="18924" xr:uid="{00000000-0005-0000-0000-000062700000}"/>
    <cellStyle name="Total 2 5 5 2 4 3" xfId="13438" xr:uid="{00000000-0005-0000-0000-000063700000}"/>
    <cellStyle name="Total 2 5 5 2 4 3 2" xfId="28270" xr:uid="{00000000-0005-0000-0000-000064700000}"/>
    <cellStyle name="Total 2 5 5 2 4 4" xfId="10624" xr:uid="{00000000-0005-0000-0000-000065700000}"/>
    <cellStyle name="Total 2 5 5 2 4 4 2" xfId="25456" xr:uid="{00000000-0005-0000-0000-000066700000}"/>
    <cellStyle name="Total 2 5 5 2 5" xfId="6262" xr:uid="{00000000-0005-0000-0000-000067700000}"/>
    <cellStyle name="Total 2 5 5 2 5 2" xfId="16447" xr:uid="{00000000-0005-0000-0000-000068700000}"/>
    <cellStyle name="Total 2 5 5 2 5 2 2" xfId="31279" xr:uid="{00000000-0005-0000-0000-000069700000}"/>
    <cellStyle name="Total 2 5 5 2 5 3" xfId="18565" xr:uid="{00000000-0005-0000-0000-00006A700000}"/>
    <cellStyle name="Total 2 5 5 2 6" xfId="12517" xr:uid="{00000000-0005-0000-0000-00006B700000}"/>
    <cellStyle name="Total 2 5 5 2 6 2" xfId="27349" xr:uid="{00000000-0005-0000-0000-00006C700000}"/>
    <cellStyle name="Total 2 5 5 2 7" xfId="10099" xr:uid="{00000000-0005-0000-0000-00006D700000}"/>
    <cellStyle name="Total 2 5 5 2 7 2" xfId="24931" xr:uid="{00000000-0005-0000-0000-00006E700000}"/>
    <cellStyle name="Total 2 5 5 3" xfId="3742" xr:uid="{00000000-0005-0000-0000-00006F700000}"/>
    <cellStyle name="Total 2 5 5 3 2" xfId="7798" xr:uid="{00000000-0005-0000-0000-000070700000}"/>
    <cellStyle name="Total 2 5 5 3 2 2" xfId="17344" xr:uid="{00000000-0005-0000-0000-000071700000}"/>
    <cellStyle name="Total 2 5 5 3 2 2 2" xfId="32176" xr:uid="{00000000-0005-0000-0000-000072700000}"/>
    <cellStyle name="Total 2 5 5 3 2 3" xfId="19138" xr:uid="{00000000-0005-0000-0000-000073700000}"/>
    <cellStyle name="Total 2 5 5 3 3" xfId="14077" xr:uid="{00000000-0005-0000-0000-000074700000}"/>
    <cellStyle name="Total 2 5 5 3 3 2" xfId="28909" xr:uid="{00000000-0005-0000-0000-000075700000}"/>
    <cellStyle name="Total 2 5 5 3 4" xfId="10960" xr:uid="{00000000-0005-0000-0000-000076700000}"/>
    <cellStyle name="Total 2 5 5 3 4 2" xfId="25792" xr:uid="{00000000-0005-0000-0000-000077700000}"/>
    <cellStyle name="Total 2 5 5 4" xfId="4690" xr:uid="{00000000-0005-0000-0000-000078700000}"/>
    <cellStyle name="Total 2 5 5 4 2" xfId="8729" xr:uid="{00000000-0005-0000-0000-000079700000}"/>
    <cellStyle name="Total 2 5 5 4 2 2" xfId="17837" xr:uid="{00000000-0005-0000-0000-00007A700000}"/>
    <cellStyle name="Total 2 5 5 4 2 2 2" xfId="32669" xr:uid="{00000000-0005-0000-0000-00007B700000}"/>
    <cellStyle name="Total 2 5 5 4 2 3" xfId="19470" xr:uid="{00000000-0005-0000-0000-00007C700000}"/>
    <cellStyle name="Total 2 5 5 4 3" xfId="15015" xr:uid="{00000000-0005-0000-0000-00007D700000}"/>
    <cellStyle name="Total 2 5 5 4 3 2" xfId="29847" xr:uid="{00000000-0005-0000-0000-00007E700000}"/>
    <cellStyle name="Total 2 5 5 4 4" xfId="11441" xr:uid="{00000000-0005-0000-0000-00007F700000}"/>
    <cellStyle name="Total 2 5 5 4 4 2" xfId="26273" xr:uid="{00000000-0005-0000-0000-000080700000}"/>
    <cellStyle name="Total 2 5 5 5" xfId="2680" xr:uid="{00000000-0005-0000-0000-000081700000}"/>
    <cellStyle name="Total 2 5 5 5 2" xfId="6776" xr:uid="{00000000-0005-0000-0000-000082700000}"/>
    <cellStyle name="Total 2 5 5 5 2 2" xfId="16732" xr:uid="{00000000-0005-0000-0000-000083700000}"/>
    <cellStyle name="Total 2 5 5 5 2 2 2" xfId="31564" xr:uid="{00000000-0005-0000-0000-000084700000}"/>
    <cellStyle name="Total 2 5 5 5 2 3" xfId="18760" xr:uid="{00000000-0005-0000-0000-000085700000}"/>
    <cellStyle name="Total 2 5 5 5 3" xfId="13018" xr:uid="{00000000-0005-0000-0000-000086700000}"/>
    <cellStyle name="Total 2 5 5 5 3 2" xfId="27850" xr:uid="{00000000-0005-0000-0000-000087700000}"/>
    <cellStyle name="Total 2 5 5 5 4" xfId="10384" xr:uid="{00000000-0005-0000-0000-000088700000}"/>
    <cellStyle name="Total 2 5 5 5 4 2" xfId="25216" xr:uid="{00000000-0005-0000-0000-000089700000}"/>
    <cellStyle name="Total 2 5 5 6" xfId="5792" xr:uid="{00000000-0005-0000-0000-00008A700000}"/>
    <cellStyle name="Total 2 5 5 6 2" xfId="16026" xr:uid="{00000000-0005-0000-0000-00008B700000}"/>
    <cellStyle name="Total 2 5 5 6 2 2" xfId="30858" xr:uid="{00000000-0005-0000-0000-00008C700000}"/>
    <cellStyle name="Total 2 5 5 6 3" xfId="18401" xr:uid="{00000000-0005-0000-0000-00008D700000}"/>
    <cellStyle name="Total 2 5 5 7" xfId="12046" xr:uid="{00000000-0005-0000-0000-00008E700000}"/>
    <cellStyle name="Total 2 5 5 7 2" xfId="26878" xr:uid="{00000000-0005-0000-0000-00008F700000}"/>
    <cellStyle name="Total 2 5 5 8" xfId="9706" xr:uid="{00000000-0005-0000-0000-000090700000}"/>
    <cellStyle name="Total 2 5 5 8 2" xfId="20006" xr:uid="{00000000-0005-0000-0000-000091700000}"/>
    <cellStyle name="Total 2 5 6" xfId="1796" xr:uid="{00000000-0005-0000-0000-000092700000}"/>
    <cellStyle name="Total 2 5 6 2" xfId="3513" xr:uid="{00000000-0005-0000-0000-000093700000}"/>
    <cellStyle name="Total 2 5 6 2 2" xfId="7575" xr:uid="{00000000-0005-0000-0000-000094700000}"/>
    <cellStyle name="Total 2 5 6 2 2 2" xfId="17230" xr:uid="{00000000-0005-0000-0000-000095700000}"/>
    <cellStyle name="Total 2 5 6 2 2 2 2" xfId="32062" xr:uid="{00000000-0005-0000-0000-000096700000}"/>
    <cellStyle name="Total 2 5 6 2 2 3" xfId="19060" xr:uid="{00000000-0005-0000-0000-000097700000}"/>
    <cellStyle name="Total 2 5 6 2 3" xfId="13850" xr:uid="{00000000-0005-0000-0000-000098700000}"/>
    <cellStyle name="Total 2 5 6 2 3 2" xfId="28682" xr:uid="{00000000-0005-0000-0000-000099700000}"/>
    <cellStyle name="Total 2 5 6 2 4" xfId="10848" xr:uid="{00000000-0005-0000-0000-00009A700000}"/>
    <cellStyle name="Total 2 5 6 2 4 2" xfId="25680" xr:uid="{00000000-0005-0000-0000-00009B700000}"/>
    <cellStyle name="Total 2 5 6 3" xfId="4774" xr:uid="{00000000-0005-0000-0000-00009C700000}"/>
    <cellStyle name="Total 2 5 6 3 2" xfId="8813" xr:uid="{00000000-0005-0000-0000-00009D700000}"/>
    <cellStyle name="Total 2 5 6 3 2 2" xfId="17885" xr:uid="{00000000-0005-0000-0000-00009E700000}"/>
    <cellStyle name="Total 2 5 6 3 2 2 2" xfId="32717" xr:uid="{00000000-0005-0000-0000-00009F700000}"/>
    <cellStyle name="Total 2 5 6 3 2 3" xfId="19502" xr:uid="{00000000-0005-0000-0000-0000A0700000}"/>
    <cellStyle name="Total 2 5 6 3 3" xfId="15098" xr:uid="{00000000-0005-0000-0000-0000A1700000}"/>
    <cellStyle name="Total 2 5 6 3 3 2" xfId="29930" xr:uid="{00000000-0005-0000-0000-0000A2700000}"/>
    <cellStyle name="Total 2 5 6 3 4" xfId="11488" xr:uid="{00000000-0005-0000-0000-0000A3700000}"/>
    <cellStyle name="Total 2 5 6 3 4 2" xfId="26320" xr:uid="{00000000-0005-0000-0000-0000A4700000}"/>
    <cellStyle name="Total 2 5 6 4" xfId="2764" xr:uid="{00000000-0005-0000-0000-0000A5700000}"/>
    <cellStyle name="Total 2 5 6 4 2" xfId="6855" xr:uid="{00000000-0005-0000-0000-0000A6700000}"/>
    <cellStyle name="Total 2 5 6 4 2 2" xfId="16779" xr:uid="{00000000-0005-0000-0000-0000A7700000}"/>
    <cellStyle name="Total 2 5 6 4 2 2 2" xfId="31611" xr:uid="{00000000-0005-0000-0000-0000A8700000}"/>
    <cellStyle name="Total 2 5 6 4 2 3" xfId="18793" xr:uid="{00000000-0005-0000-0000-0000A9700000}"/>
    <cellStyle name="Total 2 5 6 4 3" xfId="13102" xr:uid="{00000000-0005-0000-0000-0000AA700000}"/>
    <cellStyle name="Total 2 5 6 4 3 2" xfId="27934" xr:uid="{00000000-0005-0000-0000-0000AB700000}"/>
    <cellStyle name="Total 2 5 6 4 4" xfId="10432" xr:uid="{00000000-0005-0000-0000-0000AC700000}"/>
    <cellStyle name="Total 2 5 6 4 4 2" xfId="25264" xr:uid="{00000000-0005-0000-0000-0000AD700000}"/>
    <cellStyle name="Total 2 5 6 5" xfId="5928" xr:uid="{00000000-0005-0000-0000-0000AE700000}"/>
    <cellStyle name="Total 2 5 6 5 2" xfId="16120" xr:uid="{00000000-0005-0000-0000-0000AF700000}"/>
    <cellStyle name="Total 2 5 6 5 2 2" xfId="30952" xr:uid="{00000000-0005-0000-0000-0000B0700000}"/>
    <cellStyle name="Total 2 5 6 5 3" xfId="18435" xr:uid="{00000000-0005-0000-0000-0000B1700000}"/>
    <cellStyle name="Total 2 5 6 6" xfId="12190" xr:uid="{00000000-0005-0000-0000-0000B2700000}"/>
    <cellStyle name="Total 2 5 6 6 2" xfId="27022" xr:uid="{00000000-0005-0000-0000-0000B3700000}"/>
    <cellStyle name="Total 2 5 6 7" xfId="9786" xr:uid="{00000000-0005-0000-0000-0000B4700000}"/>
    <cellStyle name="Total 2 5 6 7 2" xfId="24743" xr:uid="{00000000-0005-0000-0000-0000B5700000}"/>
    <cellStyle name="Total 2 5 7" xfId="2170" xr:uid="{00000000-0005-0000-0000-0000B6700000}"/>
    <cellStyle name="Total 2 5 7 2" xfId="3496" xr:uid="{00000000-0005-0000-0000-0000B7700000}"/>
    <cellStyle name="Total 2 5 7 2 2" xfId="7558" xr:uid="{00000000-0005-0000-0000-0000B8700000}"/>
    <cellStyle name="Total 2 5 7 2 2 2" xfId="17219" xr:uid="{00000000-0005-0000-0000-0000B9700000}"/>
    <cellStyle name="Total 2 5 7 2 2 2 2" xfId="32051" xr:uid="{00000000-0005-0000-0000-0000BA700000}"/>
    <cellStyle name="Total 2 5 7 2 2 3" xfId="19055" xr:uid="{00000000-0005-0000-0000-0000BB700000}"/>
    <cellStyle name="Total 2 5 7 2 3" xfId="13833" xr:uid="{00000000-0005-0000-0000-0000BC700000}"/>
    <cellStyle name="Total 2 5 7 2 3 2" xfId="28665" xr:uid="{00000000-0005-0000-0000-0000BD700000}"/>
    <cellStyle name="Total 2 5 7 2 4" xfId="10837" xr:uid="{00000000-0005-0000-0000-0000BE700000}"/>
    <cellStyle name="Total 2 5 7 2 4 2" xfId="25669" xr:uid="{00000000-0005-0000-0000-0000BF700000}"/>
    <cellStyle name="Total 2 5 7 3" xfId="5138" xr:uid="{00000000-0005-0000-0000-0000C0700000}"/>
    <cellStyle name="Total 2 5 7 3 2" xfId="9177" xr:uid="{00000000-0005-0000-0000-0000C1700000}"/>
    <cellStyle name="Total 2 5 7 3 2 2" xfId="18100" xr:uid="{00000000-0005-0000-0000-0000C2700000}"/>
    <cellStyle name="Total 2 5 7 3 2 2 2" xfId="32932" xr:uid="{00000000-0005-0000-0000-0000C3700000}"/>
    <cellStyle name="Total 2 5 7 3 2 3" xfId="19651" xr:uid="{00000000-0005-0000-0000-0000C4700000}"/>
    <cellStyle name="Total 2 5 7 3 3" xfId="15456" xr:uid="{00000000-0005-0000-0000-0000C5700000}"/>
    <cellStyle name="Total 2 5 7 3 3 2" xfId="30288" xr:uid="{00000000-0005-0000-0000-0000C6700000}"/>
    <cellStyle name="Total 2 5 7 3 4" xfId="11697" xr:uid="{00000000-0005-0000-0000-0000C7700000}"/>
    <cellStyle name="Total 2 5 7 3 4 2" xfId="26529" xr:uid="{00000000-0005-0000-0000-0000C8700000}"/>
    <cellStyle name="Total 2 5 7 4" xfId="4168" xr:uid="{00000000-0005-0000-0000-0000C9700000}"/>
    <cellStyle name="Total 2 5 7 4 2" xfId="8209" xr:uid="{00000000-0005-0000-0000-0000CA700000}"/>
    <cellStyle name="Total 2 5 7 4 2 2" xfId="17556" xr:uid="{00000000-0005-0000-0000-0000CB700000}"/>
    <cellStyle name="Total 2 5 7 4 2 2 2" xfId="32388" xr:uid="{00000000-0005-0000-0000-0000CC700000}"/>
    <cellStyle name="Total 2 5 7 4 2 3" xfId="19294" xr:uid="{00000000-0005-0000-0000-0000CD700000}"/>
    <cellStyle name="Total 2 5 7 4 3" xfId="14500" xr:uid="{00000000-0005-0000-0000-0000CE700000}"/>
    <cellStyle name="Total 2 5 7 4 3 2" xfId="29332" xr:uid="{00000000-0005-0000-0000-0000CF700000}"/>
    <cellStyle name="Total 2 5 7 4 4" xfId="11176" xr:uid="{00000000-0005-0000-0000-0000D0700000}"/>
    <cellStyle name="Total 2 5 7 4 4 2" xfId="26008" xr:uid="{00000000-0005-0000-0000-0000D1700000}"/>
    <cellStyle name="Total 2 5 7 5" xfId="6284" xr:uid="{00000000-0005-0000-0000-0000D2700000}"/>
    <cellStyle name="Total 2 5 7 5 2" xfId="16468" xr:uid="{00000000-0005-0000-0000-0000D3700000}"/>
    <cellStyle name="Total 2 5 7 5 2 2" xfId="31300" xr:uid="{00000000-0005-0000-0000-0000D4700000}"/>
    <cellStyle name="Total 2 5 7 5 3" xfId="18587" xr:uid="{00000000-0005-0000-0000-0000D5700000}"/>
    <cellStyle name="Total 2 5 7 6" xfId="12538" xr:uid="{00000000-0005-0000-0000-0000D6700000}"/>
    <cellStyle name="Total 2 5 7 6 2" xfId="27370" xr:uid="{00000000-0005-0000-0000-0000D7700000}"/>
    <cellStyle name="Total 2 5 7 7" xfId="10120" xr:uid="{00000000-0005-0000-0000-0000D8700000}"/>
    <cellStyle name="Total 2 5 7 7 2" xfId="24952" xr:uid="{00000000-0005-0000-0000-0000D9700000}"/>
    <cellStyle name="Total 2 5 8" xfId="4298" xr:uid="{00000000-0005-0000-0000-0000DA700000}"/>
    <cellStyle name="Total 2 5 8 2" xfId="8337" xr:uid="{00000000-0005-0000-0000-0000DB700000}"/>
    <cellStyle name="Total 2 5 8 2 2" xfId="17617" xr:uid="{00000000-0005-0000-0000-0000DC700000}"/>
    <cellStyle name="Total 2 5 8 2 2 2" xfId="32449" xr:uid="{00000000-0005-0000-0000-0000DD700000}"/>
    <cellStyle name="Total 2 5 8 2 3" xfId="19325" xr:uid="{00000000-0005-0000-0000-0000DE700000}"/>
    <cellStyle name="Total 2 5 8 3" xfId="14629" xr:uid="{00000000-0005-0000-0000-0000DF700000}"/>
    <cellStyle name="Total 2 5 8 3 2" xfId="29461" xr:uid="{00000000-0005-0000-0000-0000E0700000}"/>
    <cellStyle name="Total 2 5 8 4" xfId="11229" xr:uid="{00000000-0005-0000-0000-0000E1700000}"/>
    <cellStyle name="Total 2 5 8 4 2" xfId="26061" xr:uid="{00000000-0005-0000-0000-0000E2700000}"/>
    <cellStyle name="Total 2 5 9" xfId="4277" xr:uid="{00000000-0005-0000-0000-0000E3700000}"/>
    <cellStyle name="Total 2 5 9 2" xfId="8316" xr:uid="{00000000-0005-0000-0000-0000E4700000}"/>
    <cellStyle name="Total 2 5 9 2 2" xfId="17600" xr:uid="{00000000-0005-0000-0000-0000E5700000}"/>
    <cellStyle name="Total 2 5 9 2 2 2" xfId="32432" xr:uid="{00000000-0005-0000-0000-0000E6700000}"/>
    <cellStyle name="Total 2 5 9 2 3" xfId="19317" xr:uid="{00000000-0005-0000-0000-0000E7700000}"/>
    <cellStyle name="Total 2 5 9 3" xfId="14609" xr:uid="{00000000-0005-0000-0000-0000E8700000}"/>
    <cellStyle name="Total 2 5 9 3 2" xfId="29441" xr:uid="{00000000-0005-0000-0000-0000E9700000}"/>
    <cellStyle name="Total 2 5 9 4" xfId="11218" xr:uid="{00000000-0005-0000-0000-0000EA700000}"/>
    <cellStyle name="Total 2 5 9 4 2" xfId="26050" xr:uid="{00000000-0005-0000-0000-0000EB700000}"/>
    <cellStyle name="Total 2 6" xfId="1272" xr:uid="{00000000-0005-0000-0000-0000EC700000}"/>
    <cellStyle name="Total 2 6 10" xfId="2339" xr:uid="{00000000-0005-0000-0000-0000ED700000}"/>
    <cellStyle name="Total 2 6 10 2" xfId="6451" xr:uid="{00000000-0005-0000-0000-0000EE700000}"/>
    <cellStyle name="Total 2 6 10 2 2" xfId="16543" xr:uid="{00000000-0005-0000-0000-0000EF700000}"/>
    <cellStyle name="Total 2 6 10 2 2 2" xfId="31375" xr:uid="{00000000-0005-0000-0000-0000F0700000}"/>
    <cellStyle name="Total 2 6 10 2 3" xfId="18631" xr:uid="{00000000-0005-0000-0000-0000F1700000}"/>
    <cellStyle name="Total 2 6 10 3" xfId="12679" xr:uid="{00000000-0005-0000-0000-0000F2700000}"/>
    <cellStyle name="Total 2 6 10 3 2" xfId="27511" xr:uid="{00000000-0005-0000-0000-0000F3700000}"/>
    <cellStyle name="Total 2 6 10 4" xfId="10194" xr:uid="{00000000-0005-0000-0000-0000F4700000}"/>
    <cellStyle name="Total 2 6 10 4 2" xfId="25026" xr:uid="{00000000-0005-0000-0000-0000F5700000}"/>
    <cellStyle name="Total 2 6 11" xfId="5301" xr:uid="{00000000-0005-0000-0000-0000F6700000}"/>
    <cellStyle name="Total 2 6 11 2" xfId="9309" xr:uid="{00000000-0005-0000-0000-0000F7700000}"/>
    <cellStyle name="Total 2 6 11 2 2" xfId="18176" xr:uid="{00000000-0005-0000-0000-0000F8700000}"/>
    <cellStyle name="Total 2 6 11 2 2 2" xfId="33008" xr:uid="{00000000-0005-0000-0000-0000F9700000}"/>
    <cellStyle name="Total 2 6 11 2 3" xfId="19695" xr:uid="{00000000-0005-0000-0000-0000FA700000}"/>
    <cellStyle name="Total 2 6 11 3" xfId="15617" xr:uid="{00000000-0005-0000-0000-0000FB700000}"/>
    <cellStyle name="Total 2 6 11 3 2" xfId="30449" xr:uid="{00000000-0005-0000-0000-0000FC700000}"/>
    <cellStyle name="Total 2 6 12" xfId="5459" xr:uid="{00000000-0005-0000-0000-0000FD700000}"/>
    <cellStyle name="Total 2 6 12 2" xfId="15695" xr:uid="{00000000-0005-0000-0000-0000FE700000}"/>
    <cellStyle name="Total 2 6 12 2 2" xfId="30527" xr:uid="{00000000-0005-0000-0000-0000FF700000}"/>
    <cellStyle name="Total 2 6 12 3" xfId="18272" xr:uid="{00000000-0005-0000-0000-000000710000}"/>
    <cellStyle name="Total 2 6 13" xfId="9332" xr:uid="{00000000-0005-0000-0000-000001710000}"/>
    <cellStyle name="Total 2 6 13 2" xfId="24638" xr:uid="{00000000-0005-0000-0000-000002710000}"/>
    <cellStyle name="Total 2 6 14" xfId="5321" xr:uid="{00000000-0005-0000-0000-000003710000}"/>
    <cellStyle name="Total 2 6 14 2" xfId="18195" xr:uid="{00000000-0005-0000-0000-000004710000}"/>
    <cellStyle name="Total 2 6 2" xfId="1371" xr:uid="{00000000-0005-0000-0000-000005710000}"/>
    <cellStyle name="Total 2 6 2 2" xfId="1875" xr:uid="{00000000-0005-0000-0000-000006710000}"/>
    <cellStyle name="Total 2 6 2 2 2" xfId="3382" xr:uid="{00000000-0005-0000-0000-000007710000}"/>
    <cellStyle name="Total 2 6 2 2 2 2" xfId="7445" xr:uid="{00000000-0005-0000-0000-000008710000}"/>
    <cellStyle name="Total 2 6 2 2 2 2 2" xfId="17152" xr:uid="{00000000-0005-0000-0000-000009710000}"/>
    <cellStyle name="Total 2 6 2 2 2 2 2 2" xfId="31984" xr:uid="{00000000-0005-0000-0000-00000A710000}"/>
    <cellStyle name="Total 2 6 2 2 2 2 3" xfId="19018" xr:uid="{00000000-0005-0000-0000-00000B710000}"/>
    <cellStyle name="Total 2 6 2 2 2 3" xfId="13719" xr:uid="{00000000-0005-0000-0000-00000C710000}"/>
    <cellStyle name="Total 2 6 2 2 2 3 2" xfId="28551" xr:uid="{00000000-0005-0000-0000-00000D710000}"/>
    <cellStyle name="Total 2 6 2 2 2 4" xfId="10771" xr:uid="{00000000-0005-0000-0000-00000E710000}"/>
    <cellStyle name="Total 2 6 2 2 2 4 2" xfId="25603" xr:uid="{00000000-0005-0000-0000-00000F710000}"/>
    <cellStyle name="Total 2 6 2 2 3" xfId="4853" xr:uid="{00000000-0005-0000-0000-000010710000}"/>
    <cellStyle name="Total 2 6 2 2 3 2" xfId="8892" xr:uid="{00000000-0005-0000-0000-000011710000}"/>
    <cellStyle name="Total 2 6 2 2 3 2 2" xfId="17933" xr:uid="{00000000-0005-0000-0000-000012710000}"/>
    <cellStyle name="Total 2 6 2 2 3 2 2 2" xfId="32765" xr:uid="{00000000-0005-0000-0000-000013710000}"/>
    <cellStyle name="Total 2 6 2 2 3 2 3" xfId="19535" xr:uid="{00000000-0005-0000-0000-000014710000}"/>
    <cellStyle name="Total 2 6 2 2 3 3" xfId="15177" xr:uid="{00000000-0005-0000-0000-000015710000}"/>
    <cellStyle name="Total 2 6 2 2 3 3 2" xfId="30009" xr:uid="{00000000-0005-0000-0000-000016710000}"/>
    <cellStyle name="Total 2 6 2 2 3 4" xfId="11536" xr:uid="{00000000-0005-0000-0000-000017710000}"/>
    <cellStyle name="Total 2 6 2 2 3 4 2" xfId="26368" xr:uid="{00000000-0005-0000-0000-000018710000}"/>
    <cellStyle name="Total 2 6 2 2 4" xfId="2843" xr:uid="{00000000-0005-0000-0000-000019710000}"/>
    <cellStyle name="Total 2 6 2 2 4 2" xfId="6934" xr:uid="{00000000-0005-0000-0000-00001A710000}"/>
    <cellStyle name="Total 2 6 2 2 4 2 2" xfId="16827" xr:uid="{00000000-0005-0000-0000-00001B710000}"/>
    <cellStyle name="Total 2 6 2 2 4 2 2 2" xfId="31659" xr:uid="{00000000-0005-0000-0000-00001C710000}"/>
    <cellStyle name="Total 2 6 2 2 4 2 3" xfId="18826" xr:uid="{00000000-0005-0000-0000-00001D710000}"/>
    <cellStyle name="Total 2 6 2 2 4 3" xfId="13181" xr:uid="{00000000-0005-0000-0000-00001E710000}"/>
    <cellStyle name="Total 2 6 2 2 4 3 2" xfId="28013" xr:uid="{00000000-0005-0000-0000-00001F710000}"/>
    <cellStyle name="Total 2 6 2 2 4 4" xfId="10480" xr:uid="{00000000-0005-0000-0000-000020710000}"/>
    <cellStyle name="Total 2 6 2 2 4 4 2" xfId="25312" xr:uid="{00000000-0005-0000-0000-000021710000}"/>
    <cellStyle name="Total 2 6 2 2 5" xfId="6007" xr:uid="{00000000-0005-0000-0000-000022710000}"/>
    <cellStyle name="Total 2 6 2 2 5 2" xfId="16199" xr:uid="{00000000-0005-0000-0000-000023710000}"/>
    <cellStyle name="Total 2 6 2 2 5 2 2" xfId="31031" xr:uid="{00000000-0005-0000-0000-000024710000}"/>
    <cellStyle name="Total 2 6 2 2 5 3" xfId="18468" xr:uid="{00000000-0005-0000-0000-000025710000}"/>
    <cellStyle name="Total 2 6 2 2 6" xfId="12269" xr:uid="{00000000-0005-0000-0000-000026710000}"/>
    <cellStyle name="Total 2 6 2 2 6 2" xfId="27101" xr:uid="{00000000-0005-0000-0000-000027710000}"/>
    <cellStyle name="Total 2 6 2 2 7" xfId="9865" xr:uid="{00000000-0005-0000-0000-000028710000}"/>
    <cellStyle name="Total 2 6 2 2 7 2" xfId="24791" xr:uid="{00000000-0005-0000-0000-000029710000}"/>
    <cellStyle name="Total 2 6 2 3" xfId="3331" xr:uid="{00000000-0005-0000-0000-00002A710000}"/>
    <cellStyle name="Total 2 6 2 3 2" xfId="7394" xr:uid="{00000000-0005-0000-0000-00002B710000}"/>
    <cellStyle name="Total 2 6 2 3 2 2" xfId="17127" xr:uid="{00000000-0005-0000-0000-00002C710000}"/>
    <cellStyle name="Total 2 6 2 3 2 2 2" xfId="31959" xr:uid="{00000000-0005-0000-0000-00002D710000}"/>
    <cellStyle name="Total 2 6 2 3 2 3" xfId="19002" xr:uid="{00000000-0005-0000-0000-00002E710000}"/>
    <cellStyle name="Total 2 6 2 3 3" xfId="13668" xr:uid="{00000000-0005-0000-0000-00002F710000}"/>
    <cellStyle name="Total 2 6 2 3 3 2" xfId="28500" xr:uid="{00000000-0005-0000-0000-000030710000}"/>
    <cellStyle name="Total 2 6 2 3 4" xfId="10748" xr:uid="{00000000-0005-0000-0000-000031710000}"/>
    <cellStyle name="Total 2 6 2 3 4 2" xfId="25580" xr:uid="{00000000-0005-0000-0000-000032710000}"/>
    <cellStyle name="Total 2 6 2 4" xfId="4433" xr:uid="{00000000-0005-0000-0000-000033710000}"/>
    <cellStyle name="Total 2 6 2 4 2" xfId="8472" xr:uid="{00000000-0005-0000-0000-000034710000}"/>
    <cellStyle name="Total 2 6 2 4 2 2" xfId="17693" xr:uid="{00000000-0005-0000-0000-000035710000}"/>
    <cellStyle name="Total 2 6 2 4 2 2 2" xfId="32525" xr:uid="{00000000-0005-0000-0000-000036710000}"/>
    <cellStyle name="Total 2 6 2 4 2 3" xfId="19375" xr:uid="{00000000-0005-0000-0000-000037710000}"/>
    <cellStyle name="Total 2 6 2 4 3" xfId="14762" xr:uid="{00000000-0005-0000-0000-000038710000}"/>
    <cellStyle name="Total 2 6 2 4 3 2" xfId="29594" xr:uid="{00000000-0005-0000-0000-000039710000}"/>
    <cellStyle name="Total 2 6 2 4 4" xfId="11301" xr:uid="{00000000-0005-0000-0000-00003A710000}"/>
    <cellStyle name="Total 2 6 2 4 4 2" xfId="26133" xr:uid="{00000000-0005-0000-0000-00003B710000}"/>
    <cellStyle name="Total 2 6 2 5" xfId="2423" xr:uid="{00000000-0005-0000-0000-00003C710000}"/>
    <cellStyle name="Total 2 6 2 5 2" xfId="6535" xr:uid="{00000000-0005-0000-0000-00003D710000}"/>
    <cellStyle name="Total 2 6 2 5 2 2" xfId="16591" xr:uid="{00000000-0005-0000-0000-00003E710000}"/>
    <cellStyle name="Total 2 6 2 5 2 2 2" xfId="31423" xr:uid="{00000000-0005-0000-0000-00003F710000}"/>
    <cellStyle name="Total 2 6 2 5 2 3" xfId="18663" xr:uid="{00000000-0005-0000-0000-000040710000}"/>
    <cellStyle name="Total 2 6 2 5 3" xfId="12762" xr:uid="{00000000-0005-0000-0000-000041710000}"/>
    <cellStyle name="Total 2 6 2 5 3 2" xfId="27594" xr:uid="{00000000-0005-0000-0000-000042710000}"/>
    <cellStyle name="Total 2 6 2 5 4" xfId="10241" xr:uid="{00000000-0005-0000-0000-000043710000}"/>
    <cellStyle name="Total 2 6 2 5 4 2" xfId="25073" xr:uid="{00000000-0005-0000-0000-000044710000}"/>
    <cellStyle name="Total 2 6 2 6" xfId="5548" xr:uid="{00000000-0005-0000-0000-000045710000}"/>
    <cellStyle name="Total 2 6 2 6 2" xfId="15783" xr:uid="{00000000-0005-0000-0000-000046710000}"/>
    <cellStyle name="Total 2 6 2 6 2 2" xfId="30615" xr:uid="{00000000-0005-0000-0000-000047710000}"/>
    <cellStyle name="Total 2 6 2 6 3" xfId="18305" xr:uid="{00000000-0005-0000-0000-000048710000}"/>
    <cellStyle name="Total 2 6 2 7" xfId="11798" xr:uid="{00000000-0005-0000-0000-000049710000}"/>
    <cellStyle name="Total 2 6 2 7 2" xfId="26630" xr:uid="{00000000-0005-0000-0000-00004A710000}"/>
    <cellStyle name="Total 2 6 2 8" xfId="9469" xr:uid="{00000000-0005-0000-0000-00004B710000}"/>
    <cellStyle name="Total 2 6 2 8 2" xfId="19773" xr:uid="{00000000-0005-0000-0000-00004C710000}"/>
    <cellStyle name="Total 2 6 3" xfId="1543" xr:uid="{00000000-0005-0000-0000-00004D710000}"/>
    <cellStyle name="Total 2 6 3 2" xfId="2040" xr:uid="{00000000-0005-0000-0000-00004E710000}"/>
    <cellStyle name="Total 2 6 3 2 2" xfId="3548" xr:uid="{00000000-0005-0000-0000-00004F710000}"/>
    <cellStyle name="Total 2 6 3 2 2 2" xfId="7610" xr:uid="{00000000-0005-0000-0000-000050710000}"/>
    <cellStyle name="Total 2 6 3 2 2 2 2" xfId="17252" xr:uid="{00000000-0005-0000-0000-000051710000}"/>
    <cellStyle name="Total 2 6 3 2 2 2 2 2" xfId="32084" xr:uid="{00000000-0005-0000-0000-000052710000}"/>
    <cellStyle name="Total 2 6 3 2 2 2 3" xfId="19075" xr:uid="{00000000-0005-0000-0000-000053710000}"/>
    <cellStyle name="Total 2 6 3 2 2 3" xfId="13884" xr:uid="{00000000-0005-0000-0000-000054710000}"/>
    <cellStyle name="Total 2 6 3 2 2 3 2" xfId="28716" xr:uid="{00000000-0005-0000-0000-000055710000}"/>
    <cellStyle name="Total 2 6 3 2 2 4" xfId="10869" xr:uid="{00000000-0005-0000-0000-000056710000}"/>
    <cellStyle name="Total 2 6 3 2 2 4 2" xfId="25701" xr:uid="{00000000-0005-0000-0000-000057710000}"/>
    <cellStyle name="Total 2 6 3 2 3" xfId="5008" xr:uid="{00000000-0005-0000-0000-000058710000}"/>
    <cellStyle name="Total 2 6 3 2 3 2" xfId="9047" xr:uid="{00000000-0005-0000-0000-000059710000}"/>
    <cellStyle name="Total 2 6 3 2 3 2 2" xfId="17985" xr:uid="{00000000-0005-0000-0000-00005A710000}"/>
    <cellStyle name="Total 2 6 3 2 3 2 2 2" xfId="32817" xr:uid="{00000000-0005-0000-0000-00005B710000}"/>
    <cellStyle name="Total 2 6 3 2 3 2 3" xfId="19567" xr:uid="{00000000-0005-0000-0000-00005C710000}"/>
    <cellStyle name="Total 2 6 3 2 3 3" xfId="15330" xr:uid="{00000000-0005-0000-0000-00005D710000}"/>
    <cellStyle name="Total 2 6 3 2 3 3 2" xfId="30162" xr:uid="{00000000-0005-0000-0000-00005E710000}"/>
    <cellStyle name="Total 2 6 3 2 3 4" xfId="11586" xr:uid="{00000000-0005-0000-0000-00005F710000}"/>
    <cellStyle name="Total 2 6 3 2 3 4 2" xfId="26418" xr:uid="{00000000-0005-0000-0000-000060710000}"/>
    <cellStyle name="Total 2 6 3 2 4" xfId="2998" xr:uid="{00000000-0005-0000-0000-000061710000}"/>
    <cellStyle name="Total 2 6 3 2 4 2" xfId="7078" xr:uid="{00000000-0005-0000-0000-000062710000}"/>
    <cellStyle name="Total 2 6 3 2 4 2 2" xfId="16877" xr:uid="{00000000-0005-0000-0000-000063710000}"/>
    <cellStyle name="Total 2 6 3 2 4 2 2 2" xfId="31709" xr:uid="{00000000-0005-0000-0000-000064710000}"/>
    <cellStyle name="Total 2 6 3 2 4 2 3" xfId="18859" xr:uid="{00000000-0005-0000-0000-000065710000}"/>
    <cellStyle name="Total 2 6 3 2 4 3" xfId="13336" xr:uid="{00000000-0005-0000-0000-000066710000}"/>
    <cellStyle name="Total 2 6 3 2 4 3 2" xfId="28168" xr:uid="{00000000-0005-0000-0000-000067710000}"/>
    <cellStyle name="Total 2 6 3 2 4 4" xfId="10532" xr:uid="{00000000-0005-0000-0000-000068710000}"/>
    <cellStyle name="Total 2 6 3 2 4 4 2" xfId="25364" xr:uid="{00000000-0005-0000-0000-000069710000}"/>
    <cellStyle name="Total 2 6 3 2 5" xfId="6170" xr:uid="{00000000-0005-0000-0000-00006A710000}"/>
    <cellStyle name="Total 2 6 3 2 5 2" xfId="16357" xr:uid="{00000000-0005-0000-0000-00006B710000}"/>
    <cellStyle name="Total 2 6 3 2 5 2 2" xfId="31189" xr:uid="{00000000-0005-0000-0000-00006C710000}"/>
    <cellStyle name="Total 2 6 3 2 5 3" xfId="18500" xr:uid="{00000000-0005-0000-0000-00006D710000}"/>
    <cellStyle name="Total 2 6 3 2 6" xfId="12427" xr:uid="{00000000-0005-0000-0000-00006E710000}"/>
    <cellStyle name="Total 2 6 3 2 6 2" xfId="27259" xr:uid="{00000000-0005-0000-0000-00006F710000}"/>
    <cellStyle name="Total 2 6 3 2 7" xfId="10009" xr:uid="{00000000-0005-0000-0000-000070710000}"/>
    <cellStyle name="Total 2 6 3 2 7 2" xfId="24841" xr:uid="{00000000-0005-0000-0000-000071710000}"/>
    <cellStyle name="Total 2 6 3 3" xfId="3167" xr:uid="{00000000-0005-0000-0000-000072710000}"/>
    <cellStyle name="Total 2 6 3 3 2" xfId="7231" xr:uid="{00000000-0005-0000-0000-000073710000}"/>
    <cellStyle name="Total 2 6 3 3 2 2" xfId="17007" xr:uid="{00000000-0005-0000-0000-000074710000}"/>
    <cellStyle name="Total 2 6 3 3 2 2 2" xfId="31839" xr:uid="{00000000-0005-0000-0000-000075710000}"/>
    <cellStyle name="Total 2 6 3 3 2 3" xfId="18949" xr:uid="{00000000-0005-0000-0000-000076710000}"/>
    <cellStyle name="Total 2 6 3 3 3" xfId="13505" xr:uid="{00000000-0005-0000-0000-000077710000}"/>
    <cellStyle name="Total 2 6 3 3 3 2" xfId="28337" xr:uid="{00000000-0005-0000-0000-000078710000}"/>
    <cellStyle name="Total 2 6 3 3 4" xfId="10658" xr:uid="{00000000-0005-0000-0000-000079710000}"/>
    <cellStyle name="Total 2 6 3 3 4 2" xfId="25490" xr:uid="{00000000-0005-0000-0000-00007A710000}"/>
    <cellStyle name="Total 2 6 3 4" xfId="4588" xr:uid="{00000000-0005-0000-0000-00007B710000}"/>
    <cellStyle name="Total 2 6 3 4 2" xfId="8627" xr:uid="{00000000-0005-0000-0000-00007C710000}"/>
    <cellStyle name="Total 2 6 3 4 2 2" xfId="17745" xr:uid="{00000000-0005-0000-0000-00007D710000}"/>
    <cellStyle name="Total 2 6 3 4 2 2 2" xfId="32577" xr:uid="{00000000-0005-0000-0000-00007E710000}"/>
    <cellStyle name="Total 2 6 3 4 2 3" xfId="19407" xr:uid="{00000000-0005-0000-0000-00007F710000}"/>
    <cellStyle name="Total 2 6 3 4 3" xfId="14915" xr:uid="{00000000-0005-0000-0000-000080710000}"/>
    <cellStyle name="Total 2 6 3 4 3 2" xfId="29747" xr:uid="{00000000-0005-0000-0000-000081710000}"/>
    <cellStyle name="Total 2 6 3 4 4" xfId="11351" xr:uid="{00000000-0005-0000-0000-000082710000}"/>
    <cellStyle name="Total 2 6 3 4 4 2" xfId="26183" xr:uid="{00000000-0005-0000-0000-000083710000}"/>
    <cellStyle name="Total 2 6 3 5" xfId="2578" xr:uid="{00000000-0005-0000-0000-000084710000}"/>
    <cellStyle name="Total 2 6 3 5 2" xfId="6684" xr:uid="{00000000-0005-0000-0000-000085710000}"/>
    <cellStyle name="Total 2 6 3 5 2 2" xfId="16642" xr:uid="{00000000-0005-0000-0000-000086710000}"/>
    <cellStyle name="Total 2 6 3 5 2 2 2" xfId="31474" xr:uid="{00000000-0005-0000-0000-000087710000}"/>
    <cellStyle name="Total 2 6 3 5 2 3" xfId="18695" xr:uid="{00000000-0005-0000-0000-000088710000}"/>
    <cellStyle name="Total 2 6 3 5 3" xfId="12916" xr:uid="{00000000-0005-0000-0000-000089710000}"/>
    <cellStyle name="Total 2 6 3 5 3 2" xfId="27748" xr:uid="{00000000-0005-0000-0000-00008A710000}"/>
    <cellStyle name="Total 2 6 3 5 4" xfId="10292" xr:uid="{00000000-0005-0000-0000-00008B710000}"/>
    <cellStyle name="Total 2 6 3 5 4 2" xfId="25124" xr:uid="{00000000-0005-0000-0000-00008C710000}"/>
    <cellStyle name="Total 2 6 3 6" xfId="5701" xr:uid="{00000000-0005-0000-0000-00008D710000}"/>
    <cellStyle name="Total 2 6 3 6 2" xfId="15936" xr:uid="{00000000-0005-0000-0000-00008E710000}"/>
    <cellStyle name="Total 2 6 3 6 2 2" xfId="30768" xr:uid="{00000000-0005-0000-0000-00008F710000}"/>
    <cellStyle name="Total 2 6 3 6 3" xfId="18337" xr:uid="{00000000-0005-0000-0000-000090710000}"/>
    <cellStyle name="Total 2 6 3 7" xfId="11956" xr:uid="{00000000-0005-0000-0000-000091710000}"/>
    <cellStyle name="Total 2 6 3 7 2" xfId="26788" xr:uid="{00000000-0005-0000-0000-000092710000}"/>
    <cellStyle name="Total 2 6 3 8" xfId="9614" xr:uid="{00000000-0005-0000-0000-000093710000}"/>
    <cellStyle name="Total 2 6 3 8 2" xfId="19916" xr:uid="{00000000-0005-0000-0000-000094710000}"/>
    <cellStyle name="Total 2 6 4" xfId="1596" xr:uid="{00000000-0005-0000-0000-000095710000}"/>
    <cellStyle name="Total 2 6 4 2" xfId="2093" xr:uid="{00000000-0005-0000-0000-000096710000}"/>
    <cellStyle name="Total 2 6 4 2 2" xfId="4025" xr:uid="{00000000-0005-0000-0000-000097710000}"/>
    <cellStyle name="Total 2 6 4 2 2 2" xfId="8072" xr:uid="{00000000-0005-0000-0000-000098710000}"/>
    <cellStyle name="Total 2 6 4 2 2 2 2" xfId="17482" xr:uid="{00000000-0005-0000-0000-000099710000}"/>
    <cellStyle name="Total 2 6 4 2 2 2 2 2" xfId="32314" xr:uid="{00000000-0005-0000-0000-00009A710000}"/>
    <cellStyle name="Total 2 6 4 2 2 2 3" xfId="19240" xr:uid="{00000000-0005-0000-0000-00009B710000}"/>
    <cellStyle name="Total 2 6 4 2 2 3" xfId="14357" xr:uid="{00000000-0005-0000-0000-00009C710000}"/>
    <cellStyle name="Total 2 6 4 2 2 3 2" xfId="29189" xr:uid="{00000000-0005-0000-0000-00009D710000}"/>
    <cellStyle name="Total 2 6 4 2 2 4" xfId="11098" xr:uid="{00000000-0005-0000-0000-00009E710000}"/>
    <cellStyle name="Total 2 6 4 2 2 4 2" xfId="25930" xr:uid="{00000000-0005-0000-0000-00009F710000}"/>
    <cellStyle name="Total 2 6 4 2 3" xfId="5061" xr:uid="{00000000-0005-0000-0000-0000A0710000}"/>
    <cellStyle name="Total 2 6 4 2 3 2" xfId="9100" xr:uid="{00000000-0005-0000-0000-0000A1710000}"/>
    <cellStyle name="Total 2 6 4 2 3 2 2" xfId="18033" xr:uid="{00000000-0005-0000-0000-0000A2710000}"/>
    <cellStyle name="Total 2 6 4 2 3 2 2 2" xfId="32865" xr:uid="{00000000-0005-0000-0000-0000A3710000}"/>
    <cellStyle name="Total 2 6 4 2 3 2 3" xfId="19599" xr:uid="{00000000-0005-0000-0000-0000A4710000}"/>
    <cellStyle name="Total 2 6 4 2 3 3" xfId="15382" xr:uid="{00000000-0005-0000-0000-0000A5710000}"/>
    <cellStyle name="Total 2 6 4 2 3 3 2" xfId="30214" xr:uid="{00000000-0005-0000-0000-0000A6710000}"/>
    <cellStyle name="Total 2 6 4 2 3 4" xfId="11633" xr:uid="{00000000-0005-0000-0000-0000A7710000}"/>
    <cellStyle name="Total 2 6 4 2 3 4 2" xfId="26465" xr:uid="{00000000-0005-0000-0000-0000A8710000}"/>
    <cellStyle name="Total 2 6 4 2 4" xfId="3051" xr:uid="{00000000-0005-0000-0000-0000A9710000}"/>
    <cellStyle name="Total 2 6 4 2 4 2" xfId="7126" xr:uid="{00000000-0005-0000-0000-0000AA710000}"/>
    <cellStyle name="Total 2 6 4 2 4 2 2" xfId="16924" xr:uid="{00000000-0005-0000-0000-0000AB710000}"/>
    <cellStyle name="Total 2 6 4 2 4 2 2 2" xfId="31756" xr:uid="{00000000-0005-0000-0000-0000AC710000}"/>
    <cellStyle name="Total 2 6 4 2 4 2 3" xfId="18892" xr:uid="{00000000-0005-0000-0000-0000AD710000}"/>
    <cellStyle name="Total 2 6 4 2 4 3" xfId="13389" xr:uid="{00000000-0005-0000-0000-0000AE710000}"/>
    <cellStyle name="Total 2 6 4 2 4 3 2" xfId="28221" xr:uid="{00000000-0005-0000-0000-0000AF710000}"/>
    <cellStyle name="Total 2 6 4 2 4 4" xfId="10580" xr:uid="{00000000-0005-0000-0000-0000B0710000}"/>
    <cellStyle name="Total 2 6 4 2 4 4 2" xfId="25412" xr:uid="{00000000-0005-0000-0000-0000B1710000}"/>
    <cellStyle name="Total 2 6 4 2 5" xfId="6218" xr:uid="{00000000-0005-0000-0000-0000B2710000}"/>
    <cellStyle name="Total 2 6 4 2 5 2" xfId="16404" xr:uid="{00000000-0005-0000-0000-0000B3710000}"/>
    <cellStyle name="Total 2 6 4 2 5 2 2" xfId="31236" xr:uid="{00000000-0005-0000-0000-0000B4710000}"/>
    <cellStyle name="Total 2 6 4 2 5 3" xfId="18533" xr:uid="{00000000-0005-0000-0000-0000B5710000}"/>
    <cellStyle name="Total 2 6 4 2 6" xfId="12474" xr:uid="{00000000-0005-0000-0000-0000B6710000}"/>
    <cellStyle name="Total 2 6 4 2 6 2" xfId="27306" xr:uid="{00000000-0005-0000-0000-0000B7710000}"/>
    <cellStyle name="Total 2 6 4 2 7" xfId="10056" xr:uid="{00000000-0005-0000-0000-0000B8710000}"/>
    <cellStyle name="Total 2 6 4 2 7 2" xfId="24888" xr:uid="{00000000-0005-0000-0000-0000B9710000}"/>
    <cellStyle name="Total 2 6 4 3" xfId="3447" xr:uid="{00000000-0005-0000-0000-0000BA710000}"/>
    <cellStyle name="Total 2 6 4 3 2" xfId="7510" xr:uid="{00000000-0005-0000-0000-0000BB710000}"/>
    <cellStyle name="Total 2 6 4 3 2 2" xfId="17194" xr:uid="{00000000-0005-0000-0000-0000BC710000}"/>
    <cellStyle name="Total 2 6 4 3 2 2 2" xfId="32026" xr:uid="{00000000-0005-0000-0000-0000BD710000}"/>
    <cellStyle name="Total 2 6 4 3 2 3" xfId="19039" xr:uid="{00000000-0005-0000-0000-0000BE710000}"/>
    <cellStyle name="Total 2 6 4 3 3" xfId="13784" xr:uid="{00000000-0005-0000-0000-0000BF710000}"/>
    <cellStyle name="Total 2 6 4 3 3 2" xfId="28616" xr:uid="{00000000-0005-0000-0000-0000C0710000}"/>
    <cellStyle name="Total 2 6 4 3 4" xfId="10813" xr:uid="{00000000-0005-0000-0000-0000C1710000}"/>
    <cellStyle name="Total 2 6 4 3 4 2" xfId="25645" xr:uid="{00000000-0005-0000-0000-0000C2710000}"/>
    <cellStyle name="Total 2 6 4 4" xfId="4641" xr:uid="{00000000-0005-0000-0000-0000C3710000}"/>
    <cellStyle name="Total 2 6 4 4 2" xfId="8680" xr:uid="{00000000-0005-0000-0000-0000C4710000}"/>
    <cellStyle name="Total 2 6 4 4 2 2" xfId="17793" xr:uid="{00000000-0005-0000-0000-0000C5710000}"/>
    <cellStyle name="Total 2 6 4 4 2 2 2" xfId="32625" xr:uid="{00000000-0005-0000-0000-0000C6710000}"/>
    <cellStyle name="Total 2 6 4 4 2 3" xfId="19439" xr:uid="{00000000-0005-0000-0000-0000C7710000}"/>
    <cellStyle name="Total 2 6 4 4 3" xfId="14967" xr:uid="{00000000-0005-0000-0000-0000C8710000}"/>
    <cellStyle name="Total 2 6 4 4 3 2" xfId="29799" xr:uid="{00000000-0005-0000-0000-0000C9710000}"/>
    <cellStyle name="Total 2 6 4 4 4" xfId="11398" xr:uid="{00000000-0005-0000-0000-0000CA710000}"/>
    <cellStyle name="Total 2 6 4 4 4 2" xfId="26230" xr:uid="{00000000-0005-0000-0000-0000CB710000}"/>
    <cellStyle name="Total 2 6 4 5" xfId="2631" xr:uid="{00000000-0005-0000-0000-0000CC710000}"/>
    <cellStyle name="Total 2 6 4 5 2" xfId="6732" xr:uid="{00000000-0005-0000-0000-0000CD710000}"/>
    <cellStyle name="Total 2 6 4 5 2 2" xfId="16689" xr:uid="{00000000-0005-0000-0000-0000CE710000}"/>
    <cellStyle name="Total 2 6 4 5 2 2 2" xfId="31521" xr:uid="{00000000-0005-0000-0000-0000CF710000}"/>
    <cellStyle name="Total 2 6 4 5 2 3" xfId="18728" xr:uid="{00000000-0005-0000-0000-0000D0710000}"/>
    <cellStyle name="Total 2 6 4 5 3" xfId="12969" xr:uid="{00000000-0005-0000-0000-0000D1710000}"/>
    <cellStyle name="Total 2 6 4 5 3 2" xfId="27801" xr:uid="{00000000-0005-0000-0000-0000D2710000}"/>
    <cellStyle name="Total 2 6 4 5 4" xfId="10340" xr:uid="{00000000-0005-0000-0000-0000D3710000}"/>
    <cellStyle name="Total 2 6 4 5 4 2" xfId="25172" xr:uid="{00000000-0005-0000-0000-0000D4710000}"/>
    <cellStyle name="Total 2 6 4 6" xfId="5748" xr:uid="{00000000-0005-0000-0000-0000D5710000}"/>
    <cellStyle name="Total 2 6 4 6 2" xfId="15983" xr:uid="{00000000-0005-0000-0000-0000D6710000}"/>
    <cellStyle name="Total 2 6 4 6 2 2" xfId="30815" xr:uid="{00000000-0005-0000-0000-0000D7710000}"/>
    <cellStyle name="Total 2 6 4 6 3" xfId="18369" xr:uid="{00000000-0005-0000-0000-0000D8710000}"/>
    <cellStyle name="Total 2 6 4 7" xfId="12003" xr:uid="{00000000-0005-0000-0000-0000D9710000}"/>
    <cellStyle name="Total 2 6 4 7 2" xfId="26835" xr:uid="{00000000-0005-0000-0000-0000DA710000}"/>
    <cellStyle name="Total 2 6 4 8" xfId="9662" xr:uid="{00000000-0005-0000-0000-0000DB710000}"/>
    <cellStyle name="Total 2 6 4 8 2" xfId="19963" xr:uid="{00000000-0005-0000-0000-0000DC710000}"/>
    <cellStyle name="Total 2 6 5" xfId="1646" xr:uid="{00000000-0005-0000-0000-0000DD710000}"/>
    <cellStyle name="Total 2 6 5 2" xfId="2143" xr:uid="{00000000-0005-0000-0000-0000DE710000}"/>
    <cellStyle name="Total 2 6 5 2 2" xfId="4123" xr:uid="{00000000-0005-0000-0000-0000DF710000}"/>
    <cellStyle name="Total 2 6 5 2 2 2" xfId="8167" xr:uid="{00000000-0005-0000-0000-0000E0710000}"/>
    <cellStyle name="Total 2 6 5 2 2 2 2" xfId="17529" xr:uid="{00000000-0005-0000-0000-0000E1710000}"/>
    <cellStyle name="Total 2 6 5 2 2 2 2 2" xfId="32361" xr:uid="{00000000-0005-0000-0000-0000E2710000}"/>
    <cellStyle name="Total 2 6 5 2 2 2 3" xfId="19274" xr:uid="{00000000-0005-0000-0000-0000E3710000}"/>
    <cellStyle name="Total 2 6 5 2 2 3" xfId="14455" xr:uid="{00000000-0005-0000-0000-0000E4710000}"/>
    <cellStyle name="Total 2 6 5 2 2 3 2" xfId="29287" xr:uid="{00000000-0005-0000-0000-0000E5710000}"/>
    <cellStyle name="Total 2 6 5 2 2 4" xfId="11147" xr:uid="{00000000-0005-0000-0000-0000E6710000}"/>
    <cellStyle name="Total 2 6 5 2 2 4 2" xfId="25979" xr:uid="{00000000-0005-0000-0000-0000E7710000}"/>
    <cellStyle name="Total 2 6 5 2 3" xfId="5111" xr:uid="{00000000-0005-0000-0000-0000E8710000}"/>
    <cellStyle name="Total 2 6 5 2 3 2" xfId="9150" xr:uid="{00000000-0005-0000-0000-0000E9710000}"/>
    <cellStyle name="Total 2 6 5 2 3 2 2" xfId="18078" xr:uid="{00000000-0005-0000-0000-0000EA710000}"/>
    <cellStyle name="Total 2 6 5 2 3 2 2 2" xfId="32910" xr:uid="{00000000-0005-0000-0000-0000EB710000}"/>
    <cellStyle name="Total 2 6 5 2 3 2 3" xfId="19631" xr:uid="{00000000-0005-0000-0000-0000EC710000}"/>
    <cellStyle name="Total 2 6 5 2 3 3" xfId="15431" xr:uid="{00000000-0005-0000-0000-0000ED710000}"/>
    <cellStyle name="Total 2 6 5 2 3 3 2" xfId="30263" xr:uid="{00000000-0005-0000-0000-0000EE710000}"/>
    <cellStyle name="Total 2 6 5 2 3 4" xfId="11677" xr:uid="{00000000-0005-0000-0000-0000EF710000}"/>
    <cellStyle name="Total 2 6 5 2 3 4 2" xfId="26509" xr:uid="{00000000-0005-0000-0000-0000F0710000}"/>
    <cellStyle name="Total 2 6 5 2 4" xfId="3101" xr:uid="{00000000-0005-0000-0000-0000F1710000}"/>
    <cellStyle name="Total 2 6 5 2 4 2" xfId="7171" xr:uid="{00000000-0005-0000-0000-0000F2710000}"/>
    <cellStyle name="Total 2 6 5 2 4 2 2" xfId="16968" xr:uid="{00000000-0005-0000-0000-0000F3710000}"/>
    <cellStyle name="Total 2 6 5 2 4 2 2 2" xfId="31800" xr:uid="{00000000-0005-0000-0000-0000F4710000}"/>
    <cellStyle name="Total 2 6 5 2 4 2 3" xfId="18925" xr:uid="{00000000-0005-0000-0000-0000F5710000}"/>
    <cellStyle name="Total 2 6 5 2 4 3" xfId="13439" xr:uid="{00000000-0005-0000-0000-0000F6710000}"/>
    <cellStyle name="Total 2 6 5 2 4 3 2" xfId="28271" xr:uid="{00000000-0005-0000-0000-0000F7710000}"/>
    <cellStyle name="Total 2 6 5 2 4 4" xfId="10625" xr:uid="{00000000-0005-0000-0000-0000F8710000}"/>
    <cellStyle name="Total 2 6 5 2 4 4 2" xfId="25457" xr:uid="{00000000-0005-0000-0000-0000F9710000}"/>
    <cellStyle name="Total 2 6 5 2 5" xfId="6263" xr:uid="{00000000-0005-0000-0000-0000FA710000}"/>
    <cellStyle name="Total 2 6 5 2 5 2" xfId="16448" xr:uid="{00000000-0005-0000-0000-0000FB710000}"/>
    <cellStyle name="Total 2 6 5 2 5 2 2" xfId="31280" xr:uid="{00000000-0005-0000-0000-0000FC710000}"/>
    <cellStyle name="Total 2 6 5 2 5 3" xfId="18566" xr:uid="{00000000-0005-0000-0000-0000FD710000}"/>
    <cellStyle name="Total 2 6 5 2 6" xfId="12518" xr:uid="{00000000-0005-0000-0000-0000FE710000}"/>
    <cellStyle name="Total 2 6 5 2 6 2" xfId="27350" xr:uid="{00000000-0005-0000-0000-0000FF710000}"/>
    <cellStyle name="Total 2 6 5 2 7" xfId="10100" xr:uid="{00000000-0005-0000-0000-000000720000}"/>
    <cellStyle name="Total 2 6 5 2 7 2" xfId="24932" xr:uid="{00000000-0005-0000-0000-000001720000}"/>
    <cellStyle name="Total 2 6 5 3" xfId="3773" xr:uid="{00000000-0005-0000-0000-000002720000}"/>
    <cellStyle name="Total 2 6 5 3 2" xfId="7829" xr:uid="{00000000-0005-0000-0000-000003720000}"/>
    <cellStyle name="Total 2 6 5 3 2 2" xfId="17361" xr:uid="{00000000-0005-0000-0000-000004720000}"/>
    <cellStyle name="Total 2 6 5 3 2 2 2" xfId="32193" xr:uid="{00000000-0005-0000-0000-000005720000}"/>
    <cellStyle name="Total 2 6 5 3 2 3" xfId="19154" xr:uid="{00000000-0005-0000-0000-000006720000}"/>
    <cellStyle name="Total 2 6 5 3 3" xfId="14108" xr:uid="{00000000-0005-0000-0000-000007720000}"/>
    <cellStyle name="Total 2 6 5 3 3 2" xfId="28940" xr:uid="{00000000-0005-0000-0000-000008720000}"/>
    <cellStyle name="Total 2 6 5 3 4" xfId="10977" xr:uid="{00000000-0005-0000-0000-000009720000}"/>
    <cellStyle name="Total 2 6 5 3 4 2" xfId="25809" xr:uid="{00000000-0005-0000-0000-00000A720000}"/>
    <cellStyle name="Total 2 6 5 4" xfId="4691" xr:uid="{00000000-0005-0000-0000-00000B720000}"/>
    <cellStyle name="Total 2 6 5 4 2" xfId="8730" xr:uid="{00000000-0005-0000-0000-00000C720000}"/>
    <cellStyle name="Total 2 6 5 4 2 2" xfId="17838" xr:uid="{00000000-0005-0000-0000-00000D720000}"/>
    <cellStyle name="Total 2 6 5 4 2 2 2" xfId="32670" xr:uid="{00000000-0005-0000-0000-00000E720000}"/>
    <cellStyle name="Total 2 6 5 4 2 3" xfId="19471" xr:uid="{00000000-0005-0000-0000-00000F720000}"/>
    <cellStyle name="Total 2 6 5 4 3" xfId="15016" xr:uid="{00000000-0005-0000-0000-000010720000}"/>
    <cellStyle name="Total 2 6 5 4 3 2" xfId="29848" xr:uid="{00000000-0005-0000-0000-000011720000}"/>
    <cellStyle name="Total 2 6 5 4 4" xfId="11442" xr:uid="{00000000-0005-0000-0000-000012720000}"/>
    <cellStyle name="Total 2 6 5 4 4 2" xfId="26274" xr:uid="{00000000-0005-0000-0000-000013720000}"/>
    <cellStyle name="Total 2 6 5 5" xfId="2681" xr:uid="{00000000-0005-0000-0000-000014720000}"/>
    <cellStyle name="Total 2 6 5 5 2" xfId="6777" xr:uid="{00000000-0005-0000-0000-000015720000}"/>
    <cellStyle name="Total 2 6 5 5 2 2" xfId="16733" xr:uid="{00000000-0005-0000-0000-000016720000}"/>
    <cellStyle name="Total 2 6 5 5 2 2 2" xfId="31565" xr:uid="{00000000-0005-0000-0000-000017720000}"/>
    <cellStyle name="Total 2 6 5 5 2 3" xfId="18761" xr:uid="{00000000-0005-0000-0000-000018720000}"/>
    <cellStyle name="Total 2 6 5 5 3" xfId="13019" xr:uid="{00000000-0005-0000-0000-000019720000}"/>
    <cellStyle name="Total 2 6 5 5 3 2" xfId="27851" xr:uid="{00000000-0005-0000-0000-00001A720000}"/>
    <cellStyle name="Total 2 6 5 5 4" xfId="10385" xr:uid="{00000000-0005-0000-0000-00001B720000}"/>
    <cellStyle name="Total 2 6 5 5 4 2" xfId="25217" xr:uid="{00000000-0005-0000-0000-00001C720000}"/>
    <cellStyle name="Total 2 6 5 6" xfId="5793" xr:uid="{00000000-0005-0000-0000-00001D720000}"/>
    <cellStyle name="Total 2 6 5 6 2" xfId="16027" xr:uid="{00000000-0005-0000-0000-00001E720000}"/>
    <cellStyle name="Total 2 6 5 6 2 2" xfId="30859" xr:uid="{00000000-0005-0000-0000-00001F720000}"/>
    <cellStyle name="Total 2 6 5 6 3" xfId="18402" xr:uid="{00000000-0005-0000-0000-000020720000}"/>
    <cellStyle name="Total 2 6 5 7" xfId="12047" xr:uid="{00000000-0005-0000-0000-000021720000}"/>
    <cellStyle name="Total 2 6 5 7 2" xfId="26879" xr:uid="{00000000-0005-0000-0000-000022720000}"/>
    <cellStyle name="Total 2 6 5 8" xfId="9707" xr:uid="{00000000-0005-0000-0000-000023720000}"/>
    <cellStyle name="Total 2 6 5 8 2" xfId="20007" xr:uid="{00000000-0005-0000-0000-000024720000}"/>
    <cellStyle name="Total 2 6 6" xfId="1797" xr:uid="{00000000-0005-0000-0000-000025720000}"/>
    <cellStyle name="Total 2 6 6 2" xfId="4064" xr:uid="{00000000-0005-0000-0000-000026720000}"/>
    <cellStyle name="Total 2 6 6 2 2" xfId="8111" xr:uid="{00000000-0005-0000-0000-000027720000}"/>
    <cellStyle name="Total 2 6 6 2 2 2" xfId="17501" xr:uid="{00000000-0005-0000-0000-000028720000}"/>
    <cellStyle name="Total 2 6 6 2 2 2 2" xfId="32333" xr:uid="{00000000-0005-0000-0000-000029720000}"/>
    <cellStyle name="Total 2 6 6 2 2 3" xfId="19253" xr:uid="{00000000-0005-0000-0000-00002A720000}"/>
    <cellStyle name="Total 2 6 6 2 3" xfId="14396" xr:uid="{00000000-0005-0000-0000-00002B720000}"/>
    <cellStyle name="Total 2 6 6 2 3 2" xfId="29228" xr:uid="{00000000-0005-0000-0000-00002C720000}"/>
    <cellStyle name="Total 2 6 6 2 4" xfId="11117" xr:uid="{00000000-0005-0000-0000-00002D720000}"/>
    <cellStyle name="Total 2 6 6 2 4 2" xfId="25949" xr:uid="{00000000-0005-0000-0000-00002E720000}"/>
    <cellStyle name="Total 2 6 6 3" xfId="4775" xr:uid="{00000000-0005-0000-0000-00002F720000}"/>
    <cellStyle name="Total 2 6 6 3 2" xfId="8814" xr:uid="{00000000-0005-0000-0000-000030720000}"/>
    <cellStyle name="Total 2 6 6 3 2 2" xfId="17886" xr:uid="{00000000-0005-0000-0000-000031720000}"/>
    <cellStyle name="Total 2 6 6 3 2 2 2" xfId="32718" xr:uid="{00000000-0005-0000-0000-000032720000}"/>
    <cellStyle name="Total 2 6 6 3 2 3" xfId="19503" xr:uid="{00000000-0005-0000-0000-000033720000}"/>
    <cellStyle name="Total 2 6 6 3 3" xfId="15099" xr:uid="{00000000-0005-0000-0000-000034720000}"/>
    <cellStyle name="Total 2 6 6 3 3 2" xfId="29931" xr:uid="{00000000-0005-0000-0000-000035720000}"/>
    <cellStyle name="Total 2 6 6 3 4" xfId="11489" xr:uid="{00000000-0005-0000-0000-000036720000}"/>
    <cellStyle name="Total 2 6 6 3 4 2" xfId="26321" xr:uid="{00000000-0005-0000-0000-000037720000}"/>
    <cellStyle name="Total 2 6 6 4" xfId="2765" xr:uid="{00000000-0005-0000-0000-000038720000}"/>
    <cellStyle name="Total 2 6 6 4 2" xfId="6856" xr:uid="{00000000-0005-0000-0000-000039720000}"/>
    <cellStyle name="Total 2 6 6 4 2 2" xfId="16780" xr:uid="{00000000-0005-0000-0000-00003A720000}"/>
    <cellStyle name="Total 2 6 6 4 2 2 2" xfId="31612" xr:uid="{00000000-0005-0000-0000-00003B720000}"/>
    <cellStyle name="Total 2 6 6 4 2 3" xfId="18794" xr:uid="{00000000-0005-0000-0000-00003C720000}"/>
    <cellStyle name="Total 2 6 6 4 3" xfId="13103" xr:uid="{00000000-0005-0000-0000-00003D720000}"/>
    <cellStyle name="Total 2 6 6 4 3 2" xfId="27935" xr:uid="{00000000-0005-0000-0000-00003E720000}"/>
    <cellStyle name="Total 2 6 6 4 4" xfId="10433" xr:uid="{00000000-0005-0000-0000-00003F720000}"/>
    <cellStyle name="Total 2 6 6 4 4 2" xfId="25265" xr:uid="{00000000-0005-0000-0000-000040720000}"/>
    <cellStyle name="Total 2 6 6 5" xfId="5929" xr:uid="{00000000-0005-0000-0000-000041720000}"/>
    <cellStyle name="Total 2 6 6 5 2" xfId="16121" xr:uid="{00000000-0005-0000-0000-000042720000}"/>
    <cellStyle name="Total 2 6 6 5 2 2" xfId="30953" xr:uid="{00000000-0005-0000-0000-000043720000}"/>
    <cellStyle name="Total 2 6 6 5 3" xfId="18436" xr:uid="{00000000-0005-0000-0000-000044720000}"/>
    <cellStyle name="Total 2 6 6 6" xfId="12191" xr:uid="{00000000-0005-0000-0000-000045720000}"/>
    <cellStyle name="Total 2 6 6 6 2" xfId="27023" xr:uid="{00000000-0005-0000-0000-000046720000}"/>
    <cellStyle name="Total 2 6 6 7" xfId="9787" xr:uid="{00000000-0005-0000-0000-000047720000}"/>
    <cellStyle name="Total 2 6 6 7 2" xfId="24744" xr:uid="{00000000-0005-0000-0000-000048720000}"/>
    <cellStyle name="Total 2 6 7" xfId="2169" xr:uid="{00000000-0005-0000-0000-000049720000}"/>
    <cellStyle name="Total 2 6 7 2" xfId="3122" xr:uid="{00000000-0005-0000-0000-00004A720000}"/>
    <cellStyle name="Total 2 6 7 2 2" xfId="7187" xr:uid="{00000000-0005-0000-0000-00004B720000}"/>
    <cellStyle name="Total 2 6 7 2 2 2" xfId="16980" xr:uid="{00000000-0005-0000-0000-00004C720000}"/>
    <cellStyle name="Total 2 6 7 2 2 2 2" xfId="31812" xr:uid="{00000000-0005-0000-0000-00004D720000}"/>
    <cellStyle name="Total 2 6 7 2 2 3" xfId="18937" xr:uid="{00000000-0005-0000-0000-00004E720000}"/>
    <cellStyle name="Total 2 6 7 2 3" xfId="13460" xr:uid="{00000000-0005-0000-0000-00004F720000}"/>
    <cellStyle name="Total 2 6 7 2 3 2" xfId="28292" xr:uid="{00000000-0005-0000-0000-000050720000}"/>
    <cellStyle name="Total 2 6 7 2 4" xfId="10638" xr:uid="{00000000-0005-0000-0000-000051720000}"/>
    <cellStyle name="Total 2 6 7 2 4 2" xfId="25470" xr:uid="{00000000-0005-0000-0000-000052720000}"/>
    <cellStyle name="Total 2 6 7 3" xfId="5137" xr:uid="{00000000-0005-0000-0000-000053720000}"/>
    <cellStyle name="Total 2 6 7 3 2" xfId="9176" xr:uid="{00000000-0005-0000-0000-000054720000}"/>
    <cellStyle name="Total 2 6 7 3 2 2" xfId="18099" xr:uid="{00000000-0005-0000-0000-000055720000}"/>
    <cellStyle name="Total 2 6 7 3 2 2 2" xfId="32931" xr:uid="{00000000-0005-0000-0000-000056720000}"/>
    <cellStyle name="Total 2 6 7 3 2 3" xfId="19650" xr:uid="{00000000-0005-0000-0000-000057720000}"/>
    <cellStyle name="Total 2 6 7 3 3" xfId="15455" xr:uid="{00000000-0005-0000-0000-000058720000}"/>
    <cellStyle name="Total 2 6 7 3 3 2" xfId="30287" xr:uid="{00000000-0005-0000-0000-000059720000}"/>
    <cellStyle name="Total 2 6 7 3 4" xfId="11696" xr:uid="{00000000-0005-0000-0000-00005A720000}"/>
    <cellStyle name="Total 2 6 7 3 4 2" xfId="26528" xr:uid="{00000000-0005-0000-0000-00005B720000}"/>
    <cellStyle name="Total 2 6 7 4" xfId="4167" xr:uid="{00000000-0005-0000-0000-00005C720000}"/>
    <cellStyle name="Total 2 6 7 4 2" xfId="8208" xr:uid="{00000000-0005-0000-0000-00005D720000}"/>
    <cellStyle name="Total 2 6 7 4 2 2" xfId="17555" xr:uid="{00000000-0005-0000-0000-00005E720000}"/>
    <cellStyle name="Total 2 6 7 4 2 2 2" xfId="32387" xr:uid="{00000000-0005-0000-0000-00005F720000}"/>
    <cellStyle name="Total 2 6 7 4 2 3" xfId="19293" xr:uid="{00000000-0005-0000-0000-000060720000}"/>
    <cellStyle name="Total 2 6 7 4 3" xfId="14499" xr:uid="{00000000-0005-0000-0000-000061720000}"/>
    <cellStyle name="Total 2 6 7 4 3 2" xfId="29331" xr:uid="{00000000-0005-0000-0000-000062720000}"/>
    <cellStyle name="Total 2 6 7 4 4" xfId="11175" xr:uid="{00000000-0005-0000-0000-000063720000}"/>
    <cellStyle name="Total 2 6 7 4 4 2" xfId="26007" xr:uid="{00000000-0005-0000-0000-000064720000}"/>
    <cellStyle name="Total 2 6 7 5" xfId="6283" xr:uid="{00000000-0005-0000-0000-000065720000}"/>
    <cellStyle name="Total 2 6 7 5 2" xfId="16467" xr:uid="{00000000-0005-0000-0000-000066720000}"/>
    <cellStyle name="Total 2 6 7 5 2 2" xfId="31299" xr:uid="{00000000-0005-0000-0000-000067720000}"/>
    <cellStyle name="Total 2 6 7 5 3" xfId="18586" xr:uid="{00000000-0005-0000-0000-000068720000}"/>
    <cellStyle name="Total 2 6 7 6" xfId="12537" xr:uid="{00000000-0005-0000-0000-000069720000}"/>
    <cellStyle name="Total 2 6 7 6 2" xfId="27369" xr:uid="{00000000-0005-0000-0000-00006A720000}"/>
    <cellStyle name="Total 2 6 7 7" xfId="10119" xr:uid="{00000000-0005-0000-0000-00006B720000}"/>
    <cellStyle name="Total 2 6 7 7 2" xfId="24951" xr:uid="{00000000-0005-0000-0000-00006C720000}"/>
    <cellStyle name="Total 2 6 8" xfId="3222" xr:uid="{00000000-0005-0000-0000-00006D720000}"/>
    <cellStyle name="Total 2 6 8 2" xfId="7286" xr:uid="{00000000-0005-0000-0000-00006E720000}"/>
    <cellStyle name="Total 2 6 8 2 2" xfId="17048" xr:uid="{00000000-0005-0000-0000-00006F720000}"/>
    <cellStyle name="Total 2 6 8 2 2 2" xfId="31880" xr:uid="{00000000-0005-0000-0000-000070720000}"/>
    <cellStyle name="Total 2 6 8 2 3" xfId="18967" xr:uid="{00000000-0005-0000-0000-000071720000}"/>
    <cellStyle name="Total 2 6 8 3" xfId="13560" xr:uid="{00000000-0005-0000-0000-000072720000}"/>
    <cellStyle name="Total 2 6 8 3 2" xfId="28392" xr:uid="{00000000-0005-0000-0000-000073720000}"/>
    <cellStyle name="Total 2 6 8 4" xfId="10688" xr:uid="{00000000-0005-0000-0000-000074720000}"/>
    <cellStyle name="Total 2 6 8 4 2" xfId="25520" xr:uid="{00000000-0005-0000-0000-000075720000}"/>
    <cellStyle name="Total 2 6 9" xfId="3140" xr:uid="{00000000-0005-0000-0000-000076720000}"/>
    <cellStyle name="Total 2 6 9 2" xfId="7204" xr:uid="{00000000-0005-0000-0000-000077720000}"/>
    <cellStyle name="Total 2 6 9 2 2" xfId="16989" xr:uid="{00000000-0005-0000-0000-000078720000}"/>
    <cellStyle name="Total 2 6 9 2 2 2" xfId="31821" xr:uid="{00000000-0005-0000-0000-000079720000}"/>
    <cellStyle name="Total 2 6 9 2 3" xfId="18940" xr:uid="{00000000-0005-0000-0000-00007A720000}"/>
    <cellStyle name="Total 2 6 9 3" xfId="13478" xr:uid="{00000000-0005-0000-0000-00007B720000}"/>
    <cellStyle name="Total 2 6 9 3 2" xfId="28310" xr:uid="{00000000-0005-0000-0000-00007C720000}"/>
    <cellStyle name="Total 2 6 9 4" xfId="10643" xr:uid="{00000000-0005-0000-0000-00007D720000}"/>
    <cellStyle name="Total 2 6 9 4 2" xfId="25475" xr:uid="{00000000-0005-0000-0000-00007E720000}"/>
    <cellStyle name="Total 2 7" xfId="1273" xr:uid="{00000000-0005-0000-0000-00007F720000}"/>
    <cellStyle name="Total 2 7 10" xfId="2340" xr:uid="{00000000-0005-0000-0000-000080720000}"/>
    <cellStyle name="Total 2 7 10 2" xfId="6452" xr:uid="{00000000-0005-0000-0000-000081720000}"/>
    <cellStyle name="Total 2 7 10 2 2" xfId="16544" xr:uid="{00000000-0005-0000-0000-000082720000}"/>
    <cellStyle name="Total 2 7 10 2 2 2" xfId="31376" xr:uid="{00000000-0005-0000-0000-000083720000}"/>
    <cellStyle name="Total 2 7 10 2 3" xfId="18632" xr:uid="{00000000-0005-0000-0000-000084720000}"/>
    <cellStyle name="Total 2 7 10 3" xfId="12680" xr:uid="{00000000-0005-0000-0000-000085720000}"/>
    <cellStyle name="Total 2 7 10 3 2" xfId="27512" xr:uid="{00000000-0005-0000-0000-000086720000}"/>
    <cellStyle name="Total 2 7 10 4" xfId="10195" xr:uid="{00000000-0005-0000-0000-000087720000}"/>
    <cellStyle name="Total 2 7 10 4 2" xfId="25027" xr:uid="{00000000-0005-0000-0000-000088720000}"/>
    <cellStyle name="Total 2 7 11" xfId="5302" xr:uid="{00000000-0005-0000-0000-000089720000}"/>
    <cellStyle name="Total 2 7 11 2" xfId="9310" xr:uid="{00000000-0005-0000-0000-00008A720000}"/>
    <cellStyle name="Total 2 7 11 2 2" xfId="18177" xr:uid="{00000000-0005-0000-0000-00008B720000}"/>
    <cellStyle name="Total 2 7 11 2 2 2" xfId="33009" xr:uid="{00000000-0005-0000-0000-00008C720000}"/>
    <cellStyle name="Total 2 7 11 2 3" xfId="19696" xr:uid="{00000000-0005-0000-0000-00008D720000}"/>
    <cellStyle name="Total 2 7 11 3" xfId="15618" xr:uid="{00000000-0005-0000-0000-00008E720000}"/>
    <cellStyle name="Total 2 7 11 3 2" xfId="30450" xr:uid="{00000000-0005-0000-0000-00008F720000}"/>
    <cellStyle name="Total 2 7 12" xfId="5460" xr:uid="{00000000-0005-0000-0000-000090720000}"/>
    <cellStyle name="Total 2 7 12 2" xfId="15696" xr:uid="{00000000-0005-0000-0000-000091720000}"/>
    <cellStyle name="Total 2 7 12 2 2" xfId="30528" xr:uid="{00000000-0005-0000-0000-000092720000}"/>
    <cellStyle name="Total 2 7 12 3" xfId="18273" xr:uid="{00000000-0005-0000-0000-000093720000}"/>
    <cellStyle name="Total 2 7 13" xfId="9331" xr:uid="{00000000-0005-0000-0000-000094720000}"/>
    <cellStyle name="Total 2 7 13 2" xfId="24637" xr:uid="{00000000-0005-0000-0000-000095720000}"/>
    <cellStyle name="Total 2 7 14" xfId="5320" xr:uid="{00000000-0005-0000-0000-000096720000}"/>
    <cellStyle name="Total 2 7 14 2" xfId="18194" xr:uid="{00000000-0005-0000-0000-000097720000}"/>
    <cellStyle name="Total 2 7 2" xfId="1372" xr:uid="{00000000-0005-0000-0000-000098720000}"/>
    <cellStyle name="Total 2 7 2 2" xfId="1876" xr:uid="{00000000-0005-0000-0000-000099720000}"/>
    <cellStyle name="Total 2 7 2 2 2" xfId="3435" xr:uid="{00000000-0005-0000-0000-00009A720000}"/>
    <cellStyle name="Total 2 7 2 2 2 2" xfId="7498" xr:uid="{00000000-0005-0000-0000-00009B720000}"/>
    <cellStyle name="Total 2 7 2 2 2 2 2" xfId="17188" xr:uid="{00000000-0005-0000-0000-00009C720000}"/>
    <cellStyle name="Total 2 7 2 2 2 2 2 2" xfId="32020" xr:uid="{00000000-0005-0000-0000-00009D720000}"/>
    <cellStyle name="Total 2 7 2 2 2 2 3" xfId="19034" xr:uid="{00000000-0005-0000-0000-00009E720000}"/>
    <cellStyle name="Total 2 7 2 2 2 3" xfId="13772" xr:uid="{00000000-0005-0000-0000-00009F720000}"/>
    <cellStyle name="Total 2 7 2 2 2 3 2" xfId="28604" xr:uid="{00000000-0005-0000-0000-0000A0720000}"/>
    <cellStyle name="Total 2 7 2 2 2 4" xfId="10807" xr:uid="{00000000-0005-0000-0000-0000A1720000}"/>
    <cellStyle name="Total 2 7 2 2 2 4 2" xfId="25639" xr:uid="{00000000-0005-0000-0000-0000A2720000}"/>
    <cellStyle name="Total 2 7 2 2 3" xfId="4854" xr:uid="{00000000-0005-0000-0000-0000A3720000}"/>
    <cellStyle name="Total 2 7 2 2 3 2" xfId="8893" xr:uid="{00000000-0005-0000-0000-0000A4720000}"/>
    <cellStyle name="Total 2 7 2 2 3 2 2" xfId="17934" xr:uid="{00000000-0005-0000-0000-0000A5720000}"/>
    <cellStyle name="Total 2 7 2 2 3 2 2 2" xfId="32766" xr:uid="{00000000-0005-0000-0000-0000A6720000}"/>
    <cellStyle name="Total 2 7 2 2 3 2 3" xfId="19536" xr:uid="{00000000-0005-0000-0000-0000A7720000}"/>
    <cellStyle name="Total 2 7 2 2 3 3" xfId="15178" xr:uid="{00000000-0005-0000-0000-0000A8720000}"/>
    <cellStyle name="Total 2 7 2 2 3 3 2" xfId="30010" xr:uid="{00000000-0005-0000-0000-0000A9720000}"/>
    <cellStyle name="Total 2 7 2 2 3 4" xfId="11537" xr:uid="{00000000-0005-0000-0000-0000AA720000}"/>
    <cellStyle name="Total 2 7 2 2 3 4 2" xfId="26369" xr:uid="{00000000-0005-0000-0000-0000AB720000}"/>
    <cellStyle name="Total 2 7 2 2 4" xfId="2844" xr:uid="{00000000-0005-0000-0000-0000AC720000}"/>
    <cellStyle name="Total 2 7 2 2 4 2" xfId="6935" xr:uid="{00000000-0005-0000-0000-0000AD720000}"/>
    <cellStyle name="Total 2 7 2 2 4 2 2" xfId="16828" xr:uid="{00000000-0005-0000-0000-0000AE720000}"/>
    <cellStyle name="Total 2 7 2 2 4 2 2 2" xfId="31660" xr:uid="{00000000-0005-0000-0000-0000AF720000}"/>
    <cellStyle name="Total 2 7 2 2 4 2 3" xfId="18827" xr:uid="{00000000-0005-0000-0000-0000B0720000}"/>
    <cellStyle name="Total 2 7 2 2 4 3" xfId="13182" xr:uid="{00000000-0005-0000-0000-0000B1720000}"/>
    <cellStyle name="Total 2 7 2 2 4 3 2" xfId="28014" xr:uid="{00000000-0005-0000-0000-0000B2720000}"/>
    <cellStyle name="Total 2 7 2 2 4 4" xfId="10481" xr:uid="{00000000-0005-0000-0000-0000B3720000}"/>
    <cellStyle name="Total 2 7 2 2 4 4 2" xfId="25313" xr:uid="{00000000-0005-0000-0000-0000B4720000}"/>
    <cellStyle name="Total 2 7 2 2 5" xfId="6008" xr:uid="{00000000-0005-0000-0000-0000B5720000}"/>
    <cellStyle name="Total 2 7 2 2 5 2" xfId="16200" xr:uid="{00000000-0005-0000-0000-0000B6720000}"/>
    <cellStyle name="Total 2 7 2 2 5 2 2" xfId="31032" xr:uid="{00000000-0005-0000-0000-0000B7720000}"/>
    <cellStyle name="Total 2 7 2 2 5 3" xfId="18469" xr:uid="{00000000-0005-0000-0000-0000B8720000}"/>
    <cellStyle name="Total 2 7 2 2 6" xfId="12270" xr:uid="{00000000-0005-0000-0000-0000B9720000}"/>
    <cellStyle name="Total 2 7 2 2 6 2" xfId="27102" xr:uid="{00000000-0005-0000-0000-0000BA720000}"/>
    <cellStyle name="Total 2 7 2 2 7" xfId="9866" xr:uid="{00000000-0005-0000-0000-0000BB720000}"/>
    <cellStyle name="Total 2 7 2 2 7 2" xfId="24792" xr:uid="{00000000-0005-0000-0000-0000BC720000}"/>
    <cellStyle name="Total 2 7 2 3" xfId="3897" xr:uid="{00000000-0005-0000-0000-0000BD720000}"/>
    <cellStyle name="Total 2 7 2 3 2" xfId="7948" xr:uid="{00000000-0005-0000-0000-0000BE720000}"/>
    <cellStyle name="Total 2 7 2 3 2 2" xfId="17418" xr:uid="{00000000-0005-0000-0000-0000BF720000}"/>
    <cellStyle name="Total 2 7 2 3 2 2 2" xfId="32250" xr:uid="{00000000-0005-0000-0000-0000C0720000}"/>
    <cellStyle name="Total 2 7 2 3 2 3" xfId="19191" xr:uid="{00000000-0005-0000-0000-0000C1720000}"/>
    <cellStyle name="Total 2 7 2 3 3" xfId="14230" xr:uid="{00000000-0005-0000-0000-0000C2720000}"/>
    <cellStyle name="Total 2 7 2 3 3 2" xfId="29062" xr:uid="{00000000-0005-0000-0000-0000C3720000}"/>
    <cellStyle name="Total 2 7 2 3 4" xfId="11034" xr:uid="{00000000-0005-0000-0000-0000C4720000}"/>
    <cellStyle name="Total 2 7 2 3 4 2" xfId="25866" xr:uid="{00000000-0005-0000-0000-0000C5720000}"/>
    <cellStyle name="Total 2 7 2 4" xfId="4434" xr:uid="{00000000-0005-0000-0000-0000C6720000}"/>
    <cellStyle name="Total 2 7 2 4 2" xfId="8473" xr:uid="{00000000-0005-0000-0000-0000C7720000}"/>
    <cellStyle name="Total 2 7 2 4 2 2" xfId="17694" xr:uid="{00000000-0005-0000-0000-0000C8720000}"/>
    <cellStyle name="Total 2 7 2 4 2 2 2" xfId="32526" xr:uid="{00000000-0005-0000-0000-0000C9720000}"/>
    <cellStyle name="Total 2 7 2 4 2 3" xfId="19376" xr:uid="{00000000-0005-0000-0000-0000CA720000}"/>
    <cellStyle name="Total 2 7 2 4 3" xfId="14763" xr:uid="{00000000-0005-0000-0000-0000CB720000}"/>
    <cellStyle name="Total 2 7 2 4 3 2" xfId="29595" xr:uid="{00000000-0005-0000-0000-0000CC720000}"/>
    <cellStyle name="Total 2 7 2 4 4" xfId="11302" xr:uid="{00000000-0005-0000-0000-0000CD720000}"/>
    <cellStyle name="Total 2 7 2 4 4 2" xfId="26134" xr:uid="{00000000-0005-0000-0000-0000CE720000}"/>
    <cellStyle name="Total 2 7 2 5" xfId="2424" xr:uid="{00000000-0005-0000-0000-0000CF720000}"/>
    <cellStyle name="Total 2 7 2 5 2" xfId="6536" xr:uid="{00000000-0005-0000-0000-0000D0720000}"/>
    <cellStyle name="Total 2 7 2 5 2 2" xfId="16592" xr:uid="{00000000-0005-0000-0000-0000D1720000}"/>
    <cellStyle name="Total 2 7 2 5 2 2 2" xfId="31424" xr:uid="{00000000-0005-0000-0000-0000D2720000}"/>
    <cellStyle name="Total 2 7 2 5 2 3" xfId="18664" xr:uid="{00000000-0005-0000-0000-0000D3720000}"/>
    <cellStyle name="Total 2 7 2 5 3" xfId="12763" xr:uid="{00000000-0005-0000-0000-0000D4720000}"/>
    <cellStyle name="Total 2 7 2 5 3 2" xfId="27595" xr:uid="{00000000-0005-0000-0000-0000D5720000}"/>
    <cellStyle name="Total 2 7 2 5 4" xfId="10242" xr:uid="{00000000-0005-0000-0000-0000D6720000}"/>
    <cellStyle name="Total 2 7 2 5 4 2" xfId="25074" xr:uid="{00000000-0005-0000-0000-0000D7720000}"/>
    <cellStyle name="Total 2 7 2 6" xfId="5549" xr:uid="{00000000-0005-0000-0000-0000D8720000}"/>
    <cellStyle name="Total 2 7 2 6 2" xfId="15784" xr:uid="{00000000-0005-0000-0000-0000D9720000}"/>
    <cellStyle name="Total 2 7 2 6 2 2" xfId="30616" xr:uid="{00000000-0005-0000-0000-0000DA720000}"/>
    <cellStyle name="Total 2 7 2 6 3" xfId="18306" xr:uid="{00000000-0005-0000-0000-0000DB720000}"/>
    <cellStyle name="Total 2 7 2 7" xfId="11799" xr:uid="{00000000-0005-0000-0000-0000DC720000}"/>
    <cellStyle name="Total 2 7 2 7 2" xfId="26631" xr:uid="{00000000-0005-0000-0000-0000DD720000}"/>
    <cellStyle name="Total 2 7 2 8" xfId="9470" xr:uid="{00000000-0005-0000-0000-0000DE720000}"/>
    <cellStyle name="Total 2 7 2 8 2" xfId="19774" xr:uid="{00000000-0005-0000-0000-0000DF720000}"/>
    <cellStyle name="Total 2 7 3" xfId="1544" xr:uid="{00000000-0005-0000-0000-0000E0720000}"/>
    <cellStyle name="Total 2 7 3 2" xfId="2041" xr:uid="{00000000-0005-0000-0000-0000E1720000}"/>
    <cellStyle name="Total 2 7 3 2 2" xfId="3768" xr:uid="{00000000-0005-0000-0000-0000E2720000}"/>
    <cellStyle name="Total 2 7 3 2 2 2" xfId="7824" xr:uid="{00000000-0005-0000-0000-0000E3720000}"/>
    <cellStyle name="Total 2 7 3 2 2 2 2" xfId="17358" xr:uid="{00000000-0005-0000-0000-0000E4720000}"/>
    <cellStyle name="Total 2 7 3 2 2 2 2 2" xfId="32190" xr:uid="{00000000-0005-0000-0000-0000E5720000}"/>
    <cellStyle name="Total 2 7 3 2 2 2 3" xfId="19152" xr:uid="{00000000-0005-0000-0000-0000E6720000}"/>
    <cellStyle name="Total 2 7 3 2 2 3" xfId="14103" xr:uid="{00000000-0005-0000-0000-0000E7720000}"/>
    <cellStyle name="Total 2 7 3 2 2 3 2" xfId="28935" xr:uid="{00000000-0005-0000-0000-0000E8720000}"/>
    <cellStyle name="Total 2 7 3 2 2 4" xfId="10974" xr:uid="{00000000-0005-0000-0000-0000E9720000}"/>
    <cellStyle name="Total 2 7 3 2 2 4 2" xfId="25806" xr:uid="{00000000-0005-0000-0000-0000EA720000}"/>
    <cellStyle name="Total 2 7 3 2 3" xfId="5009" xr:uid="{00000000-0005-0000-0000-0000EB720000}"/>
    <cellStyle name="Total 2 7 3 2 3 2" xfId="9048" xr:uid="{00000000-0005-0000-0000-0000EC720000}"/>
    <cellStyle name="Total 2 7 3 2 3 2 2" xfId="17986" xr:uid="{00000000-0005-0000-0000-0000ED720000}"/>
    <cellStyle name="Total 2 7 3 2 3 2 2 2" xfId="32818" xr:uid="{00000000-0005-0000-0000-0000EE720000}"/>
    <cellStyle name="Total 2 7 3 2 3 2 3" xfId="19568" xr:uid="{00000000-0005-0000-0000-0000EF720000}"/>
    <cellStyle name="Total 2 7 3 2 3 3" xfId="15331" xr:uid="{00000000-0005-0000-0000-0000F0720000}"/>
    <cellStyle name="Total 2 7 3 2 3 3 2" xfId="30163" xr:uid="{00000000-0005-0000-0000-0000F1720000}"/>
    <cellStyle name="Total 2 7 3 2 3 4" xfId="11587" xr:uid="{00000000-0005-0000-0000-0000F2720000}"/>
    <cellStyle name="Total 2 7 3 2 3 4 2" xfId="26419" xr:uid="{00000000-0005-0000-0000-0000F3720000}"/>
    <cellStyle name="Total 2 7 3 2 4" xfId="2999" xr:uid="{00000000-0005-0000-0000-0000F4720000}"/>
    <cellStyle name="Total 2 7 3 2 4 2" xfId="7079" xr:uid="{00000000-0005-0000-0000-0000F5720000}"/>
    <cellStyle name="Total 2 7 3 2 4 2 2" xfId="16878" xr:uid="{00000000-0005-0000-0000-0000F6720000}"/>
    <cellStyle name="Total 2 7 3 2 4 2 2 2" xfId="31710" xr:uid="{00000000-0005-0000-0000-0000F7720000}"/>
    <cellStyle name="Total 2 7 3 2 4 2 3" xfId="18860" xr:uid="{00000000-0005-0000-0000-0000F8720000}"/>
    <cellStyle name="Total 2 7 3 2 4 3" xfId="13337" xr:uid="{00000000-0005-0000-0000-0000F9720000}"/>
    <cellStyle name="Total 2 7 3 2 4 3 2" xfId="28169" xr:uid="{00000000-0005-0000-0000-0000FA720000}"/>
    <cellStyle name="Total 2 7 3 2 4 4" xfId="10533" xr:uid="{00000000-0005-0000-0000-0000FB720000}"/>
    <cellStyle name="Total 2 7 3 2 4 4 2" xfId="25365" xr:uid="{00000000-0005-0000-0000-0000FC720000}"/>
    <cellStyle name="Total 2 7 3 2 5" xfId="6171" xr:uid="{00000000-0005-0000-0000-0000FD720000}"/>
    <cellStyle name="Total 2 7 3 2 5 2" xfId="16358" xr:uid="{00000000-0005-0000-0000-0000FE720000}"/>
    <cellStyle name="Total 2 7 3 2 5 2 2" xfId="31190" xr:uid="{00000000-0005-0000-0000-0000FF720000}"/>
    <cellStyle name="Total 2 7 3 2 5 3" xfId="18501" xr:uid="{00000000-0005-0000-0000-000000730000}"/>
    <cellStyle name="Total 2 7 3 2 6" xfId="12428" xr:uid="{00000000-0005-0000-0000-000001730000}"/>
    <cellStyle name="Total 2 7 3 2 6 2" xfId="27260" xr:uid="{00000000-0005-0000-0000-000002730000}"/>
    <cellStyle name="Total 2 7 3 2 7" xfId="10010" xr:uid="{00000000-0005-0000-0000-000003730000}"/>
    <cellStyle name="Total 2 7 3 2 7 2" xfId="24842" xr:uid="{00000000-0005-0000-0000-000004730000}"/>
    <cellStyle name="Total 2 7 3 3" xfId="3283" xr:uid="{00000000-0005-0000-0000-000005730000}"/>
    <cellStyle name="Total 2 7 3 3 2" xfId="7347" xr:uid="{00000000-0005-0000-0000-000006730000}"/>
    <cellStyle name="Total 2 7 3 3 2 2" xfId="17090" xr:uid="{00000000-0005-0000-0000-000007730000}"/>
    <cellStyle name="Total 2 7 3 3 2 2 2" xfId="31922" xr:uid="{00000000-0005-0000-0000-000008730000}"/>
    <cellStyle name="Total 2 7 3 3 2 3" xfId="18983" xr:uid="{00000000-0005-0000-0000-000009730000}"/>
    <cellStyle name="Total 2 7 3 3 3" xfId="13620" xr:uid="{00000000-0005-0000-0000-00000A730000}"/>
    <cellStyle name="Total 2 7 3 3 3 2" xfId="28452" xr:uid="{00000000-0005-0000-0000-00000B730000}"/>
    <cellStyle name="Total 2 7 3 3 4" xfId="10717" xr:uid="{00000000-0005-0000-0000-00000C730000}"/>
    <cellStyle name="Total 2 7 3 3 4 2" xfId="25549" xr:uid="{00000000-0005-0000-0000-00000D730000}"/>
    <cellStyle name="Total 2 7 3 4" xfId="4589" xr:uid="{00000000-0005-0000-0000-00000E730000}"/>
    <cellStyle name="Total 2 7 3 4 2" xfId="8628" xr:uid="{00000000-0005-0000-0000-00000F730000}"/>
    <cellStyle name="Total 2 7 3 4 2 2" xfId="17746" xr:uid="{00000000-0005-0000-0000-000010730000}"/>
    <cellStyle name="Total 2 7 3 4 2 2 2" xfId="32578" xr:uid="{00000000-0005-0000-0000-000011730000}"/>
    <cellStyle name="Total 2 7 3 4 2 3" xfId="19408" xr:uid="{00000000-0005-0000-0000-000012730000}"/>
    <cellStyle name="Total 2 7 3 4 3" xfId="14916" xr:uid="{00000000-0005-0000-0000-000013730000}"/>
    <cellStyle name="Total 2 7 3 4 3 2" xfId="29748" xr:uid="{00000000-0005-0000-0000-000014730000}"/>
    <cellStyle name="Total 2 7 3 4 4" xfId="11352" xr:uid="{00000000-0005-0000-0000-000015730000}"/>
    <cellStyle name="Total 2 7 3 4 4 2" xfId="26184" xr:uid="{00000000-0005-0000-0000-000016730000}"/>
    <cellStyle name="Total 2 7 3 5" xfId="2579" xr:uid="{00000000-0005-0000-0000-000017730000}"/>
    <cellStyle name="Total 2 7 3 5 2" xfId="6685" xr:uid="{00000000-0005-0000-0000-000018730000}"/>
    <cellStyle name="Total 2 7 3 5 2 2" xfId="16643" xr:uid="{00000000-0005-0000-0000-000019730000}"/>
    <cellStyle name="Total 2 7 3 5 2 2 2" xfId="31475" xr:uid="{00000000-0005-0000-0000-00001A730000}"/>
    <cellStyle name="Total 2 7 3 5 2 3" xfId="18696" xr:uid="{00000000-0005-0000-0000-00001B730000}"/>
    <cellStyle name="Total 2 7 3 5 3" xfId="12917" xr:uid="{00000000-0005-0000-0000-00001C730000}"/>
    <cellStyle name="Total 2 7 3 5 3 2" xfId="27749" xr:uid="{00000000-0005-0000-0000-00001D730000}"/>
    <cellStyle name="Total 2 7 3 5 4" xfId="10293" xr:uid="{00000000-0005-0000-0000-00001E730000}"/>
    <cellStyle name="Total 2 7 3 5 4 2" xfId="25125" xr:uid="{00000000-0005-0000-0000-00001F730000}"/>
    <cellStyle name="Total 2 7 3 6" xfId="5702" xr:uid="{00000000-0005-0000-0000-000020730000}"/>
    <cellStyle name="Total 2 7 3 6 2" xfId="15937" xr:uid="{00000000-0005-0000-0000-000021730000}"/>
    <cellStyle name="Total 2 7 3 6 2 2" xfId="30769" xr:uid="{00000000-0005-0000-0000-000022730000}"/>
    <cellStyle name="Total 2 7 3 6 3" xfId="18338" xr:uid="{00000000-0005-0000-0000-000023730000}"/>
    <cellStyle name="Total 2 7 3 7" xfId="11957" xr:uid="{00000000-0005-0000-0000-000024730000}"/>
    <cellStyle name="Total 2 7 3 7 2" xfId="26789" xr:uid="{00000000-0005-0000-0000-000025730000}"/>
    <cellStyle name="Total 2 7 3 8" xfId="9615" xr:uid="{00000000-0005-0000-0000-000026730000}"/>
    <cellStyle name="Total 2 7 3 8 2" xfId="19917" xr:uid="{00000000-0005-0000-0000-000027730000}"/>
    <cellStyle name="Total 2 7 4" xfId="1597" xr:uid="{00000000-0005-0000-0000-000028730000}"/>
    <cellStyle name="Total 2 7 4 2" xfId="2094" xr:uid="{00000000-0005-0000-0000-000029730000}"/>
    <cellStyle name="Total 2 7 4 2 2" xfId="4057" xr:uid="{00000000-0005-0000-0000-00002A730000}"/>
    <cellStyle name="Total 2 7 4 2 2 2" xfId="8104" xr:uid="{00000000-0005-0000-0000-00002B730000}"/>
    <cellStyle name="Total 2 7 4 2 2 2 2" xfId="17496" xr:uid="{00000000-0005-0000-0000-00002C730000}"/>
    <cellStyle name="Total 2 7 4 2 2 2 2 2" xfId="32328" xr:uid="{00000000-0005-0000-0000-00002D730000}"/>
    <cellStyle name="Total 2 7 4 2 2 2 3" xfId="19249" xr:uid="{00000000-0005-0000-0000-00002E730000}"/>
    <cellStyle name="Total 2 7 4 2 2 3" xfId="14389" xr:uid="{00000000-0005-0000-0000-00002F730000}"/>
    <cellStyle name="Total 2 7 4 2 2 3 2" xfId="29221" xr:uid="{00000000-0005-0000-0000-000030730000}"/>
    <cellStyle name="Total 2 7 4 2 2 4" xfId="11112" xr:uid="{00000000-0005-0000-0000-000031730000}"/>
    <cellStyle name="Total 2 7 4 2 2 4 2" xfId="25944" xr:uid="{00000000-0005-0000-0000-000032730000}"/>
    <cellStyle name="Total 2 7 4 2 3" xfId="5062" xr:uid="{00000000-0005-0000-0000-000033730000}"/>
    <cellStyle name="Total 2 7 4 2 3 2" xfId="9101" xr:uid="{00000000-0005-0000-0000-000034730000}"/>
    <cellStyle name="Total 2 7 4 2 3 2 2" xfId="18034" xr:uid="{00000000-0005-0000-0000-000035730000}"/>
    <cellStyle name="Total 2 7 4 2 3 2 2 2" xfId="32866" xr:uid="{00000000-0005-0000-0000-000036730000}"/>
    <cellStyle name="Total 2 7 4 2 3 2 3" xfId="19600" xr:uid="{00000000-0005-0000-0000-000037730000}"/>
    <cellStyle name="Total 2 7 4 2 3 3" xfId="15383" xr:uid="{00000000-0005-0000-0000-000038730000}"/>
    <cellStyle name="Total 2 7 4 2 3 3 2" xfId="30215" xr:uid="{00000000-0005-0000-0000-000039730000}"/>
    <cellStyle name="Total 2 7 4 2 3 4" xfId="11634" xr:uid="{00000000-0005-0000-0000-00003A730000}"/>
    <cellStyle name="Total 2 7 4 2 3 4 2" xfId="26466" xr:uid="{00000000-0005-0000-0000-00003B730000}"/>
    <cellStyle name="Total 2 7 4 2 4" xfId="3052" xr:uid="{00000000-0005-0000-0000-00003C730000}"/>
    <cellStyle name="Total 2 7 4 2 4 2" xfId="7127" xr:uid="{00000000-0005-0000-0000-00003D730000}"/>
    <cellStyle name="Total 2 7 4 2 4 2 2" xfId="16925" xr:uid="{00000000-0005-0000-0000-00003E730000}"/>
    <cellStyle name="Total 2 7 4 2 4 2 2 2" xfId="31757" xr:uid="{00000000-0005-0000-0000-00003F730000}"/>
    <cellStyle name="Total 2 7 4 2 4 2 3" xfId="18893" xr:uid="{00000000-0005-0000-0000-000040730000}"/>
    <cellStyle name="Total 2 7 4 2 4 3" xfId="13390" xr:uid="{00000000-0005-0000-0000-000041730000}"/>
    <cellStyle name="Total 2 7 4 2 4 3 2" xfId="28222" xr:uid="{00000000-0005-0000-0000-000042730000}"/>
    <cellStyle name="Total 2 7 4 2 4 4" xfId="10581" xr:uid="{00000000-0005-0000-0000-000043730000}"/>
    <cellStyle name="Total 2 7 4 2 4 4 2" xfId="25413" xr:uid="{00000000-0005-0000-0000-000044730000}"/>
    <cellStyle name="Total 2 7 4 2 5" xfId="6219" xr:uid="{00000000-0005-0000-0000-000045730000}"/>
    <cellStyle name="Total 2 7 4 2 5 2" xfId="16405" xr:uid="{00000000-0005-0000-0000-000046730000}"/>
    <cellStyle name="Total 2 7 4 2 5 2 2" xfId="31237" xr:uid="{00000000-0005-0000-0000-000047730000}"/>
    <cellStyle name="Total 2 7 4 2 5 3" xfId="18534" xr:uid="{00000000-0005-0000-0000-000048730000}"/>
    <cellStyle name="Total 2 7 4 2 6" xfId="12475" xr:uid="{00000000-0005-0000-0000-000049730000}"/>
    <cellStyle name="Total 2 7 4 2 6 2" xfId="27307" xr:uid="{00000000-0005-0000-0000-00004A730000}"/>
    <cellStyle name="Total 2 7 4 2 7" xfId="10057" xr:uid="{00000000-0005-0000-0000-00004B730000}"/>
    <cellStyle name="Total 2 7 4 2 7 2" xfId="24889" xr:uid="{00000000-0005-0000-0000-00004C730000}"/>
    <cellStyle name="Total 2 7 4 3" xfId="3302" xr:uid="{00000000-0005-0000-0000-00004D730000}"/>
    <cellStyle name="Total 2 7 4 3 2" xfId="7366" xr:uid="{00000000-0005-0000-0000-00004E730000}"/>
    <cellStyle name="Total 2 7 4 3 2 2" xfId="17105" xr:uid="{00000000-0005-0000-0000-00004F730000}"/>
    <cellStyle name="Total 2 7 4 3 2 2 2" xfId="31937" xr:uid="{00000000-0005-0000-0000-000050730000}"/>
    <cellStyle name="Total 2 7 4 3 2 3" xfId="18989" xr:uid="{00000000-0005-0000-0000-000051730000}"/>
    <cellStyle name="Total 2 7 4 3 3" xfId="13639" xr:uid="{00000000-0005-0000-0000-000052730000}"/>
    <cellStyle name="Total 2 7 4 3 3 2" xfId="28471" xr:uid="{00000000-0005-0000-0000-000053730000}"/>
    <cellStyle name="Total 2 7 4 3 4" xfId="10729" xr:uid="{00000000-0005-0000-0000-000054730000}"/>
    <cellStyle name="Total 2 7 4 3 4 2" xfId="25561" xr:uid="{00000000-0005-0000-0000-000055730000}"/>
    <cellStyle name="Total 2 7 4 4" xfId="4642" xr:uid="{00000000-0005-0000-0000-000056730000}"/>
    <cellStyle name="Total 2 7 4 4 2" xfId="8681" xr:uid="{00000000-0005-0000-0000-000057730000}"/>
    <cellStyle name="Total 2 7 4 4 2 2" xfId="17794" xr:uid="{00000000-0005-0000-0000-000058730000}"/>
    <cellStyle name="Total 2 7 4 4 2 2 2" xfId="32626" xr:uid="{00000000-0005-0000-0000-000059730000}"/>
    <cellStyle name="Total 2 7 4 4 2 3" xfId="19440" xr:uid="{00000000-0005-0000-0000-00005A730000}"/>
    <cellStyle name="Total 2 7 4 4 3" xfId="14968" xr:uid="{00000000-0005-0000-0000-00005B730000}"/>
    <cellStyle name="Total 2 7 4 4 3 2" xfId="29800" xr:uid="{00000000-0005-0000-0000-00005C730000}"/>
    <cellStyle name="Total 2 7 4 4 4" xfId="11399" xr:uid="{00000000-0005-0000-0000-00005D730000}"/>
    <cellStyle name="Total 2 7 4 4 4 2" xfId="26231" xr:uid="{00000000-0005-0000-0000-00005E730000}"/>
    <cellStyle name="Total 2 7 4 5" xfId="2632" xr:uid="{00000000-0005-0000-0000-00005F730000}"/>
    <cellStyle name="Total 2 7 4 5 2" xfId="6733" xr:uid="{00000000-0005-0000-0000-000060730000}"/>
    <cellStyle name="Total 2 7 4 5 2 2" xfId="16690" xr:uid="{00000000-0005-0000-0000-000061730000}"/>
    <cellStyle name="Total 2 7 4 5 2 2 2" xfId="31522" xr:uid="{00000000-0005-0000-0000-000062730000}"/>
    <cellStyle name="Total 2 7 4 5 2 3" xfId="18729" xr:uid="{00000000-0005-0000-0000-000063730000}"/>
    <cellStyle name="Total 2 7 4 5 3" xfId="12970" xr:uid="{00000000-0005-0000-0000-000064730000}"/>
    <cellStyle name="Total 2 7 4 5 3 2" xfId="27802" xr:uid="{00000000-0005-0000-0000-000065730000}"/>
    <cellStyle name="Total 2 7 4 5 4" xfId="10341" xr:uid="{00000000-0005-0000-0000-000066730000}"/>
    <cellStyle name="Total 2 7 4 5 4 2" xfId="25173" xr:uid="{00000000-0005-0000-0000-000067730000}"/>
    <cellStyle name="Total 2 7 4 6" xfId="5749" xr:uid="{00000000-0005-0000-0000-000068730000}"/>
    <cellStyle name="Total 2 7 4 6 2" xfId="15984" xr:uid="{00000000-0005-0000-0000-000069730000}"/>
    <cellStyle name="Total 2 7 4 6 2 2" xfId="30816" xr:uid="{00000000-0005-0000-0000-00006A730000}"/>
    <cellStyle name="Total 2 7 4 6 3" xfId="18370" xr:uid="{00000000-0005-0000-0000-00006B730000}"/>
    <cellStyle name="Total 2 7 4 7" xfId="12004" xr:uid="{00000000-0005-0000-0000-00006C730000}"/>
    <cellStyle name="Total 2 7 4 7 2" xfId="26836" xr:uid="{00000000-0005-0000-0000-00006D730000}"/>
    <cellStyle name="Total 2 7 4 8" xfId="9663" xr:uid="{00000000-0005-0000-0000-00006E730000}"/>
    <cellStyle name="Total 2 7 4 8 2" xfId="19964" xr:uid="{00000000-0005-0000-0000-00006F730000}"/>
    <cellStyle name="Total 2 7 5" xfId="1647" xr:uid="{00000000-0005-0000-0000-000070730000}"/>
    <cellStyle name="Total 2 7 5 2" xfId="2144" xr:uid="{00000000-0005-0000-0000-000071730000}"/>
    <cellStyle name="Total 2 7 5 2 2" xfId="4146" xr:uid="{00000000-0005-0000-0000-000072730000}"/>
    <cellStyle name="Total 2 7 5 2 2 2" xfId="8190" xr:uid="{00000000-0005-0000-0000-000073730000}"/>
    <cellStyle name="Total 2 7 5 2 2 2 2" xfId="17543" xr:uid="{00000000-0005-0000-0000-000074730000}"/>
    <cellStyle name="Total 2 7 5 2 2 2 2 2" xfId="32375" xr:uid="{00000000-0005-0000-0000-000075730000}"/>
    <cellStyle name="Total 2 7 5 2 2 2 3" xfId="19282" xr:uid="{00000000-0005-0000-0000-000076730000}"/>
    <cellStyle name="Total 2 7 5 2 2 3" xfId="14478" xr:uid="{00000000-0005-0000-0000-000077730000}"/>
    <cellStyle name="Total 2 7 5 2 2 3 2" xfId="29310" xr:uid="{00000000-0005-0000-0000-000078730000}"/>
    <cellStyle name="Total 2 7 5 2 2 4" xfId="11161" xr:uid="{00000000-0005-0000-0000-000079730000}"/>
    <cellStyle name="Total 2 7 5 2 2 4 2" xfId="25993" xr:uid="{00000000-0005-0000-0000-00007A730000}"/>
    <cellStyle name="Total 2 7 5 2 3" xfId="5112" xr:uid="{00000000-0005-0000-0000-00007B730000}"/>
    <cellStyle name="Total 2 7 5 2 3 2" xfId="9151" xr:uid="{00000000-0005-0000-0000-00007C730000}"/>
    <cellStyle name="Total 2 7 5 2 3 2 2" xfId="18079" xr:uid="{00000000-0005-0000-0000-00007D730000}"/>
    <cellStyle name="Total 2 7 5 2 3 2 2 2" xfId="32911" xr:uid="{00000000-0005-0000-0000-00007E730000}"/>
    <cellStyle name="Total 2 7 5 2 3 2 3" xfId="19632" xr:uid="{00000000-0005-0000-0000-00007F730000}"/>
    <cellStyle name="Total 2 7 5 2 3 3" xfId="15432" xr:uid="{00000000-0005-0000-0000-000080730000}"/>
    <cellStyle name="Total 2 7 5 2 3 3 2" xfId="30264" xr:uid="{00000000-0005-0000-0000-000081730000}"/>
    <cellStyle name="Total 2 7 5 2 3 4" xfId="11678" xr:uid="{00000000-0005-0000-0000-000082730000}"/>
    <cellStyle name="Total 2 7 5 2 3 4 2" xfId="26510" xr:uid="{00000000-0005-0000-0000-000083730000}"/>
    <cellStyle name="Total 2 7 5 2 4" xfId="3102" xr:uid="{00000000-0005-0000-0000-000084730000}"/>
    <cellStyle name="Total 2 7 5 2 4 2" xfId="7172" xr:uid="{00000000-0005-0000-0000-000085730000}"/>
    <cellStyle name="Total 2 7 5 2 4 2 2" xfId="16969" xr:uid="{00000000-0005-0000-0000-000086730000}"/>
    <cellStyle name="Total 2 7 5 2 4 2 2 2" xfId="31801" xr:uid="{00000000-0005-0000-0000-000087730000}"/>
    <cellStyle name="Total 2 7 5 2 4 2 3" xfId="18926" xr:uid="{00000000-0005-0000-0000-000088730000}"/>
    <cellStyle name="Total 2 7 5 2 4 3" xfId="13440" xr:uid="{00000000-0005-0000-0000-000089730000}"/>
    <cellStyle name="Total 2 7 5 2 4 3 2" xfId="28272" xr:uid="{00000000-0005-0000-0000-00008A730000}"/>
    <cellStyle name="Total 2 7 5 2 4 4" xfId="10626" xr:uid="{00000000-0005-0000-0000-00008B730000}"/>
    <cellStyle name="Total 2 7 5 2 4 4 2" xfId="25458" xr:uid="{00000000-0005-0000-0000-00008C730000}"/>
    <cellStyle name="Total 2 7 5 2 5" xfId="6264" xr:uid="{00000000-0005-0000-0000-00008D730000}"/>
    <cellStyle name="Total 2 7 5 2 5 2" xfId="16449" xr:uid="{00000000-0005-0000-0000-00008E730000}"/>
    <cellStyle name="Total 2 7 5 2 5 2 2" xfId="31281" xr:uid="{00000000-0005-0000-0000-00008F730000}"/>
    <cellStyle name="Total 2 7 5 2 5 3" xfId="18567" xr:uid="{00000000-0005-0000-0000-000090730000}"/>
    <cellStyle name="Total 2 7 5 2 6" xfId="12519" xr:uid="{00000000-0005-0000-0000-000091730000}"/>
    <cellStyle name="Total 2 7 5 2 6 2" xfId="27351" xr:uid="{00000000-0005-0000-0000-000092730000}"/>
    <cellStyle name="Total 2 7 5 2 7" xfId="10101" xr:uid="{00000000-0005-0000-0000-000093730000}"/>
    <cellStyle name="Total 2 7 5 2 7 2" xfId="24933" xr:uid="{00000000-0005-0000-0000-000094730000}"/>
    <cellStyle name="Total 2 7 5 3" xfId="3988" xr:uid="{00000000-0005-0000-0000-000095730000}"/>
    <cellStyle name="Total 2 7 5 3 2" xfId="8036" xr:uid="{00000000-0005-0000-0000-000096730000}"/>
    <cellStyle name="Total 2 7 5 3 2 2" xfId="17460" xr:uid="{00000000-0005-0000-0000-000097730000}"/>
    <cellStyle name="Total 2 7 5 3 2 2 2" xfId="32292" xr:uid="{00000000-0005-0000-0000-000098730000}"/>
    <cellStyle name="Total 2 7 5 3 2 3" xfId="19223" xr:uid="{00000000-0005-0000-0000-000099730000}"/>
    <cellStyle name="Total 2 7 5 3 3" xfId="14321" xr:uid="{00000000-0005-0000-0000-00009A730000}"/>
    <cellStyle name="Total 2 7 5 3 3 2" xfId="29153" xr:uid="{00000000-0005-0000-0000-00009B730000}"/>
    <cellStyle name="Total 2 7 5 3 4" xfId="11077" xr:uid="{00000000-0005-0000-0000-00009C730000}"/>
    <cellStyle name="Total 2 7 5 3 4 2" xfId="25909" xr:uid="{00000000-0005-0000-0000-00009D730000}"/>
    <cellStyle name="Total 2 7 5 4" xfId="4692" xr:uid="{00000000-0005-0000-0000-00009E730000}"/>
    <cellStyle name="Total 2 7 5 4 2" xfId="8731" xr:uid="{00000000-0005-0000-0000-00009F730000}"/>
    <cellStyle name="Total 2 7 5 4 2 2" xfId="17839" xr:uid="{00000000-0005-0000-0000-0000A0730000}"/>
    <cellStyle name="Total 2 7 5 4 2 2 2" xfId="32671" xr:uid="{00000000-0005-0000-0000-0000A1730000}"/>
    <cellStyle name="Total 2 7 5 4 2 3" xfId="19472" xr:uid="{00000000-0005-0000-0000-0000A2730000}"/>
    <cellStyle name="Total 2 7 5 4 3" xfId="15017" xr:uid="{00000000-0005-0000-0000-0000A3730000}"/>
    <cellStyle name="Total 2 7 5 4 3 2" xfId="29849" xr:uid="{00000000-0005-0000-0000-0000A4730000}"/>
    <cellStyle name="Total 2 7 5 4 4" xfId="11443" xr:uid="{00000000-0005-0000-0000-0000A5730000}"/>
    <cellStyle name="Total 2 7 5 4 4 2" xfId="26275" xr:uid="{00000000-0005-0000-0000-0000A6730000}"/>
    <cellStyle name="Total 2 7 5 5" xfId="2682" xr:uid="{00000000-0005-0000-0000-0000A7730000}"/>
    <cellStyle name="Total 2 7 5 5 2" xfId="6778" xr:uid="{00000000-0005-0000-0000-0000A8730000}"/>
    <cellStyle name="Total 2 7 5 5 2 2" xfId="16734" xr:uid="{00000000-0005-0000-0000-0000A9730000}"/>
    <cellStyle name="Total 2 7 5 5 2 2 2" xfId="31566" xr:uid="{00000000-0005-0000-0000-0000AA730000}"/>
    <cellStyle name="Total 2 7 5 5 2 3" xfId="18762" xr:uid="{00000000-0005-0000-0000-0000AB730000}"/>
    <cellStyle name="Total 2 7 5 5 3" xfId="13020" xr:uid="{00000000-0005-0000-0000-0000AC730000}"/>
    <cellStyle name="Total 2 7 5 5 3 2" xfId="27852" xr:uid="{00000000-0005-0000-0000-0000AD730000}"/>
    <cellStyle name="Total 2 7 5 5 4" xfId="10386" xr:uid="{00000000-0005-0000-0000-0000AE730000}"/>
    <cellStyle name="Total 2 7 5 5 4 2" xfId="25218" xr:uid="{00000000-0005-0000-0000-0000AF730000}"/>
    <cellStyle name="Total 2 7 5 6" xfId="5794" xr:uid="{00000000-0005-0000-0000-0000B0730000}"/>
    <cellStyle name="Total 2 7 5 6 2" xfId="16028" xr:uid="{00000000-0005-0000-0000-0000B1730000}"/>
    <cellStyle name="Total 2 7 5 6 2 2" xfId="30860" xr:uid="{00000000-0005-0000-0000-0000B2730000}"/>
    <cellStyle name="Total 2 7 5 6 3" xfId="18403" xr:uid="{00000000-0005-0000-0000-0000B3730000}"/>
    <cellStyle name="Total 2 7 5 7" xfId="12048" xr:uid="{00000000-0005-0000-0000-0000B4730000}"/>
    <cellStyle name="Total 2 7 5 7 2" xfId="26880" xr:uid="{00000000-0005-0000-0000-0000B5730000}"/>
    <cellStyle name="Total 2 7 5 8" xfId="9708" xr:uid="{00000000-0005-0000-0000-0000B6730000}"/>
    <cellStyle name="Total 2 7 5 8 2" xfId="20008" xr:uid="{00000000-0005-0000-0000-0000B7730000}"/>
    <cellStyle name="Total 2 7 6" xfId="1798" xr:uid="{00000000-0005-0000-0000-0000B8730000}"/>
    <cellStyle name="Total 2 7 6 2" xfId="3934" xr:uid="{00000000-0005-0000-0000-0000B9730000}"/>
    <cellStyle name="Total 2 7 6 2 2" xfId="7984" xr:uid="{00000000-0005-0000-0000-0000BA730000}"/>
    <cellStyle name="Total 2 7 6 2 2 2" xfId="17439" xr:uid="{00000000-0005-0000-0000-0000BB730000}"/>
    <cellStyle name="Total 2 7 6 2 2 2 2" xfId="32271" xr:uid="{00000000-0005-0000-0000-0000BC730000}"/>
    <cellStyle name="Total 2 7 6 2 2 3" xfId="19208" xr:uid="{00000000-0005-0000-0000-0000BD730000}"/>
    <cellStyle name="Total 2 7 6 2 3" xfId="14267" xr:uid="{00000000-0005-0000-0000-0000BE730000}"/>
    <cellStyle name="Total 2 7 6 2 3 2" xfId="29099" xr:uid="{00000000-0005-0000-0000-0000BF730000}"/>
    <cellStyle name="Total 2 7 6 2 4" xfId="11054" xr:uid="{00000000-0005-0000-0000-0000C0730000}"/>
    <cellStyle name="Total 2 7 6 2 4 2" xfId="25886" xr:uid="{00000000-0005-0000-0000-0000C1730000}"/>
    <cellStyle name="Total 2 7 6 3" xfId="4776" xr:uid="{00000000-0005-0000-0000-0000C2730000}"/>
    <cellStyle name="Total 2 7 6 3 2" xfId="8815" xr:uid="{00000000-0005-0000-0000-0000C3730000}"/>
    <cellStyle name="Total 2 7 6 3 2 2" xfId="17887" xr:uid="{00000000-0005-0000-0000-0000C4730000}"/>
    <cellStyle name="Total 2 7 6 3 2 2 2" xfId="32719" xr:uid="{00000000-0005-0000-0000-0000C5730000}"/>
    <cellStyle name="Total 2 7 6 3 2 3" xfId="19504" xr:uid="{00000000-0005-0000-0000-0000C6730000}"/>
    <cellStyle name="Total 2 7 6 3 3" xfId="15100" xr:uid="{00000000-0005-0000-0000-0000C7730000}"/>
    <cellStyle name="Total 2 7 6 3 3 2" xfId="29932" xr:uid="{00000000-0005-0000-0000-0000C8730000}"/>
    <cellStyle name="Total 2 7 6 3 4" xfId="11490" xr:uid="{00000000-0005-0000-0000-0000C9730000}"/>
    <cellStyle name="Total 2 7 6 3 4 2" xfId="26322" xr:uid="{00000000-0005-0000-0000-0000CA730000}"/>
    <cellStyle name="Total 2 7 6 4" xfId="2766" xr:uid="{00000000-0005-0000-0000-0000CB730000}"/>
    <cellStyle name="Total 2 7 6 4 2" xfId="6857" xr:uid="{00000000-0005-0000-0000-0000CC730000}"/>
    <cellStyle name="Total 2 7 6 4 2 2" xfId="16781" xr:uid="{00000000-0005-0000-0000-0000CD730000}"/>
    <cellStyle name="Total 2 7 6 4 2 2 2" xfId="31613" xr:uid="{00000000-0005-0000-0000-0000CE730000}"/>
    <cellStyle name="Total 2 7 6 4 2 3" xfId="18795" xr:uid="{00000000-0005-0000-0000-0000CF730000}"/>
    <cellStyle name="Total 2 7 6 4 3" xfId="13104" xr:uid="{00000000-0005-0000-0000-0000D0730000}"/>
    <cellStyle name="Total 2 7 6 4 3 2" xfId="27936" xr:uid="{00000000-0005-0000-0000-0000D1730000}"/>
    <cellStyle name="Total 2 7 6 4 4" xfId="10434" xr:uid="{00000000-0005-0000-0000-0000D2730000}"/>
    <cellStyle name="Total 2 7 6 4 4 2" xfId="25266" xr:uid="{00000000-0005-0000-0000-0000D3730000}"/>
    <cellStyle name="Total 2 7 6 5" xfId="5930" xr:uid="{00000000-0005-0000-0000-0000D4730000}"/>
    <cellStyle name="Total 2 7 6 5 2" xfId="16122" xr:uid="{00000000-0005-0000-0000-0000D5730000}"/>
    <cellStyle name="Total 2 7 6 5 2 2" xfId="30954" xr:uid="{00000000-0005-0000-0000-0000D6730000}"/>
    <cellStyle name="Total 2 7 6 5 3" xfId="18437" xr:uid="{00000000-0005-0000-0000-0000D7730000}"/>
    <cellStyle name="Total 2 7 6 6" xfId="12192" xr:uid="{00000000-0005-0000-0000-0000D8730000}"/>
    <cellStyle name="Total 2 7 6 6 2" xfId="27024" xr:uid="{00000000-0005-0000-0000-0000D9730000}"/>
    <cellStyle name="Total 2 7 6 7" xfId="9788" xr:uid="{00000000-0005-0000-0000-0000DA730000}"/>
    <cellStyle name="Total 2 7 6 7 2" xfId="24745" xr:uid="{00000000-0005-0000-0000-0000DB730000}"/>
    <cellStyle name="Total 2 7 7" xfId="2168" xr:uid="{00000000-0005-0000-0000-0000DC730000}"/>
    <cellStyle name="Total 2 7 7 2" xfId="3675" xr:uid="{00000000-0005-0000-0000-0000DD730000}"/>
    <cellStyle name="Total 2 7 7 2 2" xfId="7733" xr:uid="{00000000-0005-0000-0000-0000DE730000}"/>
    <cellStyle name="Total 2 7 7 2 2 2" xfId="17310" xr:uid="{00000000-0005-0000-0000-0000DF730000}"/>
    <cellStyle name="Total 2 7 7 2 2 2 2" xfId="32142" xr:uid="{00000000-0005-0000-0000-0000E0730000}"/>
    <cellStyle name="Total 2 7 7 2 2 3" xfId="19118" xr:uid="{00000000-0005-0000-0000-0000E1730000}"/>
    <cellStyle name="Total 2 7 7 2 3" xfId="14010" xr:uid="{00000000-0005-0000-0000-0000E2730000}"/>
    <cellStyle name="Total 2 7 7 2 3 2" xfId="28842" xr:uid="{00000000-0005-0000-0000-0000E3730000}"/>
    <cellStyle name="Total 2 7 7 2 4" xfId="10927" xr:uid="{00000000-0005-0000-0000-0000E4730000}"/>
    <cellStyle name="Total 2 7 7 2 4 2" xfId="25759" xr:uid="{00000000-0005-0000-0000-0000E5730000}"/>
    <cellStyle name="Total 2 7 7 3" xfId="5136" xr:uid="{00000000-0005-0000-0000-0000E6730000}"/>
    <cellStyle name="Total 2 7 7 3 2" xfId="9175" xr:uid="{00000000-0005-0000-0000-0000E7730000}"/>
    <cellStyle name="Total 2 7 7 3 2 2" xfId="18098" xr:uid="{00000000-0005-0000-0000-0000E8730000}"/>
    <cellStyle name="Total 2 7 7 3 2 2 2" xfId="32930" xr:uid="{00000000-0005-0000-0000-0000E9730000}"/>
    <cellStyle name="Total 2 7 7 3 2 3" xfId="19649" xr:uid="{00000000-0005-0000-0000-0000EA730000}"/>
    <cellStyle name="Total 2 7 7 3 3" xfId="15454" xr:uid="{00000000-0005-0000-0000-0000EB730000}"/>
    <cellStyle name="Total 2 7 7 3 3 2" xfId="30286" xr:uid="{00000000-0005-0000-0000-0000EC730000}"/>
    <cellStyle name="Total 2 7 7 3 4" xfId="11695" xr:uid="{00000000-0005-0000-0000-0000ED730000}"/>
    <cellStyle name="Total 2 7 7 3 4 2" xfId="26527" xr:uid="{00000000-0005-0000-0000-0000EE730000}"/>
    <cellStyle name="Total 2 7 7 4" xfId="4166" xr:uid="{00000000-0005-0000-0000-0000EF730000}"/>
    <cellStyle name="Total 2 7 7 4 2" xfId="8207" xr:uid="{00000000-0005-0000-0000-0000F0730000}"/>
    <cellStyle name="Total 2 7 7 4 2 2" xfId="17554" xr:uid="{00000000-0005-0000-0000-0000F1730000}"/>
    <cellStyle name="Total 2 7 7 4 2 2 2" xfId="32386" xr:uid="{00000000-0005-0000-0000-0000F2730000}"/>
    <cellStyle name="Total 2 7 7 4 2 3" xfId="19292" xr:uid="{00000000-0005-0000-0000-0000F3730000}"/>
    <cellStyle name="Total 2 7 7 4 3" xfId="14498" xr:uid="{00000000-0005-0000-0000-0000F4730000}"/>
    <cellStyle name="Total 2 7 7 4 3 2" xfId="29330" xr:uid="{00000000-0005-0000-0000-0000F5730000}"/>
    <cellStyle name="Total 2 7 7 4 4" xfId="11174" xr:uid="{00000000-0005-0000-0000-0000F6730000}"/>
    <cellStyle name="Total 2 7 7 4 4 2" xfId="26006" xr:uid="{00000000-0005-0000-0000-0000F7730000}"/>
    <cellStyle name="Total 2 7 7 5" xfId="6282" xr:uid="{00000000-0005-0000-0000-0000F8730000}"/>
    <cellStyle name="Total 2 7 7 5 2" xfId="16466" xr:uid="{00000000-0005-0000-0000-0000F9730000}"/>
    <cellStyle name="Total 2 7 7 5 2 2" xfId="31298" xr:uid="{00000000-0005-0000-0000-0000FA730000}"/>
    <cellStyle name="Total 2 7 7 5 3" xfId="18585" xr:uid="{00000000-0005-0000-0000-0000FB730000}"/>
    <cellStyle name="Total 2 7 7 6" xfId="12536" xr:uid="{00000000-0005-0000-0000-0000FC730000}"/>
    <cellStyle name="Total 2 7 7 6 2" xfId="27368" xr:uid="{00000000-0005-0000-0000-0000FD730000}"/>
    <cellStyle name="Total 2 7 7 7" xfId="10118" xr:uid="{00000000-0005-0000-0000-0000FE730000}"/>
    <cellStyle name="Total 2 7 7 7 2" xfId="24950" xr:uid="{00000000-0005-0000-0000-0000FF730000}"/>
    <cellStyle name="Total 2 7 8" xfId="3162" xr:uid="{00000000-0005-0000-0000-000000740000}"/>
    <cellStyle name="Total 2 7 8 2" xfId="7226" xr:uid="{00000000-0005-0000-0000-000001740000}"/>
    <cellStyle name="Total 2 7 8 2 2" xfId="17004" xr:uid="{00000000-0005-0000-0000-000002740000}"/>
    <cellStyle name="Total 2 7 8 2 2 2" xfId="31836" xr:uid="{00000000-0005-0000-0000-000003740000}"/>
    <cellStyle name="Total 2 7 8 2 3" xfId="18947" xr:uid="{00000000-0005-0000-0000-000004740000}"/>
    <cellStyle name="Total 2 7 8 3" xfId="13500" xr:uid="{00000000-0005-0000-0000-000005740000}"/>
    <cellStyle name="Total 2 7 8 3 2" xfId="28332" xr:uid="{00000000-0005-0000-0000-000006740000}"/>
    <cellStyle name="Total 2 7 8 4" xfId="10655" xr:uid="{00000000-0005-0000-0000-000007740000}"/>
    <cellStyle name="Total 2 7 8 4 2" xfId="25487" xr:uid="{00000000-0005-0000-0000-000008740000}"/>
    <cellStyle name="Total 2 7 9" xfId="3249" xr:uid="{00000000-0005-0000-0000-000009740000}"/>
    <cellStyle name="Total 2 7 9 2" xfId="7313" xr:uid="{00000000-0005-0000-0000-00000A740000}"/>
    <cellStyle name="Total 2 7 9 2 2" xfId="17067" xr:uid="{00000000-0005-0000-0000-00000B740000}"/>
    <cellStyle name="Total 2 7 9 2 2 2" xfId="31899" xr:uid="{00000000-0005-0000-0000-00000C740000}"/>
    <cellStyle name="Total 2 7 9 2 3" xfId="18972" xr:uid="{00000000-0005-0000-0000-00000D740000}"/>
    <cellStyle name="Total 2 7 9 3" xfId="13586" xr:uid="{00000000-0005-0000-0000-00000E740000}"/>
    <cellStyle name="Total 2 7 9 3 2" xfId="28418" xr:uid="{00000000-0005-0000-0000-00000F740000}"/>
    <cellStyle name="Total 2 7 9 4" xfId="10699" xr:uid="{00000000-0005-0000-0000-000010740000}"/>
    <cellStyle name="Total 2 7 9 4 2" xfId="25531" xr:uid="{00000000-0005-0000-0000-000011740000}"/>
    <cellStyle name="Total 2 8" xfId="1274" xr:uid="{00000000-0005-0000-0000-000012740000}"/>
    <cellStyle name="Total 2 8 10" xfId="2341" xr:uid="{00000000-0005-0000-0000-000013740000}"/>
    <cellStyle name="Total 2 8 10 2" xfId="6453" xr:uid="{00000000-0005-0000-0000-000014740000}"/>
    <cellStyle name="Total 2 8 10 2 2" xfId="16545" xr:uid="{00000000-0005-0000-0000-000015740000}"/>
    <cellStyle name="Total 2 8 10 2 2 2" xfId="31377" xr:uid="{00000000-0005-0000-0000-000016740000}"/>
    <cellStyle name="Total 2 8 10 2 3" xfId="18633" xr:uid="{00000000-0005-0000-0000-000017740000}"/>
    <cellStyle name="Total 2 8 10 3" xfId="12681" xr:uid="{00000000-0005-0000-0000-000018740000}"/>
    <cellStyle name="Total 2 8 10 3 2" xfId="27513" xr:uid="{00000000-0005-0000-0000-000019740000}"/>
    <cellStyle name="Total 2 8 10 4" xfId="10196" xr:uid="{00000000-0005-0000-0000-00001A740000}"/>
    <cellStyle name="Total 2 8 10 4 2" xfId="25028" xr:uid="{00000000-0005-0000-0000-00001B740000}"/>
    <cellStyle name="Total 2 8 11" xfId="5303" xr:uid="{00000000-0005-0000-0000-00001C740000}"/>
    <cellStyle name="Total 2 8 11 2" xfId="9311" xr:uid="{00000000-0005-0000-0000-00001D740000}"/>
    <cellStyle name="Total 2 8 11 2 2" xfId="18178" xr:uid="{00000000-0005-0000-0000-00001E740000}"/>
    <cellStyle name="Total 2 8 11 2 2 2" xfId="33010" xr:uid="{00000000-0005-0000-0000-00001F740000}"/>
    <cellStyle name="Total 2 8 11 2 3" xfId="19697" xr:uid="{00000000-0005-0000-0000-000020740000}"/>
    <cellStyle name="Total 2 8 11 3" xfId="15619" xr:uid="{00000000-0005-0000-0000-000021740000}"/>
    <cellStyle name="Total 2 8 11 3 2" xfId="30451" xr:uid="{00000000-0005-0000-0000-000022740000}"/>
    <cellStyle name="Total 2 8 12" xfId="5461" xr:uid="{00000000-0005-0000-0000-000023740000}"/>
    <cellStyle name="Total 2 8 12 2" xfId="15697" xr:uid="{00000000-0005-0000-0000-000024740000}"/>
    <cellStyle name="Total 2 8 12 2 2" xfId="30529" xr:uid="{00000000-0005-0000-0000-000025740000}"/>
    <cellStyle name="Total 2 8 12 3" xfId="18274" xr:uid="{00000000-0005-0000-0000-000026740000}"/>
    <cellStyle name="Total 2 8 13" xfId="9330" xr:uid="{00000000-0005-0000-0000-000027740000}"/>
    <cellStyle name="Total 2 8 13 2" xfId="24636" xr:uid="{00000000-0005-0000-0000-000028740000}"/>
    <cellStyle name="Total 2 8 14" xfId="5319" xr:uid="{00000000-0005-0000-0000-000029740000}"/>
    <cellStyle name="Total 2 8 14 2" xfId="18193" xr:uid="{00000000-0005-0000-0000-00002A740000}"/>
    <cellStyle name="Total 2 8 2" xfId="1373" xr:uid="{00000000-0005-0000-0000-00002B740000}"/>
    <cellStyle name="Total 2 8 2 2" xfId="1877" xr:uid="{00000000-0005-0000-0000-00002C740000}"/>
    <cellStyle name="Total 2 8 2 2 2" xfId="3789" xr:uid="{00000000-0005-0000-0000-00002D740000}"/>
    <cellStyle name="Total 2 8 2 2 2 2" xfId="7844" xr:uid="{00000000-0005-0000-0000-00002E740000}"/>
    <cellStyle name="Total 2 8 2 2 2 2 2" xfId="17365" xr:uid="{00000000-0005-0000-0000-00002F740000}"/>
    <cellStyle name="Total 2 8 2 2 2 2 2 2" xfId="32197" xr:uid="{00000000-0005-0000-0000-000030740000}"/>
    <cellStyle name="Total 2 8 2 2 2 2 3" xfId="19155" xr:uid="{00000000-0005-0000-0000-000031740000}"/>
    <cellStyle name="Total 2 8 2 2 2 3" xfId="14124" xr:uid="{00000000-0005-0000-0000-000032740000}"/>
    <cellStyle name="Total 2 8 2 2 2 3 2" xfId="28956" xr:uid="{00000000-0005-0000-0000-000033740000}"/>
    <cellStyle name="Total 2 8 2 2 2 4" xfId="10982" xr:uid="{00000000-0005-0000-0000-000034740000}"/>
    <cellStyle name="Total 2 8 2 2 2 4 2" xfId="25814" xr:uid="{00000000-0005-0000-0000-000035740000}"/>
    <cellStyle name="Total 2 8 2 2 3" xfId="4855" xr:uid="{00000000-0005-0000-0000-000036740000}"/>
    <cellStyle name="Total 2 8 2 2 3 2" xfId="8894" xr:uid="{00000000-0005-0000-0000-000037740000}"/>
    <cellStyle name="Total 2 8 2 2 3 2 2" xfId="17935" xr:uid="{00000000-0005-0000-0000-000038740000}"/>
    <cellStyle name="Total 2 8 2 2 3 2 2 2" xfId="32767" xr:uid="{00000000-0005-0000-0000-000039740000}"/>
    <cellStyle name="Total 2 8 2 2 3 2 3" xfId="19537" xr:uid="{00000000-0005-0000-0000-00003A740000}"/>
    <cellStyle name="Total 2 8 2 2 3 3" xfId="15179" xr:uid="{00000000-0005-0000-0000-00003B740000}"/>
    <cellStyle name="Total 2 8 2 2 3 3 2" xfId="30011" xr:uid="{00000000-0005-0000-0000-00003C740000}"/>
    <cellStyle name="Total 2 8 2 2 3 4" xfId="11538" xr:uid="{00000000-0005-0000-0000-00003D740000}"/>
    <cellStyle name="Total 2 8 2 2 3 4 2" xfId="26370" xr:uid="{00000000-0005-0000-0000-00003E740000}"/>
    <cellStyle name="Total 2 8 2 2 4" xfId="2845" xr:uid="{00000000-0005-0000-0000-00003F740000}"/>
    <cellStyle name="Total 2 8 2 2 4 2" xfId="6936" xr:uid="{00000000-0005-0000-0000-000040740000}"/>
    <cellStyle name="Total 2 8 2 2 4 2 2" xfId="16829" xr:uid="{00000000-0005-0000-0000-000041740000}"/>
    <cellStyle name="Total 2 8 2 2 4 2 2 2" xfId="31661" xr:uid="{00000000-0005-0000-0000-000042740000}"/>
    <cellStyle name="Total 2 8 2 2 4 2 3" xfId="18828" xr:uid="{00000000-0005-0000-0000-000043740000}"/>
    <cellStyle name="Total 2 8 2 2 4 3" xfId="13183" xr:uid="{00000000-0005-0000-0000-000044740000}"/>
    <cellStyle name="Total 2 8 2 2 4 3 2" xfId="28015" xr:uid="{00000000-0005-0000-0000-000045740000}"/>
    <cellStyle name="Total 2 8 2 2 4 4" xfId="10482" xr:uid="{00000000-0005-0000-0000-000046740000}"/>
    <cellStyle name="Total 2 8 2 2 4 4 2" xfId="25314" xr:uid="{00000000-0005-0000-0000-000047740000}"/>
    <cellStyle name="Total 2 8 2 2 5" xfId="6009" xr:uid="{00000000-0005-0000-0000-000048740000}"/>
    <cellStyle name="Total 2 8 2 2 5 2" xfId="16201" xr:uid="{00000000-0005-0000-0000-000049740000}"/>
    <cellStyle name="Total 2 8 2 2 5 2 2" xfId="31033" xr:uid="{00000000-0005-0000-0000-00004A740000}"/>
    <cellStyle name="Total 2 8 2 2 5 3" xfId="18470" xr:uid="{00000000-0005-0000-0000-00004B740000}"/>
    <cellStyle name="Total 2 8 2 2 6" xfId="12271" xr:uid="{00000000-0005-0000-0000-00004C740000}"/>
    <cellStyle name="Total 2 8 2 2 6 2" xfId="27103" xr:uid="{00000000-0005-0000-0000-00004D740000}"/>
    <cellStyle name="Total 2 8 2 2 7" xfId="9867" xr:uid="{00000000-0005-0000-0000-00004E740000}"/>
    <cellStyle name="Total 2 8 2 2 7 2" xfId="24793" xr:uid="{00000000-0005-0000-0000-00004F740000}"/>
    <cellStyle name="Total 2 8 2 3" xfId="3635" xr:uid="{00000000-0005-0000-0000-000050740000}"/>
    <cellStyle name="Total 2 8 2 3 2" xfId="7694" xr:uid="{00000000-0005-0000-0000-000051740000}"/>
    <cellStyle name="Total 2 8 2 3 2 2" xfId="17293" xr:uid="{00000000-0005-0000-0000-000052740000}"/>
    <cellStyle name="Total 2 8 2 3 2 2 2" xfId="32125" xr:uid="{00000000-0005-0000-0000-000053740000}"/>
    <cellStyle name="Total 2 8 2 3 2 3" xfId="19107" xr:uid="{00000000-0005-0000-0000-000054740000}"/>
    <cellStyle name="Total 2 8 2 3 3" xfId="13970" xr:uid="{00000000-0005-0000-0000-000055740000}"/>
    <cellStyle name="Total 2 8 2 3 3 2" xfId="28802" xr:uid="{00000000-0005-0000-0000-000056740000}"/>
    <cellStyle name="Total 2 8 2 3 4" xfId="10909" xr:uid="{00000000-0005-0000-0000-000057740000}"/>
    <cellStyle name="Total 2 8 2 3 4 2" xfId="25741" xr:uid="{00000000-0005-0000-0000-000058740000}"/>
    <cellStyle name="Total 2 8 2 4" xfId="4435" xr:uid="{00000000-0005-0000-0000-000059740000}"/>
    <cellStyle name="Total 2 8 2 4 2" xfId="8474" xr:uid="{00000000-0005-0000-0000-00005A740000}"/>
    <cellStyle name="Total 2 8 2 4 2 2" xfId="17695" xr:uid="{00000000-0005-0000-0000-00005B740000}"/>
    <cellStyle name="Total 2 8 2 4 2 2 2" xfId="32527" xr:uid="{00000000-0005-0000-0000-00005C740000}"/>
    <cellStyle name="Total 2 8 2 4 2 3" xfId="19377" xr:uid="{00000000-0005-0000-0000-00005D740000}"/>
    <cellStyle name="Total 2 8 2 4 3" xfId="14764" xr:uid="{00000000-0005-0000-0000-00005E740000}"/>
    <cellStyle name="Total 2 8 2 4 3 2" xfId="29596" xr:uid="{00000000-0005-0000-0000-00005F740000}"/>
    <cellStyle name="Total 2 8 2 4 4" xfId="11303" xr:uid="{00000000-0005-0000-0000-000060740000}"/>
    <cellStyle name="Total 2 8 2 4 4 2" xfId="26135" xr:uid="{00000000-0005-0000-0000-000061740000}"/>
    <cellStyle name="Total 2 8 2 5" xfId="2425" xr:uid="{00000000-0005-0000-0000-000062740000}"/>
    <cellStyle name="Total 2 8 2 5 2" xfId="6537" xr:uid="{00000000-0005-0000-0000-000063740000}"/>
    <cellStyle name="Total 2 8 2 5 2 2" xfId="16593" xr:uid="{00000000-0005-0000-0000-000064740000}"/>
    <cellStyle name="Total 2 8 2 5 2 2 2" xfId="31425" xr:uid="{00000000-0005-0000-0000-000065740000}"/>
    <cellStyle name="Total 2 8 2 5 2 3" xfId="18665" xr:uid="{00000000-0005-0000-0000-000066740000}"/>
    <cellStyle name="Total 2 8 2 5 3" xfId="12764" xr:uid="{00000000-0005-0000-0000-000067740000}"/>
    <cellStyle name="Total 2 8 2 5 3 2" xfId="27596" xr:uid="{00000000-0005-0000-0000-000068740000}"/>
    <cellStyle name="Total 2 8 2 5 4" xfId="10243" xr:uid="{00000000-0005-0000-0000-000069740000}"/>
    <cellStyle name="Total 2 8 2 5 4 2" xfId="25075" xr:uid="{00000000-0005-0000-0000-00006A740000}"/>
    <cellStyle name="Total 2 8 2 6" xfId="5550" xr:uid="{00000000-0005-0000-0000-00006B740000}"/>
    <cellStyle name="Total 2 8 2 6 2" xfId="15785" xr:uid="{00000000-0005-0000-0000-00006C740000}"/>
    <cellStyle name="Total 2 8 2 6 2 2" xfId="30617" xr:uid="{00000000-0005-0000-0000-00006D740000}"/>
    <cellStyle name="Total 2 8 2 6 3" xfId="18307" xr:uid="{00000000-0005-0000-0000-00006E740000}"/>
    <cellStyle name="Total 2 8 2 7" xfId="11800" xr:uid="{00000000-0005-0000-0000-00006F740000}"/>
    <cellStyle name="Total 2 8 2 7 2" xfId="26632" xr:uid="{00000000-0005-0000-0000-000070740000}"/>
    <cellStyle name="Total 2 8 2 8" xfId="9471" xr:uid="{00000000-0005-0000-0000-000071740000}"/>
    <cellStyle name="Total 2 8 2 8 2" xfId="19775" xr:uid="{00000000-0005-0000-0000-000072740000}"/>
    <cellStyle name="Total 2 8 3" xfId="1545" xr:uid="{00000000-0005-0000-0000-000073740000}"/>
    <cellStyle name="Total 2 8 3 2" xfId="2042" xr:uid="{00000000-0005-0000-0000-000074740000}"/>
    <cellStyle name="Total 2 8 3 2 2" xfId="4325" xr:uid="{00000000-0005-0000-0000-000075740000}"/>
    <cellStyle name="Total 2 8 3 2 2 2" xfId="8364" xr:uid="{00000000-0005-0000-0000-000076740000}"/>
    <cellStyle name="Total 2 8 3 2 2 2 2" xfId="17642" xr:uid="{00000000-0005-0000-0000-000077740000}"/>
    <cellStyle name="Total 2 8 3 2 2 2 2 2" xfId="32474" xr:uid="{00000000-0005-0000-0000-000078740000}"/>
    <cellStyle name="Total 2 8 3 2 2 2 3" xfId="19343" xr:uid="{00000000-0005-0000-0000-000079740000}"/>
    <cellStyle name="Total 2 8 3 2 2 3" xfId="14656" xr:uid="{00000000-0005-0000-0000-00007A740000}"/>
    <cellStyle name="Total 2 8 3 2 2 3 2" xfId="29488" xr:uid="{00000000-0005-0000-0000-00007B740000}"/>
    <cellStyle name="Total 2 8 3 2 2 4" xfId="11252" xr:uid="{00000000-0005-0000-0000-00007C740000}"/>
    <cellStyle name="Total 2 8 3 2 2 4 2" xfId="26084" xr:uid="{00000000-0005-0000-0000-00007D740000}"/>
    <cellStyle name="Total 2 8 3 2 3" xfId="5010" xr:uid="{00000000-0005-0000-0000-00007E740000}"/>
    <cellStyle name="Total 2 8 3 2 3 2" xfId="9049" xr:uid="{00000000-0005-0000-0000-00007F740000}"/>
    <cellStyle name="Total 2 8 3 2 3 2 2" xfId="17987" xr:uid="{00000000-0005-0000-0000-000080740000}"/>
    <cellStyle name="Total 2 8 3 2 3 2 2 2" xfId="32819" xr:uid="{00000000-0005-0000-0000-000081740000}"/>
    <cellStyle name="Total 2 8 3 2 3 2 3" xfId="19569" xr:uid="{00000000-0005-0000-0000-000082740000}"/>
    <cellStyle name="Total 2 8 3 2 3 3" xfId="15332" xr:uid="{00000000-0005-0000-0000-000083740000}"/>
    <cellStyle name="Total 2 8 3 2 3 3 2" xfId="30164" xr:uid="{00000000-0005-0000-0000-000084740000}"/>
    <cellStyle name="Total 2 8 3 2 3 4" xfId="11588" xr:uid="{00000000-0005-0000-0000-000085740000}"/>
    <cellStyle name="Total 2 8 3 2 3 4 2" xfId="26420" xr:uid="{00000000-0005-0000-0000-000086740000}"/>
    <cellStyle name="Total 2 8 3 2 4" xfId="3000" xr:uid="{00000000-0005-0000-0000-000087740000}"/>
    <cellStyle name="Total 2 8 3 2 4 2" xfId="7080" xr:uid="{00000000-0005-0000-0000-000088740000}"/>
    <cellStyle name="Total 2 8 3 2 4 2 2" xfId="16879" xr:uid="{00000000-0005-0000-0000-000089740000}"/>
    <cellStyle name="Total 2 8 3 2 4 2 2 2" xfId="31711" xr:uid="{00000000-0005-0000-0000-00008A740000}"/>
    <cellStyle name="Total 2 8 3 2 4 2 3" xfId="18861" xr:uid="{00000000-0005-0000-0000-00008B740000}"/>
    <cellStyle name="Total 2 8 3 2 4 3" xfId="13338" xr:uid="{00000000-0005-0000-0000-00008C740000}"/>
    <cellStyle name="Total 2 8 3 2 4 3 2" xfId="28170" xr:uid="{00000000-0005-0000-0000-00008D740000}"/>
    <cellStyle name="Total 2 8 3 2 4 4" xfId="10534" xr:uid="{00000000-0005-0000-0000-00008E740000}"/>
    <cellStyle name="Total 2 8 3 2 4 4 2" xfId="25366" xr:uid="{00000000-0005-0000-0000-00008F740000}"/>
    <cellStyle name="Total 2 8 3 2 5" xfId="6172" xr:uid="{00000000-0005-0000-0000-000090740000}"/>
    <cellStyle name="Total 2 8 3 2 5 2" xfId="16359" xr:uid="{00000000-0005-0000-0000-000091740000}"/>
    <cellStyle name="Total 2 8 3 2 5 2 2" xfId="31191" xr:uid="{00000000-0005-0000-0000-000092740000}"/>
    <cellStyle name="Total 2 8 3 2 5 3" xfId="18502" xr:uid="{00000000-0005-0000-0000-000093740000}"/>
    <cellStyle name="Total 2 8 3 2 6" xfId="12429" xr:uid="{00000000-0005-0000-0000-000094740000}"/>
    <cellStyle name="Total 2 8 3 2 6 2" xfId="27261" xr:uid="{00000000-0005-0000-0000-000095740000}"/>
    <cellStyle name="Total 2 8 3 2 7" xfId="10011" xr:uid="{00000000-0005-0000-0000-000096740000}"/>
    <cellStyle name="Total 2 8 3 2 7 2" xfId="24843" xr:uid="{00000000-0005-0000-0000-000097740000}"/>
    <cellStyle name="Total 2 8 3 3" xfId="3175" xr:uid="{00000000-0005-0000-0000-000098740000}"/>
    <cellStyle name="Total 2 8 3 3 2" xfId="7239" xr:uid="{00000000-0005-0000-0000-000099740000}"/>
    <cellStyle name="Total 2 8 3 3 2 2" xfId="17013" xr:uid="{00000000-0005-0000-0000-00009A740000}"/>
    <cellStyle name="Total 2 8 3 3 2 2 2" xfId="31845" xr:uid="{00000000-0005-0000-0000-00009B740000}"/>
    <cellStyle name="Total 2 8 3 3 2 3" xfId="18951" xr:uid="{00000000-0005-0000-0000-00009C740000}"/>
    <cellStyle name="Total 2 8 3 3 3" xfId="13513" xr:uid="{00000000-0005-0000-0000-00009D740000}"/>
    <cellStyle name="Total 2 8 3 3 3 2" xfId="28345" xr:uid="{00000000-0005-0000-0000-00009E740000}"/>
    <cellStyle name="Total 2 8 3 3 4" xfId="10663" xr:uid="{00000000-0005-0000-0000-00009F740000}"/>
    <cellStyle name="Total 2 8 3 3 4 2" xfId="25495" xr:uid="{00000000-0005-0000-0000-0000A0740000}"/>
    <cellStyle name="Total 2 8 3 4" xfId="4590" xr:uid="{00000000-0005-0000-0000-0000A1740000}"/>
    <cellStyle name="Total 2 8 3 4 2" xfId="8629" xr:uid="{00000000-0005-0000-0000-0000A2740000}"/>
    <cellStyle name="Total 2 8 3 4 2 2" xfId="17747" xr:uid="{00000000-0005-0000-0000-0000A3740000}"/>
    <cellStyle name="Total 2 8 3 4 2 2 2" xfId="32579" xr:uid="{00000000-0005-0000-0000-0000A4740000}"/>
    <cellStyle name="Total 2 8 3 4 2 3" xfId="19409" xr:uid="{00000000-0005-0000-0000-0000A5740000}"/>
    <cellStyle name="Total 2 8 3 4 3" xfId="14917" xr:uid="{00000000-0005-0000-0000-0000A6740000}"/>
    <cellStyle name="Total 2 8 3 4 3 2" xfId="29749" xr:uid="{00000000-0005-0000-0000-0000A7740000}"/>
    <cellStyle name="Total 2 8 3 4 4" xfId="11353" xr:uid="{00000000-0005-0000-0000-0000A8740000}"/>
    <cellStyle name="Total 2 8 3 4 4 2" xfId="26185" xr:uid="{00000000-0005-0000-0000-0000A9740000}"/>
    <cellStyle name="Total 2 8 3 5" xfId="2580" xr:uid="{00000000-0005-0000-0000-0000AA740000}"/>
    <cellStyle name="Total 2 8 3 5 2" xfId="6686" xr:uid="{00000000-0005-0000-0000-0000AB740000}"/>
    <cellStyle name="Total 2 8 3 5 2 2" xfId="16644" xr:uid="{00000000-0005-0000-0000-0000AC740000}"/>
    <cellStyle name="Total 2 8 3 5 2 2 2" xfId="31476" xr:uid="{00000000-0005-0000-0000-0000AD740000}"/>
    <cellStyle name="Total 2 8 3 5 2 3" xfId="18697" xr:uid="{00000000-0005-0000-0000-0000AE740000}"/>
    <cellStyle name="Total 2 8 3 5 3" xfId="12918" xr:uid="{00000000-0005-0000-0000-0000AF740000}"/>
    <cellStyle name="Total 2 8 3 5 3 2" xfId="27750" xr:uid="{00000000-0005-0000-0000-0000B0740000}"/>
    <cellStyle name="Total 2 8 3 5 4" xfId="10294" xr:uid="{00000000-0005-0000-0000-0000B1740000}"/>
    <cellStyle name="Total 2 8 3 5 4 2" xfId="25126" xr:uid="{00000000-0005-0000-0000-0000B2740000}"/>
    <cellStyle name="Total 2 8 3 6" xfId="5703" xr:uid="{00000000-0005-0000-0000-0000B3740000}"/>
    <cellStyle name="Total 2 8 3 6 2" xfId="15938" xr:uid="{00000000-0005-0000-0000-0000B4740000}"/>
    <cellStyle name="Total 2 8 3 6 2 2" xfId="30770" xr:uid="{00000000-0005-0000-0000-0000B5740000}"/>
    <cellStyle name="Total 2 8 3 6 3" xfId="18339" xr:uid="{00000000-0005-0000-0000-0000B6740000}"/>
    <cellStyle name="Total 2 8 3 7" xfId="11958" xr:uid="{00000000-0005-0000-0000-0000B7740000}"/>
    <cellStyle name="Total 2 8 3 7 2" xfId="26790" xr:uid="{00000000-0005-0000-0000-0000B8740000}"/>
    <cellStyle name="Total 2 8 3 8" xfId="9616" xr:uid="{00000000-0005-0000-0000-0000B9740000}"/>
    <cellStyle name="Total 2 8 3 8 2" xfId="19918" xr:uid="{00000000-0005-0000-0000-0000BA740000}"/>
    <cellStyle name="Total 2 8 4" xfId="1598" xr:uid="{00000000-0005-0000-0000-0000BB740000}"/>
    <cellStyle name="Total 2 8 4 2" xfId="2095" xr:uid="{00000000-0005-0000-0000-0000BC740000}"/>
    <cellStyle name="Total 2 8 4 2 2" xfId="3489" xr:uid="{00000000-0005-0000-0000-0000BD740000}"/>
    <cellStyle name="Total 2 8 4 2 2 2" xfId="7551" xr:uid="{00000000-0005-0000-0000-0000BE740000}"/>
    <cellStyle name="Total 2 8 4 2 2 2 2" xfId="17213" xr:uid="{00000000-0005-0000-0000-0000BF740000}"/>
    <cellStyle name="Total 2 8 4 2 2 2 2 2" xfId="32045" xr:uid="{00000000-0005-0000-0000-0000C0740000}"/>
    <cellStyle name="Total 2 8 4 2 2 2 3" xfId="19050" xr:uid="{00000000-0005-0000-0000-0000C1740000}"/>
    <cellStyle name="Total 2 8 4 2 2 3" xfId="13826" xr:uid="{00000000-0005-0000-0000-0000C2740000}"/>
    <cellStyle name="Total 2 8 4 2 2 3 2" xfId="28658" xr:uid="{00000000-0005-0000-0000-0000C3740000}"/>
    <cellStyle name="Total 2 8 4 2 2 4" xfId="10831" xr:uid="{00000000-0005-0000-0000-0000C4740000}"/>
    <cellStyle name="Total 2 8 4 2 2 4 2" xfId="25663" xr:uid="{00000000-0005-0000-0000-0000C5740000}"/>
    <cellStyle name="Total 2 8 4 2 3" xfId="5063" xr:uid="{00000000-0005-0000-0000-0000C6740000}"/>
    <cellStyle name="Total 2 8 4 2 3 2" xfId="9102" xr:uid="{00000000-0005-0000-0000-0000C7740000}"/>
    <cellStyle name="Total 2 8 4 2 3 2 2" xfId="18035" xr:uid="{00000000-0005-0000-0000-0000C8740000}"/>
    <cellStyle name="Total 2 8 4 2 3 2 2 2" xfId="32867" xr:uid="{00000000-0005-0000-0000-0000C9740000}"/>
    <cellStyle name="Total 2 8 4 2 3 2 3" xfId="19601" xr:uid="{00000000-0005-0000-0000-0000CA740000}"/>
    <cellStyle name="Total 2 8 4 2 3 3" xfId="15384" xr:uid="{00000000-0005-0000-0000-0000CB740000}"/>
    <cellStyle name="Total 2 8 4 2 3 3 2" xfId="30216" xr:uid="{00000000-0005-0000-0000-0000CC740000}"/>
    <cellStyle name="Total 2 8 4 2 3 4" xfId="11635" xr:uid="{00000000-0005-0000-0000-0000CD740000}"/>
    <cellStyle name="Total 2 8 4 2 3 4 2" xfId="26467" xr:uid="{00000000-0005-0000-0000-0000CE740000}"/>
    <cellStyle name="Total 2 8 4 2 4" xfId="3053" xr:uid="{00000000-0005-0000-0000-0000CF740000}"/>
    <cellStyle name="Total 2 8 4 2 4 2" xfId="7128" xr:uid="{00000000-0005-0000-0000-0000D0740000}"/>
    <cellStyle name="Total 2 8 4 2 4 2 2" xfId="16926" xr:uid="{00000000-0005-0000-0000-0000D1740000}"/>
    <cellStyle name="Total 2 8 4 2 4 2 2 2" xfId="31758" xr:uid="{00000000-0005-0000-0000-0000D2740000}"/>
    <cellStyle name="Total 2 8 4 2 4 2 3" xfId="18894" xr:uid="{00000000-0005-0000-0000-0000D3740000}"/>
    <cellStyle name="Total 2 8 4 2 4 3" xfId="13391" xr:uid="{00000000-0005-0000-0000-0000D4740000}"/>
    <cellStyle name="Total 2 8 4 2 4 3 2" xfId="28223" xr:uid="{00000000-0005-0000-0000-0000D5740000}"/>
    <cellStyle name="Total 2 8 4 2 4 4" xfId="10582" xr:uid="{00000000-0005-0000-0000-0000D6740000}"/>
    <cellStyle name="Total 2 8 4 2 4 4 2" xfId="25414" xr:uid="{00000000-0005-0000-0000-0000D7740000}"/>
    <cellStyle name="Total 2 8 4 2 5" xfId="6220" xr:uid="{00000000-0005-0000-0000-0000D8740000}"/>
    <cellStyle name="Total 2 8 4 2 5 2" xfId="16406" xr:uid="{00000000-0005-0000-0000-0000D9740000}"/>
    <cellStyle name="Total 2 8 4 2 5 2 2" xfId="31238" xr:uid="{00000000-0005-0000-0000-0000DA740000}"/>
    <cellStyle name="Total 2 8 4 2 5 3" xfId="18535" xr:uid="{00000000-0005-0000-0000-0000DB740000}"/>
    <cellStyle name="Total 2 8 4 2 6" xfId="12476" xr:uid="{00000000-0005-0000-0000-0000DC740000}"/>
    <cellStyle name="Total 2 8 4 2 6 2" xfId="27308" xr:uid="{00000000-0005-0000-0000-0000DD740000}"/>
    <cellStyle name="Total 2 8 4 2 7" xfId="10058" xr:uid="{00000000-0005-0000-0000-0000DE740000}"/>
    <cellStyle name="Total 2 8 4 2 7 2" xfId="24890" xr:uid="{00000000-0005-0000-0000-0000DF740000}"/>
    <cellStyle name="Total 2 8 4 3" xfId="4330" xr:uid="{00000000-0005-0000-0000-0000E0740000}"/>
    <cellStyle name="Total 2 8 4 3 2" xfId="8369" xr:uid="{00000000-0005-0000-0000-0000E1740000}"/>
    <cellStyle name="Total 2 8 4 3 2 2" xfId="17647" xr:uid="{00000000-0005-0000-0000-0000E2740000}"/>
    <cellStyle name="Total 2 8 4 3 2 2 2" xfId="32479" xr:uid="{00000000-0005-0000-0000-0000E3740000}"/>
    <cellStyle name="Total 2 8 4 3 2 3" xfId="19347" xr:uid="{00000000-0005-0000-0000-0000E4740000}"/>
    <cellStyle name="Total 2 8 4 3 3" xfId="14661" xr:uid="{00000000-0005-0000-0000-0000E5740000}"/>
    <cellStyle name="Total 2 8 4 3 3 2" xfId="29493" xr:uid="{00000000-0005-0000-0000-0000E6740000}"/>
    <cellStyle name="Total 2 8 4 3 4" xfId="11257" xr:uid="{00000000-0005-0000-0000-0000E7740000}"/>
    <cellStyle name="Total 2 8 4 3 4 2" xfId="26089" xr:uid="{00000000-0005-0000-0000-0000E8740000}"/>
    <cellStyle name="Total 2 8 4 4" xfId="4643" xr:uid="{00000000-0005-0000-0000-0000E9740000}"/>
    <cellStyle name="Total 2 8 4 4 2" xfId="8682" xr:uid="{00000000-0005-0000-0000-0000EA740000}"/>
    <cellStyle name="Total 2 8 4 4 2 2" xfId="17795" xr:uid="{00000000-0005-0000-0000-0000EB740000}"/>
    <cellStyle name="Total 2 8 4 4 2 2 2" xfId="32627" xr:uid="{00000000-0005-0000-0000-0000EC740000}"/>
    <cellStyle name="Total 2 8 4 4 2 3" xfId="19441" xr:uid="{00000000-0005-0000-0000-0000ED740000}"/>
    <cellStyle name="Total 2 8 4 4 3" xfId="14969" xr:uid="{00000000-0005-0000-0000-0000EE740000}"/>
    <cellStyle name="Total 2 8 4 4 3 2" xfId="29801" xr:uid="{00000000-0005-0000-0000-0000EF740000}"/>
    <cellStyle name="Total 2 8 4 4 4" xfId="11400" xr:uid="{00000000-0005-0000-0000-0000F0740000}"/>
    <cellStyle name="Total 2 8 4 4 4 2" xfId="26232" xr:uid="{00000000-0005-0000-0000-0000F1740000}"/>
    <cellStyle name="Total 2 8 4 5" xfId="2633" xr:uid="{00000000-0005-0000-0000-0000F2740000}"/>
    <cellStyle name="Total 2 8 4 5 2" xfId="6734" xr:uid="{00000000-0005-0000-0000-0000F3740000}"/>
    <cellStyle name="Total 2 8 4 5 2 2" xfId="16691" xr:uid="{00000000-0005-0000-0000-0000F4740000}"/>
    <cellStyle name="Total 2 8 4 5 2 2 2" xfId="31523" xr:uid="{00000000-0005-0000-0000-0000F5740000}"/>
    <cellStyle name="Total 2 8 4 5 2 3" xfId="18730" xr:uid="{00000000-0005-0000-0000-0000F6740000}"/>
    <cellStyle name="Total 2 8 4 5 3" xfId="12971" xr:uid="{00000000-0005-0000-0000-0000F7740000}"/>
    <cellStyle name="Total 2 8 4 5 3 2" xfId="27803" xr:uid="{00000000-0005-0000-0000-0000F8740000}"/>
    <cellStyle name="Total 2 8 4 5 4" xfId="10342" xr:uid="{00000000-0005-0000-0000-0000F9740000}"/>
    <cellStyle name="Total 2 8 4 5 4 2" xfId="25174" xr:uid="{00000000-0005-0000-0000-0000FA740000}"/>
    <cellStyle name="Total 2 8 4 6" xfId="5750" xr:uid="{00000000-0005-0000-0000-0000FB740000}"/>
    <cellStyle name="Total 2 8 4 6 2" xfId="15985" xr:uid="{00000000-0005-0000-0000-0000FC740000}"/>
    <cellStyle name="Total 2 8 4 6 2 2" xfId="30817" xr:uid="{00000000-0005-0000-0000-0000FD740000}"/>
    <cellStyle name="Total 2 8 4 6 3" xfId="18371" xr:uid="{00000000-0005-0000-0000-0000FE740000}"/>
    <cellStyle name="Total 2 8 4 7" xfId="12005" xr:uid="{00000000-0005-0000-0000-0000FF740000}"/>
    <cellStyle name="Total 2 8 4 7 2" xfId="26837" xr:uid="{00000000-0005-0000-0000-000000750000}"/>
    <cellStyle name="Total 2 8 4 8" xfId="9664" xr:uid="{00000000-0005-0000-0000-000001750000}"/>
    <cellStyle name="Total 2 8 4 8 2" xfId="19965" xr:uid="{00000000-0005-0000-0000-000002750000}"/>
    <cellStyle name="Total 2 8 5" xfId="1648" xr:uid="{00000000-0005-0000-0000-000003750000}"/>
    <cellStyle name="Total 2 8 5 2" xfId="2145" xr:uid="{00000000-0005-0000-0000-000004750000}"/>
    <cellStyle name="Total 2 8 5 2 2" xfId="3416" xr:uid="{00000000-0005-0000-0000-000005750000}"/>
    <cellStyle name="Total 2 8 5 2 2 2" xfId="7479" xr:uid="{00000000-0005-0000-0000-000006750000}"/>
    <cellStyle name="Total 2 8 5 2 2 2 2" xfId="17178" xr:uid="{00000000-0005-0000-0000-000007750000}"/>
    <cellStyle name="Total 2 8 5 2 2 2 2 2" xfId="32010" xr:uid="{00000000-0005-0000-0000-000008750000}"/>
    <cellStyle name="Total 2 8 5 2 2 2 3" xfId="19027" xr:uid="{00000000-0005-0000-0000-000009750000}"/>
    <cellStyle name="Total 2 8 5 2 2 3" xfId="13753" xr:uid="{00000000-0005-0000-0000-00000A750000}"/>
    <cellStyle name="Total 2 8 5 2 2 3 2" xfId="28585" xr:uid="{00000000-0005-0000-0000-00000B750000}"/>
    <cellStyle name="Total 2 8 5 2 2 4" xfId="10797" xr:uid="{00000000-0005-0000-0000-00000C750000}"/>
    <cellStyle name="Total 2 8 5 2 2 4 2" xfId="25629" xr:uid="{00000000-0005-0000-0000-00000D750000}"/>
    <cellStyle name="Total 2 8 5 2 3" xfId="5113" xr:uid="{00000000-0005-0000-0000-00000E750000}"/>
    <cellStyle name="Total 2 8 5 2 3 2" xfId="9152" xr:uid="{00000000-0005-0000-0000-00000F750000}"/>
    <cellStyle name="Total 2 8 5 2 3 2 2" xfId="18080" xr:uid="{00000000-0005-0000-0000-000010750000}"/>
    <cellStyle name="Total 2 8 5 2 3 2 2 2" xfId="32912" xr:uid="{00000000-0005-0000-0000-000011750000}"/>
    <cellStyle name="Total 2 8 5 2 3 2 3" xfId="19633" xr:uid="{00000000-0005-0000-0000-000012750000}"/>
    <cellStyle name="Total 2 8 5 2 3 3" xfId="15433" xr:uid="{00000000-0005-0000-0000-000013750000}"/>
    <cellStyle name="Total 2 8 5 2 3 3 2" xfId="30265" xr:uid="{00000000-0005-0000-0000-000014750000}"/>
    <cellStyle name="Total 2 8 5 2 3 4" xfId="11679" xr:uid="{00000000-0005-0000-0000-000015750000}"/>
    <cellStyle name="Total 2 8 5 2 3 4 2" xfId="26511" xr:uid="{00000000-0005-0000-0000-000016750000}"/>
    <cellStyle name="Total 2 8 5 2 4" xfId="3103" xr:uid="{00000000-0005-0000-0000-000017750000}"/>
    <cellStyle name="Total 2 8 5 2 4 2" xfId="7173" xr:uid="{00000000-0005-0000-0000-000018750000}"/>
    <cellStyle name="Total 2 8 5 2 4 2 2" xfId="16970" xr:uid="{00000000-0005-0000-0000-000019750000}"/>
    <cellStyle name="Total 2 8 5 2 4 2 2 2" xfId="31802" xr:uid="{00000000-0005-0000-0000-00001A750000}"/>
    <cellStyle name="Total 2 8 5 2 4 2 3" xfId="18927" xr:uid="{00000000-0005-0000-0000-00001B750000}"/>
    <cellStyle name="Total 2 8 5 2 4 3" xfId="13441" xr:uid="{00000000-0005-0000-0000-00001C750000}"/>
    <cellStyle name="Total 2 8 5 2 4 3 2" xfId="28273" xr:uid="{00000000-0005-0000-0000-00001D750000}"/>
    <cellStyle name="Total 2 8 5 2 4 4" xfId="10627" xr:uid="{00000000-0005-0000-0000-00001E750000}"/>
    <cellStyle name="Total 2 8 5 2 4 4 2" xfId="25459" xr:uid="{00000000-0005-0000-0000-00001F750000}"/>
    <cellStyle name="Total 2 8 5 2 5" xfId="6265" xr:uid="{00000000-0005-0000-0000-000020750000}"/>
    <cellStyle name="Total 2 8 5 2 5 2" xfId="16450" xr:uid="{00000000-0005-0000-0000-000021750000}"/>
    <cellStyle name="Total 2 8 5 2 5 2 2" xfId="31282" xr:uid="{00000000-0005-0000-0000-000022750000}"/>
    <cellStyle name="Total 2 8 5 2 5 3" xfId="18568" xr:uid="{00000000-0005-0000-0000-000023750000}"/>
    <cellStyle name="Total 2 8 5 2 6" xfId="12520" xr:uid="{00000000-0005-0000-0000-000024750000}"/>
    <cellStyle name="Total 2 8 5 2 6 2" xfId="27352" xr:uid="{00000000-0005-0000-0000-000025750000}"/>
    <cellStyle name="Total 2 8 5 2 7" xfId="10102" xr:uid="{00000000-0005-0000-0000-000026750000}"/>
    <cellStyle name="Total 2 8 5 2 7 2" xfId="24934" xr:uid="{00000000-0005-0000-0000-000027750000}"/>
    <cellStyle name="Total 2 8 5 3" xfId="3866" xr:uid="{00000000-0005-0000-0000-000028750000}"/>
    <cellStyle name="Total 2 8 5 3 2" xfId="7918" xr:uid="{00000000-0005-0000-0000-000029750000}"/>
    <cellStyle name="Total 2 8 5 3 2 2" xfId="17400" xr:uid="{00000000-0005-0000-0000-00002A750000}"/>
    <cellStyle name="Total 2 8 5 3 2 2 2" xfId="32232" xr:uid="{00000000-0005-0000-0000-00002B750000}"/>
    <cellStyle name="Total 2 8 5 3 2 3" xfId="19179" xr:uid="{00000000-0005-0000-0000-00002C750000}"/>
    <cellStyle name="Total 2 8 5 3 3" xfId="14201" xr:uid="{00000000-0005-0000-0000-00002D750000}"/>
    <cellStyle name="Total 2 8 5 3 3 2" xfId="29033" xr:uid="{00000000-0005-0000-0000-00002E750000}"/>
    <cellStyle name="Total 2 8 5 3 4" xfId="11019" xr:uid="{00000000-0005-0000-0000-00002F750000}"/>
    <cellStyle name="Total 2 8 5 3 4 2" xfId="25851" xr:uid="{00000000-0005-0000-0000-000030750000}"/>
    <cellStyle name="Total 2 8 5 4" xfId="4693" xr:uid="{00000000-0005-0000-0000-000031750000}"/>
    <cellStyle name="Total 2 8 5 4 2" xfId="8732" xr:uid="{00000000-0005-0000-0000-000032750000}"/>
    <cellStyle name="Total 2 8 5 4 2 2" xfId="17840" xr:uid="{00000000-0005-0000-0000-000033750000}"/>
    <cellStyle name="Total 2 8 5 4 2 2 2" xfId="32672" xr:uid="{00000000-0005-0000-0000-000034750000}"/>
    <cellStyle name="Total 2 8 5 4 2 3" xfId="19473" xr:uid="{00000000-0005-0000-0000-000035750000}"/>
    <cellStyle name="Total 2 8 5 4 3" xfId="15018" xr:uid="{00000000-0005-0000-0000-000036750000}"/>
    <cellStyle name="Total 2 8 5 4 3 2" xfId="29850" xr:uid="{00000000-0005-0000-0000-000037750000}"/>
    <cellStyle name="Total 2 8 5 4 4" xfId="11444" xr:uid="{00000000-0005-0000-0000-000038750000}"/>
    <cellStyle name="Total 2 8 5 4 4 2" xfId="26276" xr:uid="{00000000-0005-0000-0000-000039750000}"/>
    <cellStyle name="Total 2 8 5 5" xfId="2683" xr:uid="{00000000-0005-0000-0000-00003A750000}"/>
    <cellStyle name="Total 2 8 5 5 2" xfId="6779" xr:uid="{00000000-0005-0000-0000-00003B750000}"/>
    <cellStyle name="Total 2 8 5 5 2 2" xfId="16735" xr:uid="{00000000-0005-0000-0000-00003C750000}"/>
    <cellStyle name="Total 2 8 5 5 2 2 2" xfId="31567" xr:uid="{00000000-0005-0000-0000-00003D750000}"/>
    <cellStyle name="Total 2 8 5 5 2 3" xfId="18763" xr:uid="{00000000-0005-0000-0000-00003E750000}"/>
    <cellStyle name="Total 2 8 5 5 3" xfId="13021" xr:uid="{00000000-0005-0000-0000-00003F750000}"/>
    <cellStyle name="Total 2 8 5 5 3 2" xfId="27853" xr:uid="{00000000-0005-0000-0000-000040750000}"/>
    <cellStyle name="Total 2 8 5 5 4" xfId="10387" xr:uid="{00000000-0005-0000-0000-000041750000}"/>
    <cellStyle name="Total 2 8 5 5 4 2" xfId="25219" xr:uid="{00000000-0005-0000-0000-000042750000}"/>
    <cellStyle name="Total 2 8 5 6" xfId="5795" xr:uid="{00000000-0005-0000-0000-000043750000}"/>
    <cellStyle name="Total 2 8 5 6 2" xfId="16029" xr:uid="{00000000-0005-0000-0000-000044750000}"/>
    <cellStyle name="Total 2 8 5 6 2 2" xfId="30861" xr:uid="{00000000-0005-0000-0000-000045750000}"/>
    <cellStyle name="Total 2 8 5 6 3" xfId="18404" xr:uid="{00000000-0005-0000-0000-000046750000}"/>
    <cellStyle name="Total 2 8 5 7" xfId="12049" xr:uid="{00000000-0005-0000-0000-000047750000}"/>
    <cellStyle name="Total 2 8 5 7 2" xfId="26881" xr:uid="{00000000-0005-0000-0000-000048750000}"/>
    <cellStyle name="Total 2 8 5 8" xfId="9709" xr:uid="{00000000-0005-0000-0000-000049750000}"/>
    <cellStyle name="Total 2 8 5 8 2" xfId="20009" xr:uid="{00000000-0005-0000-0000-00004A750000}"/>
    <cellStyle name="Total 2 8 6" xfId="1799" xr:uid="{00000000-0005-0000-0000-00004B750000}"/>
    <cellStyle name="Total 2 8 6 2" xfId="4071" xr:uid="{00000000-0005-0000-0000-00004C750000}"/>
    <cellStyle name="Total 2 8 6 2 2" xfId="8118" xr:uid="{00000000-0005-0000-0000-00004D750000}"/>
    <cellStyle name="Total 2 8 6 2 2 2" xfId="17506" xr:uid="{00000000-0005-0000-0000-00004E750000}"/>
    <cellStyle name="Total 2 8 6 2 2 2 2" xfId="32338" xr:uid="{00000000-0005-0000-0000-00004F750000}"/>
    <cellStyle name="Total 2 8 6 2 2 3" xfId="19258" xr:uid="{00000000-0005-0000-0000-000050750000}"/>
    <cellStyle name="Total 2 8 6 2 3" xfId="14403" xr:uid="{00000000-0005-0000-0000-000051750000}"/>
    <cellStyle name="Total 2 8 6 2 3 2" xfId="29235" xr:uid="{00000000-0005-0000-0000-000052750000}"/>
    <cellStyle name="Total 2 8 6 2 4" xfId="11122" xr:uid="{00000000-0005-0000-0000-000053750000}"/>
    <cellStyle name="Total 2 8 6 2 4 2" xfId="25954" xr:uid="{00000000-0005-0000-0000-000054750000}"/>
    <cellStyle name="Total 2 8 6 3" xfId="4777" xr:uid="{00000000-0005-0000-0000-000055750000}"/>
    <cellStyle name="Total 2 8 6 3 2" xfId="8816" xr:uid="{00000000-0005-0000-0000-000056750000}"/>
    <cellStyle name="Total 2 8 6 3 2 2" xfId="17888" xr:uid="{00000000-0005-0000-0000-000057750000}"/>
    <cellStyle name="Total 2 8 6 3 2 2 2" xfId="32720" xr:uid="{00000000-0005-0000-0000-000058750000}"/>
    <cellStyle name="Total 2 8 6 3 2 3" xfId="19505" xr:uid="{00000000-0005-0000-0000-000059750000}"/>
    <cellStyle name="Total 2 8 6 3 3" xfId="15101" xr:uid="{00000000-0005-0000-0000-00005A750000}"/>
    <cellStyle name="Total 2 8 6 3 3 2" xfId="29933" xr:uid="{00000000-0005-0000-0000-00005B750000}"/>
    <cellStyle name="Total 2 8 6 3 4" xfId="11491" xr:uid="{00000000-0005-0000-0000-00005C750000}"/>
    <cellStyle name="Total 2 8 6 3 4 2" xfId="26323" xr:uid="{00000000-0005-0000-0000-00005D750000}"/>
    <cellStyle name="Total 2 8 6 4" xfId="2767" xr:uid="{00000000-0005-0000-0000-00005E750000}"/>
    <cellStyle name="Total 2 8 6 4 2" xfId="6858" xr:uid="{00000000-0005-0000-0000-00005F750000}"/>
    <cellStyle name="Total 2 8 6 4 2 2" xfId="16782" xr:uid="{00000000-0005-0000-0000-000060750000}"/>
    <cellStyle name="Total 2 8 6 4 2 2 2" xfId="31614" xr:uid="{00000000-0005-0000-0000-000061750000}"/>
    <cellStyle name="Total 2 8 6 4 2 3" xfId="18796" xr:uid="{00000000-0005-0000-0000-000062750000}"/>
    <cellStyle name="Total 2 8 6 4 3" xfId="13105" xr:uid="{00000000-0005-0000-0000-000063750000}"/>
    <cellStyle name="Total 2 8 6 4 3 2" xfId="27937" xr:uid="{00000000-0005-0000-0000-000064750000}"/>
    <cellStyle name="Total 2 8 6 4 4" xfId="10435" xr:uid="{00000000-0005-0000-0000-000065750000}"/>
    <cellStyle name="Total 2 8 6 4 4 2" xfId="25267" xr:uid="{00000000-0005-0000-0000-000066750000}"/>
    <cellStyle name="Total 2 8 6 5" xfId="5931" xr:uid="{00000000-0005-0000-0000-000067750000}"/>
    <cellStyle name="Total 2 8 6 5 2" xfId="16123" xr:uid="{00000000-0005-0000-0000-000068750000}"/>
    <cellStyle name="Total 2 8 6 5 2 2" xfId="30955" xr:uid="{00000000-0005-0000-0000-000069750000}"/>
    <cellStyle name="Total 2 8 6 5 3" xfId="18438" xr:uid="{00000000-0005-0000-0000-00006A750000}"/>
    <cellStyle name="Total 2 8 6 6" xfId="12193" xr:uid="{00000000-0005-0000-0000-00006B750000}"/>
    <cellStyle name="Total 2 8 6 6 2" xfId="27025" xr:uid="{00000000-0005-0000-0000-00006C750000}"/>
    <cellStyle name="Total 2 8 6 7" xfId="9789" xr:uid="{00000000-0005-0000-0000-00006D750000}"/>
    <cellStyle name="Total 2 8 6 7 2" xfId="24746" xr:uid="{00000000-0005-0000-0000-00006E750000}"/>
    <cellStyle name="Total 2 8 7" xfId="2167" xr:uid="{00000000-0005-0000-0000-00006F750000}"/>
    <cellStyle name="Total 2 8 7 2" xfId="3288" xr:uid="{00000000-0005-0000-0000-000070750000}"/>
    <cellStyle name="Total 2 8 7 2 2" xfId="7352" xr:uid="{00000000-0005-0000-0000-000071750000}"/>
    <cellStyle name="Total 2 8 7 2 2 2" xfId="17094" xr:uid="{00000000-0005-0000-0000-000072750000}"/>
    <cellStyle name="Total 2 8 7 2 2 2 2" xfId="31926" xr:uid="{00000000-0005-0000-0000-000073750000}"/>
    <cellStyle name="Total 2 8 7 2 2 3" xfId="18984" xr:uid="{00000000-0005-0000-0000-000074750000}"/>
    <cellStyle name="Total 2 8 7 2 3" xfId="13625" xr:uid="{00000000-0005-0000-0000-000075750000}"/>
    <cellStyle name="Total 2 8 7 2 3 2" xfId="28457" xr:uid="{00000000-0005-0000-0000-000076750000}"/>
    <cellStyle name="Total 2 8 7 2 4" xfId="10720" xr:uid="{00000000-0005-0000-0000-000077750000}"/>
    <cellStyle name="Total 2 8 7 2 4 2" xfId="25552" xr:uid="{00000000-0005-0000-0000-000078750000}"/>
    <cellStyle name="Total 2 8 7 3" xfId="5135" xr:uid="{00000000-0005-0000-0000-000079750000}"/>
    <cellStyle name="Total 2 8 7 3 2" xfId="9174" xr:uid="{00000000-0005-0000-0000-00007A750000}"/>
    <cellStyle name="Total 2 8 7 3 2 2" xfId="18097" xr:uid="{00000000-0005-0000-0000-00007B750000}"/>
    <cellStyle name="Total 2 8 7 3 2 2 2" xfId="32929" xr:uid="{00000000-0005-0000-0000-00007C750000}"/>
    <cellStyle name="Total 2 8 7 3 2 3" xfId="19648" xr:uid="{00000000-0005-0000-0000-00007D750000}"/>
    <cellStyle name="Total 2 8 7 3 3" xfId="15453" xr:uid="{00000000-0005-0000-0000-00007E750000}"/>
    <cellStyle name="Total 2 8 7 3 3 2" xfId="30285" xr:uid="{00000000-0005-0000-0000-00007F750000}"/>
    <cellStyle name="Total 2 8 7 3 4" xfId="11694" xr:uid="{00000000-0005-0000-0000-000080750000}"/>
    <cellStyle name="Total 2 8 7 3 4 2" xfId="26526" xr:uid="{00000000-0005-0000-0000-000081750000}"/>
    <cellStyle name="Total 2 8 7 4" xfId="4165" xr:uid="{00000000-0005-0000-0000-000082750000}"/>
    <cellStyle name="Total 2 8 7 4 2" xfId="8206" xr:uid="{00000000-0005-0000-0000-000083750000}"/>
    <cellStyle name="Total 2 8 7 4 2 2" xfId="17553" xr:uid="{00000000-0005-0000-0000-000084750000}"/>
    <cellStyle name="Total 2 8 7 4 2 2 2" xfId="32385" xr:uid="{00000000-0005-0000-0000-000085750000}"/>
    <cellStyle name="Total 2 8 7 4 2 3" xfId="19291" xr:uid="{00000000-0005-0000-0000-000086750000}"/>
    <cellStyle name="Total 2 8 7 4 3" xfId="14497" xr:uid="{00000000-0005-0000-0000-000087750000}"/>
    <cellStyle name="Total 2 8 7 4 3 2" xfId="29329" xr:uid="{00000000-0005-0000-0000-000088750000}"/>
    <cellStyle name="Total 2 8 7 4 4" xfId="11173" xr:uid="{00000000-0005-0000-0000-000089750000}"/>
    <cellStyle name="Total 2 8 7 4 4 2" xfId="26005" xr:uid="{00000000-0005-0000-0000-00008A750000}"/>
    <cellStyle name="Total 2 8 7 5" xfId="6281" xr:uid="{00000000-0005-0000-0000-00008B750000}"/>
    <cellStyle name="Total 2 8 7 5 2" xfId="16465" xr:uid="{00000000-0005-0000-0000-00008C750000}"/>
    <cellStyle name="Total 2 8 7 5 2 2" xfId="31297" xr:uid="{00000000-0005-0000-0000-00008D750000}"/>
    <cellStyle name="Total 2 8 7 5 3" xfId="18584" xr:uid="{00000000-0005-0000-0000-00008E750000}"/>
    <cellStyle name="Total 2 8 7 6" xfId="12535" xr:uid="{00000000-0005-0000-0000-00008F750000}"/>
    <cellStyle name="Total 2 8 7 6 2" xfId="27367" xr:uid="{00000000-0005-0000-0000-000090750000}"/>
    <cellStyle name="Total 2 8 7 7" xfId="10117" xr:uid="{00000000-0005-0000-0000-000091750000}"/>
    <cellStyle name="Total 2 8 7 7 2" xfId="24949" xr:uid="{00000000-0005-0000-0000-000092750000}"/>
    <cellStyle name="Total 2 8 8" xfId="3279" xr:uid="{00000000-0005-0000-0000-000093750000}"/>
    <cellStyle name="Total 2 8 8 2" xfId="7343" xr:uid="{00000000-0005-0000-0000-000094750000}"/>
    <cellStyle name="Total 2 8 8 2 2" xfId="17087" xr:uid="{00000000-0005-0000-0000-000095750000}"/>
    <cellStyle name="Total 2 8 8 2 2 2" xfId="31919" xr:uid="{00000000-0005-0000-0000-000096750000}"/>
    <cellStyle name="Total 2 8 8 2 3" xfId="18981" xr:uid="{00000000-0005-0000-0000-000097750000}"/>
    <cellStyle name="Total 2 8 8 3" xfId="13616" xr:uid="{00000000-0005-0000-0000-000098750000}"/>
    <cellStyle name="Total 2 8 8 3 2" xfId="28448" xr:uid="{00000000-0005-0000-0000-000099750000}"/>
    <cellStyle name="Total 2 8 8 4" xfId="10714" xr:uid="{00000000-0005-0000-0000-00009A750000}"/>
    <cellStyle name="Total 2 8 8 4 2" xfId="25546" xr:uid="{00000000-0005-0000-0000-00009B750000}"/>
    <cellStyle name="Total 2 8 9" xfId="3191" xr:uid="{00000000-0005-0000-0000-00009C750000}"/>
    <cellStyle name="Total 2 8 9 2" xfId="7255" xr:uid="{00000000-0005-0000-0000-00009D750000}"/>
    <cellStyle name="Total 2 8 9 2 2" xfId="17025" xr:uid="{00000000-0005-0000-0000-00009E750000}"/>
    <cellStyle name="Total 2 8 9 2 2 2" xfId="31857" xr:uid="{00000000-0005-0000-0000-00009F750000}"/>
    <cellStyle name="Total 2 8 9 2 3" xfId="18957" xr:uid="{00000000-0005-0000-0000-0000A0750000}"/>
    <cellStyle name="Total 2 8 9 3" xfId="13529" xr:uid="{00000000-0005-0000-0000-0000A1750000}"/>
    <cellStyle name="Total 2 8 9 3 2" xfId="28361" xr:uid="{00000000-0005-0000-0000-0000A2750000}"/>
    <cellStyle name="Total 2 8 9 4" xfId="10671" xr:uid="{00000000-0005-0000-0000-0000A3750000}"/>
    <cellStyle name="Total 2 8 9 4 2" xfId="25503" xr:uid="{00000000-0005-0000-0000-0000A4750000}"/>
    <cellStyle name="Total 2 9" xfId="1366" xr:uid="{00000000-0005-0000-0000-0000A5750000}"/>
    <cellStyle name="Total 2 9 2" xfId="1870" xr:uid="{00000000-0005-0000-0000-0000A6750000}"/>
    <cellStyle name="Total 2 9 2 2" xfId="4138" xr:uid="{00000000-0005-0000-0000-0000A7750000}"/>
    <cellStyle name="Total 2 9 2 2 2" xfId="8182" xr:uid="{00000000-0005-0000-0000-0000A8750000}"/>
    <cellStyle name="Total 2 9 2 2 2 2" xfId="17539" xr:uid="{00000000-0005-0000-0000-0000A9750000}"/>
    <cellStyle name="Total 2 9 2 2 2 2 2" xfId="32371" xr:uid="{00000000-0005-0000-0000-0000AA750000}"/>
    <cellStyle name="Total 2 9 2 2 2 3" xfId="19281" xr:uid="{00000000-0005-0000-0000-0000AB750000}"/>
    <cellStyle name="Total 2 9 2 2 3" xfId="14470" xr:uid="{00000000-0005-0000-0000-0000AC750000}"/>
    <cellStyle name="Total 2 9 2 2 3 2" xfId="29302" xr:uid="{00000000-0005-0000-0000-0000AD750000}"/>
    <cellStyle name="Total 2 9 2 2 4" xfId="11157" xr:uid="{00000000-0005-0000-0000-0000AE750000}"/>
    <cellStyle name="Total 2 9 2 2 4 2" xfId="25989" xr:uid="{00000000-0005-0000-0000-0000AF750000}"/>
    <cellStyle name="Total 2 9 2 3" xfId="4848" xr:uid="{00000000-0005-0000-0000-0000B0750000}"/>
    <cellStyle name="Total 2 9 2 3 2" xfId="8887" xr:uid="{00000000-0005-0000-0000-0000B1750000}"/>
    <cellStyle name="Total 2 9 2 3 2 2" xfId="17928" xr:uid="{00000000-0005-0000-0000-0000B2750000}"/>
    <cellStyle name="Total 2 9 2 3 2 2 2" xfId="32760" xr:uid="{00000000-0005-0000-0000-0000B3750000}"/>
    <cellStyle name="Total 2 9 2 3 2 3" xfId="19530" xr:uid="{00000000-0005-0000-0000-0000B4750000}"/>
    <cellStyle name="Total 2 9 2 3 3" xfId="15172" xr:uid="{00000000-0005-0000-0000-0000B5750000}"/>
    <cellStyle name="Total 2 9 2 3 3 2" xfId="30004" xr:uid="{00000000-0005-0000-0000-0000B6750000}"/>
    <cellStyle name="Total 2 9 2 3 4" xfId="11531" xr:uid="{00000000-0005-0000-0000-0000B7750000}"/>
    <cellStyle name="Total 2 9 2 3 4 2" xfId="26363" xr:uid="{00000000-0005-0000-0000-0000B8750000}"/>
    <cellStyle name="Total 2 9 2 4" xfId="2838" xr:uid="{00000000-0005-0000-0000-0000B9750000}"/>
    <cellStyle name="Total 2 9 2 4 2" xfId="6929" xr:uid="{00000000-0005-0000-0000-0000BA750000}"/>
    <cellStyle name="Total 2 9 2 4 2 2" xfId="16822" xr:uid="{00000000-0005-0000-0000-0000BB750000}"/>
    <cellStyle name="Total 2 9 2 4 2 2 2" xfId="31654" xr:uid="{00000000-0005-0000-0000-0000BC750000}"/>
    <cellStyle name="Total 2 9 2 4 2 3" xfId="18821" xr:uid="{00000000-0005-0000-0000-0000BD750000}"/>
    <cellStyle name="Total 2 9 2 4 3" xfId="13176" xr:uid="{00000000-0005-0000-0000-0000BE750000}"/>
    <cellStyle name="Total 2 9 2 4 3 2" xfId="28008" xr:uid="{00000000-0005-0000-0000-0000BF750000}"/>
    <cellStyle name="Total 2 9 2 4 4" xfId="10475" xr:uid="{00000000-0005-0000-0000-0000C0750000}"/>
    <cellStyle name="Total 2 9 2 4 4 2" xfId="25307" xr:uid="{00000000-0005-0000-0000-0000C1750000}"/>
    <cellStyle name="Total 2 9 2 5" xfId="6002" xr:uid="{00000000-0005-0000-0000-0000C2750000}"/>
    <cellStyle name="Total 2 9 2 5 2" xfId="16194" xr:uid="{00000000-0005-0000-0000-0000C3750000}"/>
    <cellStyle name="Total 2 9 2 5 2 2" xfId="31026" xr:uid="{00000000-0005-0000-0000-0000C4750000}"/>
    <cellStyle name="Total 2 9 2 5 3" xfId="18463" xr:uid="{00000000-0005-0000-0000-0000C5750000}"/>
    <cellStyle name="Total 2 9 2 6" xfId="12264" xr:uid="{00000000-0005-0000-0000-0000C6750000}"/>
    <cellStyle name="Total 2 9 2 6 2" xfId="27096" xr:uid="{00000000-0005-0000-0000-0000C7750000}"/>
    <cellStyle name="Total 2 9 2 7" xfId="9860" xr:uid="{00000000-0005-0000-0000-0000C8750000}"/>
    <cellStyle name="Total 2 9 2 7 2" xfId="24786" xr:uid="{00000000-0005-0000-0000-0000C9750000}"/>
    <cellStyle name="Total 2 9 3" xfId="3824" xr:uid="{00000000-0005-0000-0000-0000CA750000}"/>
    <cellStyle name="Total 2 9 3 2" xfId="7877" xr:uid="{00000000-0005-0000-0000-0000CB750000}"/>
    <cellStyle name="Total 2 9 3 2 2" xfId="17382" xr:uid="{00000000-0005-0000-0000-0000CC750000}"/>
    <cellStyle name="Total 2 9 3 2 2 2" xfId="32214" xr:uid="{00000000-0005-0000-0000-0000CD750000}"/>
    <cellStyle name="Total 2 9 3 2 3" xfId="19166" xr:uid="{00000000-0005-0000-0000-0000CE750000}"/>
    <cellStyle name="Total 2 9 3 3" xfId="14159" xr:uid="{00000000-0005-0000-0000-0000CF750000}"/>
    <cellStyle name="Total 2 9 3 3 2" xfId="28991" xr:uid="{00000000-0005-0000-0000-0000D0750000}"/>
    <cellStyle name="Total 2 9 3 4" xfId="11001" xr:uid="{00000000-0005-0000-0000-0000D1750000}"/>
    <cellStyle name="Total 2 9 3 4 2" xfId="25833" xr:uid="{00000000-0005-0000-0000-0000D2750000}"/>
    <cellStyle name="Total 2 9 4" xfId="4428" xr:uid="{00000000-0005-0000-0000-0000D3750000}"/>
    <cellStyle name="Total 2 9 4 2" xfId="8467" xr:uid="{00000000-0005-0000-0000-0000D4750000}"/>
    <cellStyle name="Total 2 9 4 2 2" xfId="17688" xr:uid="{00000000-0005-0000-0000-0000D5750000}"/>
    <cellStyle name="Total 2 9 4 2 2 2" xfId="32520" xr:uid="{00000000-0005-0000-0000-0000D6750000}"/>
    <cellStyle name="Total 2 9 4 2 3" xfId="19370" xr:uid="{00000000-0005-0000-0000-0000D7750000}"/>
    <cellStyle name="Total 2 9 4 3" xfId="14757" xr:uid="{00000000-0005-0000-0000-0000D8750000}"/>
    <cellStyle name="Total 2 9 4 3 2" xfId="29589" xr:uid="{00000000-0005-0000-0000-0000D9750000}"/>
    <cellStyle name="Total 2 9 4 4" xfId="11296" xr:uid="{00000000-0005-0000-0000-0000DA750000}"/>
    <cellStyle name="Total 2 9 4 4 2" xfId="26128" xr:uid="{00000000-0005-0000-0000-0000DB750000}"/>
    <cellStyle name="Total 2 9 5" xfId="2418" xr:uid="{00000000-0005-0000-0000-0000DC750000}"/>
    <cellStyle name="Total 2 9 5 2" xfId="6530" xr:uid="{00000000-0005-0000-0000-0000DD750000}"/>
    <cellStyle name="Total 2 9 5 2 2" xfId="16586" xr:uid="{00000000-0005-0000-0000-0000DE750000}"/>
    <cellStyle name="Total 2 9 5 2 2 2" xfId="31418" xr:uid="{00000000-0005-0000-0000-0000DF750000}"/>
    <cellStyle name="Total 2 9 5 2 3" xfId="18658" xr:uid="{00000000-0005-0000-0000-0000E0750000}"/>
    <cellStyle name="Total 2 9 5 3" xfId="12757" xr:uid="{00000000-0005-0000-0000-0000E1750000}"/>
    <cellStyle name="Total 2 9 5 3 2" xfId="27589" xr:uid="{00000000-0005-0000-0000-0000E2750000}"/>
    <cellStyle name="Total 2 9 5 4" xfId="10236" xr:uid="{00000000-0005-0000-0000-0000E3750000}"/>
    <cellStyle name="Total 2 9 5 4 2" xfId="25068" xr:uid="{00000000-0005-0000-0000-0000E4750000}"/>
    <cellStyle name="Total 2 9 6" xfId="5543" xr:uid="{00000000-0005-0000-0000-0000E5750000}"/>
    <cellStyle name="Total 2 9 6 2" xfId="15778" xr:uid="{00000000-0005-0000-0000-0000E6750000}"/>
    <cellStyle name="Total 2 9 6 2 2" xfId="30610" xr:uid="{00000000-0005-0000-0000-0000E7750000}"/>
    <cellStyle name="Total 2 9 6 3" xfId="18300" xr:uid="{00000000-0005-0000-0000-0000E8750000}"/>
    <cellStyle name="Total 2 9 7" xfId="11793" xr:uid="{00000000-0005-0000-0000-0000E9750000}"/>
    <cellStyle name="Total 2 9 7 2" xfId="26625" xr:uid="{00000000-0005-0000-0000-0000EA750000}"/>
    <cellStyle name="Total 2 9 8" xfId="9464" xr:uid="{00000000-0005-0000-0000-0000EB750000}"/>
    <cellStyle name="Total 2 9 8 2" xfId="19768" xr:uid="{00000000-0005-0000-0000-0000EC750000}"/>
    <cellStyle name="Total 3" xfId="1275" xr:uid="{00000000-0005-0000-0000-0000ED750000}"/>
    <cellStyle name="Total 3 10" xfId="2342" xr:uid="{00000000-0005-0000-0000-0000EE750000}"/>
    <cellStyle name="Total 3 10 2" xfId="6454" xr:uid="{00000000-0005-0000-0000-0000EF750000}"/>
    <cellStyle name="Total 3 10 2 2" xfId="16546" xr:uid="{00000000-0005-0000-0000-0000F0750000}"/>
    <cellStyle name="Total 3 10 2 2 2" xfId="31378" xr:uid="{00000000-0005-0000-0000-0000F1750000}"/>
    <cellStyle name="Total 3 10 2 3" xfId="18634" xr:uid="{00000000-0005-0000-0000-0000F2750000}"/>
    <cellStyle name="Total 3 10 3" xfId="12682" xr:uid="{00000000-0005-0000-0000-0000F3750000}"/>
    <cellStyle name="Total 3 10 3 2" xfId="27514" xr:uid="{00000000-0005-0000-0000-0000F4750000}"/>
    <cellStyle name="Total 3 10 4" xfId="10197" xr:uid="{00000000-0005-0000-0000-0000F5750000}"/>
    <cellStyle name="Total 3 10 4 2" xfId="25029" xr:uid="{00000000-0005-0000-0000-0000F6750000}"/>
    <cellStyle name="Total 3 11" xfId="5304" xr:uid="{00000000-0005-0000-0000-0000F7750000}"/>
    <cellStyle name="Total 3 11 2" xfId="9312" xr:uid="{00000000-0005-0000-0000-0000F8750000}"/>
    <cellStyle name="Total 3 11 2 2" xfId="18179" xr:uid="{00000000-0005-0000-0000-0000F9750000}"/>
    <cellStyle name="Total 3 11 2 2 2" xfId="33011" xr:uid="{00000000-0005-0000-0000-0000FA750000}"/>
    <cellStyle name="Total 3 11 2 3" xfId="19698" xr:uid="{00000000-0005-0000-0000-0000FB750000}"/>
    <cellStyle name="Total 3 11 3" xfId="15620" xr:uid="{00000000-0005-0000-0000-0000FC750000}"/>
    <cellStyle name="Total 3 11 3 2" xfId="30452" xr:uid="{00000000-0005-0000-0000-0000FD750000}"/>
    <cellStyle name="Total 3 12" xfId="5462" xr:uid="{00000000-0005-0000-0000-0000FE750000}"/>
    <cellStyle name="Total 3 12 2" xfId="15698" xr:uid="{00000000-0005-0000-0000-0000FF750000}"/>
    <cellStyle name="Total 3 12 2 2" xfId="30530" xr:uid="{00000000-0005-0000-0000-000000760000}"/>
    <cellStyle name="Total 3 12 3" xfId="18275" xr:uid="{00000000-0005-0000-0000-000001760000}"/>
    <cellStyle name="Total 3 13" xfId="9329" xr:uid="{00000000-0005-0000-0000-000002760000}"/>
    <cellStyle name="Total 3 13 2" xfId="24635" xr:uid="{00000000-0005-0000-0000-000003760000}"/>
    <cellStyle name="Total 3 14" xfId="5318" xr:uid="{00000000-0005-0000-0000-000004760000}"/>
    <cellStyle name="Total 3 14 2" xfId="18192" xr:uid="{00000000-0005-0000-0000-000005760000}"/>
    <cellStyle name="Total 3 2" xfId="1374" xr:uid="{00000000-0005-0000-0000-000006760000}"/>
    <cellStyle name="Total 3 2 2" xfId="1878" xr:uid="{00000000-0005-0000-0000-000007760000}"/>
    <cellStyle name="Total 3 2 2 2" xfId="3627" xr:uid="{00000000-0005-0000-0000-000008760000}"/>
    <cellStyle name="Total 3 2 2 2 2" xfId="7686" xr:uid="{00000000-0005-0000-0000-000009760000}"/>
    <cellStyle name="Total 3 2 2 2 2 2" xfId="17287" xr:uid="{00000000-0005-0000-0000-00000A760000}"/>
    <cellStyle name="Total 3 2 2 2 2 2 2" xfId="32119" xr:uid="{00000000-0005-0000-0000-00000B760000}"/>
    <cellStyle name="Total 3 2 2 2 2 3" xfId="19102" xr:uid="{00000000-0005-0000-0000-00000C760000}"/>
    <cellStyle name="Total 3 2 2 2 3" xfId="13962" xr:uid="{00000000-0005-0000-0000-00000D760000}"/>
    <cellStyle name="Total 3 2 2 2 3 2" xfId="28794" xr:uid="{00000000-0005-0000-0000-00000E760000}"/>
    <cellStyle name="Total 3 2 2 2 4" xfId="10903" xr:uid="{00000000-0005-0000-0000-00000F760000}"/>
    <cellStyle name="Total 3 2 2 2 4 2" xfId="25735" xr:uid="{00000000-0005-0000-0000-000010760000}"/>
    <cellStyle name="Total 3 2 2 3" xfId="4856" xr:uid="{00000000-0005-0000-0000-000011760000}"/>
    <cellStyle name="Total 3 2 2 3 2" xfId="8895" xr:uid="{00000000-0005-0000-0000-000012760000}"/>
    <cellStyle name="Total 3 2 2 3 2 2" xfId="17936" xr:uid="{00000000-0005-0000-0000-000013760000}"/>
    <cellStyle name="Total 3 2 2 3 2 2 2" xfId="32768" xr:uid="{00000000-0005-0000-0000-000014760000}"/>
    <cellStyle name="Total 3 2 2 3 2 3" xfId="19538" xr:uid="{00000000-0005-0000-0000-000015760000}"/>
    <cellStyle name="Total 3 2 2 3 3" xfId="15180" xr:uid="{00000000-0005-0000-0000-000016760000}"/>
    <cellStyle name="Total 3 2 2 3 3 2" xfId="30012" xr:uid="{00000000-0005-0000-0000-000017760000}"/>
    <cellStyle name="Total 3 2 2 3 4" xfId="11539" xr:uid="{00000000-0005-0000-0000-000018760000}"/>
    <cellStyle name="Total 3 2 2 3 4 2" xfId="26371" xr:uid="{00000000-0005-0000-0000-000019760000}"/>
    <cellStyle name="Total 3 2 2 4" xfId="2846" xr:uid="{00000000-0005-0000-0000-00001A760000}"/>
    <cellStyle name="Total 3 2 2 4 2" xfId="6937" xr:uid="{00000000-0005-0000-0000-00001B760000}"/>
    <cellStyle name="Total 3 2 2 4 2 2" xfId="16830" xr:uid="{00000000-0005-0000-0000-00001C760000}"/>
    <cellStyle name="Total 3 2 2 4 2 2 2" xfId="31662" xr:uid="{00000000-0005-0000-0000-00001D760000}"/>
    <cellStyle name="Total 3 2 2 4 2 3" xfId="18829" xr:uid="{00000000-0005-0000-0000-00001E760000}"/>
    <cellStyle name="Total 3 2 2 4 3" xfId="13184" xr:uid="{00000000-0005-0000-0000-00001F760000}"/>
    <cellStyle name="Total 3 2 2 4 3 2" xfId="28016" xr:uid="{00000000-0005-0000-0000-000020760000}"/>
    <cellStyle name="Total 3 2 2 4 4" xfId="10483" xr:uid="{00000000-0005-0000-0000-000021760000}"/>
    <cellStyle name="Total 3 2 2 4 4 2" xfId="25315" xr:uid="{00000000-0005-0000-0000-000022760000}"/>
    <cellStyle name="Total 3 2 2 5" xfId="6010" xr:uid="{00000000-0005-0000-0000-000023760000}"/>
    <cellStyle name="Total 3 2 2 5 2" xfId="16202" xr:uid="{00000000-0005-0000-0000-000024760000}"/>
    <cellStyle name="Total 3 2 2 5 2 2" xfId="31034" xr:uid="{00000000-0005-0000-0000-000025760000}"/>
    <cellStyle name="Total 3 2 2 5 3" xfId="18471" xr:uid="{00000000-0005-0000-0000-000026760000}"/>
    <cellStyle name="Total 3 2 2 6" xfId="12272" xr:uid="{00000000-0005-0000-0000-000027760000}"/>
    <cellStyle name="Total 3 2 2 6 2" xfId="27104" xr:uid="{00000000-0005-0000-0000-000028760000}"/>
    <cellStyle name="Total 3 2 2 7" xfId="9868" xr:uid="{00000000-0005-0000-0000-000029760000}"/>
    <cellStyle name="Total 3 2 2 7 2" xfId="24794" xr:uid="{00000000-0005-0000-0000-00002A760000}"/>
    <cellStyle name="Total 3 2 3" xfId="3812" xr:uid="{00000000-0005-0000-0000-00002B760000}"/>
    <cellStyle name="Total 3 2 3 2" xfId="7866" xr:uid="{00000000-0005-0000-0000-00002C760000}"/>
    <cellStyle name="Total 3 2 3 2 2" xfId="17379" xr:uid="{00000000-0005-0000-0000-00002D760000}"/>
    <cellStyle name="Total 3 2 3 2 2 2" xfId="32211" xr:uid="{00000000-0005-0000-0000-00002E760000}"/>
    <cellStyle name="Total 3 2 3 2 3" xfId="19163" xr:uid="{00000000-0005-0000-0000-00002F760000}"/>
    <cellStyle name="Total 3 2 3 3" xfId="14147" xr:uid="{00000000-0005-0000-0000-000030760000}"/>
    <cellStyle name="Total 3 2 3 3 2" xfId="28979" xr:uid="{00000000-0005-0000-0000-000031760000}"/>
    <cellStyle name="Total 3 2 3 4" xfId="10997" xr:uid="{00000000-0005-0000-0000-000032760000}"/>
    <cellStyle name="Total 3 2 3 4 2" xfId="25829" xr:uid="{00000000-0005-0000-0000-000033760000}"/>
    <cellStyle name="Total 3 2 4" xfId="4436" xr:uid="{00000000-0005-0000-0000-000034760000}"/>
    <cellStyle name="Total 3 2 4 2" xfId="8475" xr:uid="{00000000-0005-0000-0000-000035760000}"/>
    <cellStyle name="Total 3 2 4 2 2" xfId="17696" xr:uid="{00000000-0005-0000-0000-000036760000}"/>
    <cellStyle name="Total 3 2 4 2 2 2" xfId="32528" xr:uid="{00000000-0005-0000-0000-000037760000}"/>
    <cellStyle name="Total 3 2 4 2 3" xfId="19378" xr:uid="{00000000-0005-0000-0000-000038760000}"/>
    <cellStyle name="Total 3 2 4 3" xfId="14765" xr:uid="{00000000-0005-0000-0000-000039760000}"/>
    <cellStyle name="Total 3 2 4 3 2" xfId="29597" xr:uid="{00000000-0005-0000-0000-00003A760000}"/>
    <cellStyle name="Total 3 2 4 4" xfId="11304" xr:uid="{00000000-0005-0000-0000-00003B760000}"/>
    <cellStyle name="Total 3 2 4 4 2" xfId="26136" xr:uid="{00000000-0005-0000-0000-00003C760000}"/>
    <cellStyle name="Total 3 2 5" xfId="2426" xr:uid="{00000000-0005-0000-0000-00003D760000}"/>
    <cellStyle name="Total 3 2 5 2" xfId="6538" xr:uid="{00000000-0005-0000-0000-00003E760000}"/>
    <cellStyle name="Total 3 2 5 2 2" xfId="16594" xr:uid="{00000000-0005-0000-0000-00003F760000}"/>
    <cellStyle name="Total 3 2 5 2 2 2" xfId="31426" xr:uid="{00000000-0005-0000-0000-000040760000}"/>
    <cellStyle name="Total 3 2 5 2 3" xfId="18666" xr:uid="{00000000-0005-0000-0000-000041760000}"/>
    <cellStyle name="Total 3 2 5 3" xfId="12765" xr:uid="{00000000-0005-0000-0000-000042760000}"/>
    <cellStyle name="Total 3 2 5 3 2" xfId="27597" xr:uid="{00000000-0005-0000-0000-000043760000}"/>
    <cellStyle name="Total 3 2 5 4" xfId="10244" xr:uid="{00000000-0005-0000-0000-000044760000}"/>
    <cellStyle name="Total 3 2 5 4 2" xfId="25076" xr:uid="{00000000-0005-0000-0000-000045760000}"/>
    <cellStyle name="Total 3 2 6" xfId="5551" xr:uid="{00000000-0005-0000-0000-000046760000}"/>
    <cellStyle name="Total 3 2 6 2" xfId="15786" xr:uid="{00000000-0005-0000-0000-000047760000}"/>
    <cellStyle name="Total 3 2 6 2 2" xfId="30618" xr:uid="{00000000-0005-0000-0000-000048760000}"/>
    <cellStyle name="Total 3 2 6 3" xfId="18308" xr:uid="{00000000-0005-0000-0000-000049760000}"/>
    <cellStyle name="Total 3 2 7" xfId="11801" xr:uid="{00000000-0005-0000-0000-00004A760000}"/>
    <cellStyle name="Total 3 2 7 2" xfId="26633" xr:uid="{00000000-0005-0000-0000-00004B760000}"/>
    <cellStyle name="Total 3 2 8" xfId="9472" xr:uid="{00000000-0005-0000-0000-00004C760000}"/>
    <cellStyle name="Total 3 2 8 2" xfId="19776" xr:uid="{00000000-0005-0000-0000-00004D760000}"/>
    <cellStyle name="Total 3 3" xfId="1546" xr:uid="{00000000-0005-0000-0000-00004E760000}"/>
    <cellStyle name="Total 3 3 2" xfId="2043" xr:uid="{00000000-0005-0000-0000-00004F760000}"/>
    <cellStyle name="Total 3 3 2 2" xfId="4094" xr:uid="{00000000-0005-0000-0000-000050760000}"/>
    <cellStyle name="Total 3 3 2 2 2" xfId="8140" xr:uid="{00000000-0005-0000-0000-000051760000}"/>
    <cellStyle name="Total 3 3 2 2 2 2" xfId="17514" xr:uid="{00000000-0005-0000-0000-000052760000}"/>
    <cellStyle name="Total 3 3 2 2 2 2 2" xfId="32346" xr:uid="{00000000-0005-0000-0000-000053760000}"/>
    <cellStyle name="Total 3 3 2 2 2 3" xfId="19264" xr:uid="{00000000-0005-0000-0000-000054760000}"/>
    <cellStyle name="Total 3 3 2 2 3" xfId="14426" xr:uid="{00000000-0005-0000-0000-000055760000}"/>
    <cellStyle name="Total 3 3 2 2 3 2" xfId="29258" xr:uid="{00000000-0005-0000-0000-000056760000}"/>
    <cellStyle name="Total 3 3 2 2 4" xfId="11131" xr:uid="{00000000-0005-0000-0000-000057760000}"/>
    <cellStyle name="Total 3 3 2 2 4 2" xfId="25963" xr:uid="{00000000-0005-0000-0000-000058760000}"/>
    <cellStyle name="Total 3 3 2 3" xfId="5011" xr:uid="{00000000-0005-0000-0000-000059760000}"/>
    <cellStyle name="Total 3 3 2 3 2" xfId="9050" xr:uid="{00000000-0005-0000-0000-00005A760000}"/>
    <cellStyle name="Total 3 3 2 3 2 2" xfId="17988" xr:uid="{00000000-0005-0000-0000-00005B760000}"/>
    <cellStyle name="Total 3 3 2 3 2 2 2" xfId="32820" xr:uid="{00000000-0005-0000-0000-00005C760000}"/>
    <cellStyle name="Total 3 3 2 3 2 3" xfId="19570" xr:uid="{00000000-0005-0000-0000-00005D760000}"/>
    <cellStyle name="Total 3 3 2 3 3" xfId="15333" xr:uid="{00000000-0005-0000-0000-00005E760000}"/>
    <cellStyle name="Total 3 3 2 3 3 2" xfId="30165" xr:uid="{00000000-0005-0000-0000-00005F760000}"/>
    <cellStyle name="Total 3 3 2 3 4" xfId="11589" xr:uid="{00000000-0005-0000-0000-000060760000}"/>
    <cellStyle name="Total 3 3 2 3 4 2" xfId="26421" xr:uid="{00000000-0005-0000-0000-000061760000}"/>
    <cellStyle name="Total 3 3 2 4" xfId="3001" xr:uid="{00000000-0005-0000-0000-000062760000}"/>
    <cellStyle name="Total 3 3 2 4 2" xfId="7081" xr:uid="{00000000-0005-0000-0000-000063760000}"/>
    <cellStyle name="Total 3 3 2 4 2 2" xfId="16880" xr:uid="{00000000-0005-0000-0000-000064760000}"/>
    <cellStyle name="Total 3 3 2 4 2 2 2" xfId="31712" xr:uid="{00000000-0005-0000-0000-000065760000}"/>
    <cellStyle name="Total 3 3 2 4 2 3" xfId="18862" xr:uid="{00000000-0005-0000-0000-000066760000}"/>
    <cellStyle name="Total 3 3 2 4 3" xfId="13339" xr:uid="{00000000-0005-0000-0000-000067760000}"/>
    <cellStyle name="Total 3 3 2 4 3 2" xfId="28171" xr:uid="{00000000-0005-0000-0000-000068760000}"/>
    <cellStyle name="Total 3 3 2 4 4" xfId="10535" xr:uid="{00000000-0005-0000-0000-000069760000}"/>
    <cellStyle name="Total 3 3 2 4 4 2" xfId="25367" xr:uid="{00000000-0005-0000-0000-00006A760000}"/>
    <cellStyle name="Total 3 3 2 5" xfId="6173" xr:uid="{00000000-0005-0000-0000-00006B760000}"/>
    <cellStyle name="Total 3 3 2 5 2" xfId="16360" xr:uid="{00000000-0005-0000-0000-00006C760000}"/>
    <cellStyle name="Total 3 3 2 5 2 2" xfId="31192" xr:uid="{00000000-0005-0000-0000-00006D760000}"/>
    <cellStyle name="Total 3 3 2 5 3" xfId="18503" xr:uid="{00000000-0005-0000-0000-00006E760000}"/>
    <cellStyle name="Total 3 3 2 6" xfId="12430" xr:uid="{00000000-0005-0000-0000-00006F760000}"/>
    <cellStyle name="Total 3 3 2 6 2" xfId="27262" xr:uid="{00000000-0005-0000-0000-000070760000}"/>
    <cellStyle name="Total 3 3 2 7" xfId="10012" xr:uid="{00000000-0005-0000-0000-000071760000}"/>
    <cellStyle name="Total 3 3 2 7 2" xfId="24844" xr:uid="{00000000-0005-0000-0000-000072760000}"/>
    <cellStyle name="Total 3 3 3" xfId="3291" xr:uid="{00000000-0005-0000-0000-000073760000}"/>
    <cellStyle name="Total 3 3 3 2" xfId="7355" xr:uid="{00000000-0005-0000-0000-000074760000}"/>
    <cellStyle name="Total 3 3 3 2 2" xfId="17097" xr:uid="{00000000-0005-0000-0000-000075760000}"/>
    <cellStyle name="Total 3 3 3 2 2 2" xfId="31929" xr:uid="{00000000-0005-0000-0000-000076760000}"/>
    <cellStyle name="Total 3 3 3 2 3" xfId="18985" xr:uid="{00000000-0005-0000-0000-000077760000}"/>
    <cellStyle name="Total 3 3 3 3" xfId="13628" xr:uid="{00000000-0005-0000-0000-000078760000}"/>
    <cellStyle name="Total 3 3 3 3 2" xfId="28460" xr:uid="{00000000-0005-0000-0000-000079760000}"/>
    <cellStyle name="Total 3 3 3 4" xfId="10723" xr:uid="{00000000-0005-0000-0000-00007A760000}"/>
    <cellStyle name="Total 3 3 3 4 2" xfId="25555" xr:uid="{00000000-0005-0000-0000-00007B760000}"/>
    <cellStyle name="Total 3 3 4" xfId="4591" xr:uid="{00000000-0005-0000-0000-00007C760000}"/>
    <cellStyle name="Total 3 3 4 2" xfId="8630" xr:uid="{00000000-0005-0000-0000-00007D760000}"/>
    <cellStyle name="Total 3 3 4 2 2" xfId="17748" xr:uid="{00000000-0005-0000-0000-00007E760000}"/>
    <cellStyle name="Total 3 3 4 2 2 2" xfId="32580" xr:uid="{00000000-0005-0000-0000-00007F760000}"/>
    <cellStyle name="Total 3 3 4 2 3" xfId="19410" xr:uid="{00000000-0005-0000-0000-000080760000}"/>
    <cellStyle name="Total 3 3 4 3" xfId="14918" xr:uid="{00000000-0005-0000-0000-000081760000}"/>
    <cellStyle name="Total 3 3 4 3 2" xfId="29750" xr:uid="{00000000-0005-0000-0000-000082760000}"/>
    <cellStyle name="Total 3 3 4 4" xfId="11354" xr:uid="{00000000-0005-0000-0000-000083760000}"/>
    <cellStyle name="Total 3 3 4 4 2" xfId="26186" xr:uid="{00000000-0005-0000-0000-000084760000}"/>
    <cellStyle name="Total 3 3 5" xfId="2581" xr:uid="{00000000-0005-0000-0000-000085760000}"/>
    <cellStyle name="Total 3 3 5 2" xfId="6687" xr:uid="{00000000-0005-0000-0000-000086760000}"/>
    <cellStyle name="Total 3 3 5 2 2" xfId="16645" xr:uid="{00000000-0005-0000-0000-000087760000}"/>
    <cellStyle name="Total 3 3 5 2 2 2" xfId="31477" xr:uid="{00000000-0005-0000-0000-000088760000}"/>
    <cellStyle name="Total 3 3 5 2 3" xfId="18698" xr:uid="{00000000-0005-0000-0000-000089760000}"/>
    <cellStyle name="Total 3 3 5 3" xfId="12919" xr:uid="{00000000-0005-0000-0000-00008A760000}"/>
    <cellStyle name="Total 3 3 5 3 2" xfId="27751" xr:uid="{00000000-0005-0000-0000-00008B760000}"/>
    <cellStyle name="Total 3 3 5 4" xfId="10295" xr:uid="{00000000-0005-0000-0000-00008C760000}"/>
    <cellStyle name="Total 3 3 5 4 2" xfId="25127" xr:uid="{00000000-0005-0000-0000-00008D760000}"/>
    <cellStyle name="Total 3 3 6" xfId="5704" xr:uid="{00000000-0005-0000-0000-00008E760000}"/>
    <cellStyle name="Total 3 3 6 2" xfId="15939" xr:uid="{00000000-0005-0000-0000-00008F760000}"/>
    <cellStyle name="Total 3 3 6 2 2" xfId="30771" xr:uid="{00000000-0005-0000-0000-000090760000}"/>
    <cellStyle name="Total 3 3 6 3" xfId="18340" xr:uid="{00000000-0005-0000-0000-000091760000}"/>
    <cellStyle name="Total 3 3 7" xfId="11959" xr:uid="{00000000-0005-0000-0000-000092760000}"/>
    <cellStyle name="Total 3 3 7 2" xfId="26791" xr:uid="{00000000-0005-0000-0000-000093760000}"/>
    <cellStyle name="Total 3 3 8" xfId="9617" xr:uid="{00000000-0005-0000-0000-000094760000}"/>
    <cellStyle name="Total 3 3 8 2" xfId="19919" xr:uid="{00000000-0005-0000-0000-000095760000}"/>
    <cellStyle name="Total 3 4" xfId="1599" xr:uid="{00000000-0005-0000-0000-000096760000}"/>
    <cellStyle name="Total 3 4 2" xfId="2096" xr:uid="{00000000-0005-0000-0000-000097760000}"/>
    <cellStyle name="Total 3 4 2 2" xfId="4101" xr:uid="{00000000-0005-0000-0000-000098760000}"/>
    <cellStyle name="Total 3 4 2 2 2" xfId="8147" xr:uid="{00000000-0005-0000-0000-000099760000}"/>
    <cellStyle name="Total 3 4 2 2 2 2" xfId="17518" xr:uid="{00000000-0005-0000-0000-00009A760000}"/>
    <cellStyle name="Total 3 4 2 2 2 2 2" xfId="32350" xr:uid="{00000000-0005-0000-0000-00009B760000}"/>
    <cellStyle name="Total 3 4 2 2 2 3" xfId="19266" xr:uid="{00000000-0005-0000-0000-00009C760000}"/>
    <cellStyle name="Total 3 4 2 2 3" xfId="14433" xr:uid="{00000000-0005-0000-0000-00009D760000}"/>
    <cellStyle name="Total 3 4 2 2 3 2" xfId="29265" xr:uid="{00000000-0005-0000-0000-00009E760000}"/>
    <cellStyle name="Total 3 4 2 2 4" xfId="11135" xr:uid="{00000000-0005-0000-0000-00009F760000}"/>
    <cellStyle name="Total 3 4 2 2 4 2" xfId="25967" xr:uid="{00000000-0005-0000-0000-0000A0760000}"/>
    <cellStyle name="Total 3 4 2 3" xfId="5064" xr:uid="{00000000-0005-0000-0000-0000A1760000}"/>
    <cellStyle name="Total 3 4 2 3 2" xfId="9103" xr:uid="{00000000-0005-0000-0000-0000A2760000}"/>
    <cellStyle name="Total 3 4 2 3 2 2" xfId="18036" xr:uid="{00000000-0005-0000-0000-0000A3760000}"/>
    <cellStyle name="Total 3 4 2 3 2 2 2" xfId="32868" xr:uid="{00000000-0005-0000-0000-0000A4760000}"/>
    <cellStyle name="Total 3 4 2 3 2 3" xfId="19602" xr:uid="{00000000-0005-0000-0000-0000A5760000}"/>
    <cellStyle name="Total 3 4 2 3 3" xfId="15385" xr:uid="{00000000-0005-0000-0000-0000A6760000}"/>
    <cellStyle name="Total 3 4 2 3 3 2" xfId="30217" xr:uid="{00000000-0005-0000-0000-0000A7760000}"/>
    <cellStyle name="Total 3 4 2 3 4" xfId="11636" xr:uid="{00000000-0005-0000-0000-0000A8760000}"/>
    <cellStyle name="Total 3 4 2 3 4 2" xfId="26468" xr:uid="{00000000-0005-0000-0000-0000A9760000}"/>
    <cellStyle name="Total 3 4 2 4" xfId="3054" xr:uid="{00000000-0005-0000-0000-0000AA760000}"/>
    <cellStyle name="Total 3 4 2 4 2" xfId="7129" xr:uid="{00000000-0005-0000-0000-0000AB760000}"/>
    <cellStyle name="Total 3 4 2 4 2 2" xfId="16927" xr:uid="{00000000-0005-0000-0000-0000AC760000}"/>
    <cellStyle name="Total 3 4 2 4 2 2 2" xfId="31759" xr:uid="{00000000-0005-0000-0000-0000AD760000}"/>
    <cellStyle name="Total 3 4 2 4 2 3" xfId="18895" xr:uid="{00000000-0005-0000-0000-0000AE760000}"/>
    <cellStyle name="Total 3 4 2 4 3" xfId="13392" xr:uid="{00000000-0005-0000-0000-0000AF760000}"/>
    <cellStyle name="Total 3 4 2 4 3 2" xfId="28224" xr:uid="{00000000-0005-0000-0000-0000B0760000}"/>
    <cellStyle name="Total 3 4 2 4 4" xfId="10583" xr:uid="{00000000-0005-0000-0000-0000B1760000}"/>
    <cellStyle name="Total 3 4 2 4 4 2" xfId="25415" xr:uid="{00000000-0005-0000-0000-0000B2760000}"/>
    <cellStyle name="Total 3 4 2 5" xfId="6221" xr:uid="{00000000-0005-0000-0000-0000B3760000}"/>
    <cellStyle name="Total 3 4 2 5 2" xfId="16407" xr:uid="{00000000-0005-0000-0000-0000B4760000}"/>
    <cellStyle name="Total 3 4 2 5 2 2" xfId="31239" xr:uid="{00000000-0005-0000-0000-0000B5760000}"/>
    <cellStyle name="Total 3 4 2 5 3" xfId="18536" xr:uid="{00000000-0005-0000-0000-0000B6760000}"/>
    <cellStyle name="Total 3 4 2 6" xfId="12477" xr:uid="{00000000-0005-0000-0000-0000B7760000}"/>
    <cellStyle name="Total 3 4 2 6 2" xfId="27309" xr:uid="{00000000-0005-0000-0000-0000B8760000}"/>
    <cellStyle name="Total 3 4 2 7" xfId="10059" xr:uid="{00000000-0005-0000-0000-0000B9760000}"/>
    <cellStyle name="Total 3 4 2 7 2" xfId="24891" xr:uid="{00000000-0005-0000-0000-0000BA760000}"/>
    <cellStyle name="Total 3 4 3" xfId="3672" xr:uid="{00000000-0005-0000-0000-0000BB760000}"/>
    <cellStyle name="Total 3 4 3 2" xfId="7730" xr:uid="{00000000-0005-0000-0000-0000BC760000}"/>
    <cellStyle name="Total 3 4 3 2 2" xfId="17308" xr:uid="{00000000-0005-0000-0000-0000BD760000}"/>
    <cellStyle name="Total 3 4 3 2 2 2" xfId="32140" xr:uid="{00000000-0005-0000-0000-0000BE760000}"/>
    <cellStyle name="Total 3 4 3 2 3" xfId="19116" xr:uid="{00000000-0005-0000-0000-0000BF760000}"/>
    <cellStyle name="Total 3 4 3 3" xfId="14007" xr:uid="{00000000-0005-0000-0000-0000C0760000}"/>
    <cellStyle name="Total 3 4 3 3 2" xfId="28839" xr:uid="{00000000-0005-0000-0000-0000C1760000}"/>
    <cellStyle name="Total 3 4 3 4" xfId="10925" xr:uid="{00000000-0005-0000-0000-0000C2760000}"/>
    <cellStyle name="Total 3 4 3 4 2" xfId="25757" xr:uid="{00000000-0005-0000-0000-0000C3760000}"/>
    <cellStyle name="Total 3 4 4" xfId="4644" xr:uid="{00000000-0005-0000-0000-0000C4760000}"/>
    <cellStyle name="Total 3 4 4 2" xfId="8683" xr:uid="{00000000-0005-0000-0000-0000C5760000}"/>
    <cellStyle name="Total 3 4 4 2 2" xfId="17796" xr:uid="{00000000-0005-0000-0000-0000C6760000}"/>
    <cellStyle name="Total 3 4 4 2 2 2" xfId="32628" xr:uid="{00000000-0005-0000-0000-0000C7760000}"/>
    <cellStyle name="Total 3 4 4 2 3" xfId="19442" xr:uid="{00000000-0005-0000-0000-0000C8760000}"/>
    <cellStyle name="Total 3 4 4 3" xfId="14970" xr:uid="{00000000-0005-0000-0000-0000C9760000}"/>
    <cellStyle name="Total 3 4 4 3 2" xfId="29802" xr:uid="{00000000-0005-0000-0000-0000CA760000}"/>
    <cellStyle name="Total 3 4 4 4" xfId="11401" xr:uid="{00000000-0005-0000-0000-0000CB760000}"/>
    <cellStyle name="Total 3 4 4 4 2" xfId="26233" xr:uid="{00000000-0005-0000-0000-0000CC760000}"/>
    <cellStyle name="Total 3 4 5" xfId="2634" xr:uid="{00000000-0005-0000-0000-0000CD760000}"/>
    <cellStyle name="Total 3 4 5 2" xfId="6735" xr:uid="{00000000-0005-0000-0000-0000CE760000}"/>
    <cellStyle name="Total 3 4 5 2 2" xfId="16692" xr:uid="{00000000-0005-0000-0000-0000CF760000}"/>
    <cellStyle name="Total 3 4 5 2 2 2" xfId="31524" xr:uid="{00000000-0005-0000-0000-0000D0760000}"/>
    <cellStyle name="Total 3 4 5 2 3" xfId="18731" xr:uid="{00000000-0005-0000-0000-0000D1760000}"/>
    <cellStyle name="Total 3 4 5 3" xfId="12972" xr:uid="{00000000-0005-0000-0000-0000D2760000}"/>
    <cellStyle name="Total 3 4 5 3 2" xfId="27804" xr:uid="{00000000-0005-0000-0000-0000D3760000}"/>
    <cellStyle name="Total 3 4 5 4" xfId="10343" xr:uid="{00000000-0005-0000-0000-0000D4760000}"/>
    <cellStyle name="Total 3 4 5 4 2" xfId="25175" xr:uid="{00000000-0005-0000-0000-0000D5760000}"/>
    <cellStyle name="Total 3 4 6" xfId="5751" xr:uid="{00000000-0005-0000-0000-0000D6760000}"/>
    <cellStyle name="Total 3 4 6 2" xfId="15986" xr:uid="{00000000-0005-0000-0000-0000D7760000}"/>
    <cellStyle name="Total 3 4 6 2 2" xfId="30818" xr:uid="{00000000-0005-0000-0000-0000D8760000}"/>
    <cellStyle name="Total 3 4 6 3" xfId="18372" xr:uid="{00000000-0005-0000-0000-0000D9760000}"/>
    <cellStyle name="Total 3 4 7" xfId="12006" xr:uid="{00000000-0005-0000-0000-0000DA760000}"/>
    <cellStyle name="Total 3 4 7 2" xfId="26838" xr:uid="{00000000-0005-0000-0000-0000DB760000}"/>
    <cellStyle name="Total 3 4 8" xfId="9665" xr:uid="{00000000-0005-0000-0000-0000DC760000}"/>
    <cellStyle name="Total 3 4 8 2" xfId="19966" xr:uid="{00000000-0005-0000-0000-0000DD760000}"/>
    <cellStyle name="Total 3 5" xfId="1649" xr:uid="{00000000-0005-0000-0000-0000DE760000}"/>
    <cellStyle name="Total 3 5 2" xfId="2146" xr:uid="{00000000-0005-0000-0000-0000DF760000}"/>
    <cellStyle name="Total 3 5 2 2" xfId="3429" xr:uid="{00000000-0005-0000-0000-0000E0760000}"/>
    <cellStyle name="Total 3 5 2 2 2" xfId="7492" xr:uid="{00000000-0005-0000-0000-0000E1760000}"/>
    <cellStyle name="Total 3 5 2 2 2 2" xfId="17186" xr:uid="{00000000-0005-0000-0000-0000E2760000}"/>
    <cellStyle name="Total 3 5 2 2 2 2 2" xfId="32018" xr:uid="{00000000-0005-0000-0000-0000E3760000}"/>
    <cellStyle name="Total 3 5 2 2 2 3" xfId="19033" xr:uid="{00000000-0005-0000-0000-0000E4760000}"/>
    <cellStyle name="Total 3 5 2 2 3" xfId="13766" xr:uid="{00000000-0005-0000-0000-0000E5760000}"/>
    <cellStyle name="Total 3 5 2 2 3 2" xfId="28598" xr:uid="{00000000-0005-0000-0000-0000E6760000}"/>
    <cellStyle name="Total 3 5 2 2 4" xfId="10805" xr:uid="{00000000-0005-0000-0000-0000E7760000}"/>
    <cellStyle name="Total 3 5 2 2 4 2" xfId="25637" xr:uid="{00000000-0005-0000-0000-0000E8760000}"/>
    <cellStyle name="Total 3 5 2 3" xfId="5114" xr:uid="{00000000-0005-0000-0000-0000E9760000}"/>
    <cellStyle name="Total 3 5 2 3 2" xfId="9153" xr:uid="{00000000-0005-0000-0000-0000EA760000}"/>
    <cellStyle name="Total 3 5 2 3 2 2" xfId="18081" xr:uid="{00000000-0005-0000-0000-0000EB760000}"/>
    <cellStyle name="Total 3 5 2 3 2 2 2" xfId="32913" xr:uid="{00000000-0005-0000-0000-0000EC760000}"/>
    <cellStyle name="Total 3 5 2 3 2 3" xfId="19634" xr:uid="{00000000-0005-0000-0000-0000ED760000}"/>
    <cellStyle name="Total 3 5 2 3 3" xfId="15434" xr:uid="{00000000-0005-0000-0000-0000EE760000}"/>
    <cellStyle name="Total 3 5 2 3 3 2" xfId="30266" xr:uid="{00000000-0005-0000-0000-0000EF760000}"/>
    <cellStyle name="Total 3 5 2 3 4" xfId="11680" xr:uid="{00000000-0005-0000-0000-0000F0760000}"/>
    <cellStyle name="Total 3 5 2 3 4 2" xfId="26512" xr:uid="{00000000-0005-0000-0000-0000F1760000}"/>
    <cellStyle name="Total 3 5 2 4" xfId="3104" xr:uid="{00000000-0005-0000-0000-0000F2760000}"/>
    <cellStyle name="Total 3 5 2 4 2" xfId="7174" xr:uid="{00000000-0005-0000-0000-0000F3760000}"/>
    <cellStyle name="Total 3 5 2 4 2 2" xfId="16971" xr:uid="{00000000-0005-0000-0000-0000F4760000}"/>
    <cellStyle name="Total 3 5 2 4 2 2 2" xfId="31803" xr:uid="{00000000-0005-0000-0000-0000F5760000}"/>
    <cellStyle name="Total 3 5 2 4 2 3" xfId="18928" xr:uid="{00000000-0005-0000-0000-0000F6760000}"/>
    <cellStyle name="Total 3 5 2 4 3" xfId="13442" xr:uid="{00000000-0005-0000-0000-0000F7760000}"/>
    <cellStyle name="Total 3 5 2 4 3 2" xfId="28274" xr:uid="{00000000-0005-0000-0000-0000F8760000}"/>
    <cellStyle name="Total 3 5 2 4 4" xfId="10628" xr:uid="{00000000-0005-0000-0000-0000F9760000}"/>
    <cellStyle name="Total 3 5 2 4 4 2" xfId="25460" xr:uid="{00000000-0005-0000-0000-0000FA760000}"/>
    <cellStyle name="Total 3 5 2 5" xfId="6266" xr:uid="{00000000-0005-0000-0000-0000FB760000}"/>
    <cellStyle name="Total 3 5 2 5 2" xfId="16451" xr:uid="{00000000-0005-0000-0000-0000FC760000}"/>
    <cellStyle name="Total 3 5 2 5 2 2" xfId="31283" xr:uid="{00000000-0005-0000-0000-0000FD760000}"/>
    <cellStyle name="Total 3 5 2 5 3" xfId="18569" xr:uid="{00000000-0005-0000-0000-0000FE760000}"/>
    <cellStyle name="Total 3 5 2 6" xfId="12521" xr:uid="{00000000-0005-0000-0000-0000FF760000}"/>
    <cellStyle name="Total 3 5 2 6 2" xfId="27353" xr:uid="{00000000-0005-0000-0000-000000770000}"/>
    <cellStyle name="Total 3 5 2 7" xfId="10103" xr:uid="{00000000-0005-0000-0000-000001770000}"/>
    <cellStyle name="Total 3 5 2 7 2" xfId="24935" xr:uid="{00000000-0005-0000-0000-000002770000}"/>
    <cellStyle name="Total 3 5 3" xfId="3562" xr:uid="{00000000-0005-0000-0000-000003770000}"/>
    <cellStyle name="Total 3 5 3 2" xfId="7624" xr:uid="{00000000-0005-0000-0000-000004770000}"/>
    <cellStyle name="Total 3 5 3 2 2" xfId="17258" xr:uid="{00000000-0005-0000-0000-000005770000}"/>
    <cellStyle name="Total 3 5 3 2 2 2" xfId="32090" xr:uid="{00000000-0005-0000-0000-000006770000}"/>
    <cellStyle name="Total 3 5 3 2 3" xfId="19081" xr:uid="{00000000-0005-0000-0000-000007770000}"/>
    <cellStyle name="Total 3 5 3 3" xfId="13898" xr:uid="{00000000-0005-0000-0000-000008770000}"/>
    <cellStyle name="Total 3 5 3 3 2" xfId="28730" xr:uid="{00000000-0005-0000-0000-000009770000}"/>
    <cellStyle name="Total 3 5 3 4" xfId="10875" xr:uid="{00000000-0005-0000-0000-00000A770000}"/>
    <cellStyle name="Total 3 5 3 4 2" xfId="25707" xr:uid="{00000000-0005-0000-0000-00000B770000}"/>
    <cellStyle name="Total 3 5 4" xfId="4694" xr:uid="{00000000-0005-0000-0000-00000C770000}"/>
    <cellStyle name="Total 3 5 4 2" xfId="8733" xr:uid="{00000000-0005-0000-0000-00000D770000}"/>
    <cellStyle name="Total 3 5 4 2 2" xfId="17841" xr:uid="{00000000-0005-0000-0000-00000E770000}"/>
    <cellStyle name="Total 3 5 4 2 2 2" xfId="32673" xr:uid="{00000000-0005-0000-0000-00000F770000}"/>
    <cellStyle name="Total 3 5 4 2 3" xfId="19474" xr:uid="{00000000-0005-0000-0000-000010770000}"/>
    <cellStyle name="Total 3 5 4 3" xfId="15019" xr:uid="{00000000-0005-0000-0000-000011770000}"/>
    <cellStyle name="Total 3 5 4 3 2" xfId="29851" xr:uid="{00000000-0005-0000-0000-000012770000}"/>
    <cellStyle name="Total 3 5 4 4" xfId="11445" xr:uid="{00000000-0005-0000-0000-000013770000}"/>
    <cellStyle name="Total 3 5 4 4 2" xfId="26277" xr:uid="{00000000-0005-0000-0000-000014770000}"/>
    <cellStyle name="Total 3 5 5" xfId="2684" xr:uid="{00000000-0005-0000-0000-000015770000}"/>
    <cellStyle name="Total 3 5 5 2" xfId="6780" xr:uid="{00000000-0005-0000-0000-000016770000}"/>
    <cellStyle name="Total 3 5 5 2 2" xfId="16736" xr:uid="{00000000-0005-0000-0000-000017770000}"/>
    <cellStyle name="Total 3 5 5 2 2 2" xfId="31568" xr:uid="{00000000-0005-0000-0000-000018770000}"/>
    <cellStyle name="Total 3 5 5 2 3" xfId="18764" xr:uid="{00000000-0005-0000-0000-000019770000}"/>
    <cellStyle name="Total 3 5 5 3" xfId="13022" xr:uid="{00000000-0005-0000-0000-00001A770000}"/>
    <cellStyle name="Total 3 5 5 3 2" xfId="27854" xr:uid="{00000000-0005-0000-0000-00001B770000}"/>
    <cellStyle name="Total 3 5 5 4" xfId="10388" xr:uid="{00000000-0005-0000-0000-00001C770000}"/>
    <cellStyle name="Total 3 5 5 4 2" xfId="25220" xr:uid="{00000000-0005-0000-0000-00001D770000}"/>
    <cellStyle name="Total 3 5 6" xfId="5796" xr:uid="{00000000-0005-0000-0000-00001E770000}"/>
    <cellStyle name="Total 3 5 6 2" xfId="16030" xr:uid="{00000000-0005-0000-0000-00001F770000}"/>
    <cellStyle name="Total 3 5 6 2 2" xfId="30862" xr:uid="{00000000-0005-0000-0000-000020770000}"/>
    <cellStyle name="Total 3 5 6 3" xfId="18405" xr:uid="{00000000-0005-0000-0000-000021770000}"/>
    <cellStyle name="Total 3 5 7" xfId="12050" xr:uid="{00000000-0005-0000-0000-000022770000}"/>
    <cellStyle name="Total 3 5 7 2" xfId="26882" xr:uid="{00000000-0005-0000-0000-000023770000}"/>
    <cellStyle name="Total 3 5 8" xfId="9710" xr:uid="{00000000-0005-0000-0000-000024770000}"/>
    <cellStyle name="Total 3 5 8 2" xfId="20010" xr:uid="{00000000-0005-0000-0000-000025770000}"/>
    <cellStyle name="Total 3 6" xfId="1800" xr:uid="{00000000-0005-0000-0000-000026770000}"/>
    <cellStyle name="Total 3 6 2" xfId="3376" xr:uid="{00000000-0005-0000-0000-000027770000}"/>
    <cellStyle name="Total 3 6 2 2" xfId="7439" xr:uid="{00000000-0005-0000-0000-000028770000}"/>
    <cellStyle name="Total 3 6 2 2 2" xfId="17148" xr:uid="{00000000-0005-0000-0000-000029770000}"/>
    <cellStyle name="Total 3 6 2 2 2 2" xfId="31980" xr:uid="{00000000-0005-0000-0000-00002A770000}"/>
    <cellStyle name="Total 3 6 2 2 3" xfId="19015" xr:uid="{00000000-0005-0000-0000-00002B770000}"/>
    <cellStyle name="Total 3 6 2 3" xfId="13713" xr:uid="{00000000-0005-0000-0000-00002C770000}"/>
    <cellStyle name="Total 3 6 2 3 2" xfId="28545" xr:uid="{00000000-0005-0000-0000-00002D770000}"/>
    <cellStyle name="Total 3 6 2 4" xfId="10767" xr:uid="{00000000-0005-0000-0000-00002E770000}"/>
    <cellStyle name="Total 3 6 2 4 2" xfId="25599" xr:uid="{00000000-0005-0000-0000-00002F770000}"/>
    <cellStyle name="Total 3 6 3" xfId="4778" xr:uid="{00000000-0005-0000-0000-000030770000}"/>
    <cellStyle name="Total 3 6 3 2" xfId="8817" xr:uid="{00000000-0005-0000-0000-000031770000}"/>
    <cellStyle name="Total 3 6 3 2 2" xfId="17889" xr:uid="{00000000-0005-0000-0000-000032770000}"/>
    <cellStyle name="Total 3 6 3 2 2 2" xfId="32721" xr:uid="{00000000-0005-0000-0000-000033770000}"/>
    <cellStyle name="Total 3 6 3 2 3" xfId="19506" xr:uid="{00000000-0005-0000-0000-000034770000}"/>
    <cellStyle name="Total 3 6 3 3" xfId="15102" xr:uid="{00000000-0005-0000-0000-000035770000}"/>
    <cellStyle name="Total 3 6 3 3 2" xfId="29934" xr:uid="{00000000-0005-0000-0000-000036770000}"/>
    <cellStyle name="Total 3 6 3 4" xfId="11492" xr:uid="{00000000-0005-0000-0000-000037770000}"/>
    <cellStyle name="Total 3 6 3 4 2" xfId="26324" xr:uid="{00000000-0005-0000-0000-000038770000}"/>
    <cellStyle name="Total 3 6 4" xfId="2768" xr:uid="{00000000-0005-0000-0000-000039770000}"/>
    <cellStyle name="Total 3 6 4 2" xfId="6859" xr:uid="{00000000-0005-0000-0000-00003A770000}"/>
    <cellStyle name="Total 3 6 4 2 2" xfId="16783" xr:uid="{00000000-0005-0000-0000-00003B770000}"/>
    <cellStyle name="Total 3 6 4 2 2 2" xfId="31615" xr:uid="{00000000-0005-0000-0000-00003C770000}"/>
    <cellStyle name="Total 3 6 4 2 3" xfId="18797" xr:uid="{00000000-0005-0000-0000-00003D770000}"/>
    <cellStyle name="Total 3 6 4 3" xfId="13106" xr:uid="{00000000-0005-0000-0000-00003E770000}"/>
    <cellStyle name="Total 3 6 4 3 2" xfId="27938" xr:uid="{00000000-0005-0000-0000-00003F770000}"/>
    <cellStyle name="Total 3 6 4 4" xfId="10436" xr:uid="{00000000-0005-0000-0000-000040770000}"/>
    <cellStyle name="Total 3 6 4 4 2" xfId="25268" xr:uid="{00000000-0005-0000-0000-000041770000}"/>
    <cellStyle name="Total 3 6 5" xfId="5932" xr:uid="{00000000-0005-0000-0000-000042770000}"/>
    <cellStyle name="Total 3 6 5 2" xfId="16124" xr:uid="{00000000-0005-0000-0000-000043770000}"/>
    <cellStyle name="Total 3 6 5 2 2" xfId="30956" xr:uid="{00000000-0005-0000-0000-000044770000}"/>
    <cellStyle name="Total 3 6 5 3" xfId="18439" xr:uid="{00000000-0005-0000-0000-000045770000}"/>
    <cellStyle name="Total 3 6 6" xfId="12194" xr:uid="{00000000-0005-0000-0000-000046770000}"/>
    <cellStyle name="Total 3 6 6 2" xfId="27026" xr:uid="{00000000-0005-0000-0000-000047770000}"/>
    <cellStyle name="Total 3 6 7" xfId="9790" xr:uid="{00000000-0005-0000-0000-000048770000}"/>
    <cellStyle name="Total 3 6 7 2" xfId="24747" xr:uid="{00000000-0005-0000-0000-000049770000}"/>
    <cellStyle name="Total 3 7" xfId="2166" xr:uid="{00000000-0005-0000-0000-00004A770000}"/>
    <cellStyle name="Total 3 7 2" xfId="4001" xr:uid="{00000000-0005-0000-0000-00004B770000}"/>
    <cellStyle name="Total 3 7 2 2" xfId="8048" xr:uid="{00000000-0005-0000-0000-00004C770000}"/>
    <cellStyle name="Total 3 7 2 2 2" xfId="17468" xr:uid="{00000000-0005-0000-0000-00004D770000}"/>
    <cellStyle name="Total 3 7 2 2 2 2" xfId="32300" xr:uid="{00000000-0005-0000-0000-00004E770000}"/>
    <cellStyle name="Total 3 7 2 2 3" xfId="19229" xr:uid="{00000000-0005-0000-0000-00004F770000}"/>
    <cellStyle name="Total 3 7 2 3" xfId="14333" xr:uid="{00000000-0005-0000-0000-000050770000}"/>
    <cellStyle name="Total 3 7 2 3 2" xfId="29165" xr:uid="{00000000-0005-0000-0000-000051770000}"/>
    <cellStyle name="Total 3 7 2 4" xfId="11085" xr:uid="{00000000-0005-0000-0000-000052770000}"/>
    <cellStyle name="Total 3 7 2 4 2" xfId="25917" xr:uid="{00000000-0005-0000-0000-000053770000}"/>
    <cellStyle name="Total 3 7 3" xfId="5134" xr:uid="{00000000-0005-0000-0000-000054770000}"/>
    <cellStyle name="Total 3 7 3 2" xfId="9173" xr:uid="{00000000-0005-0000-0000-000055770000}"/>
    <cellStyle name="Total 3 7 3 2 2" xfId="18096" xr:uid="{00000000-0005-0000-0000-000056770000}"/>
    <cellStyle name="Total 3 7 3 2 2 2" xfId="32928" xr:uid="{00000000-0005-0000-0000-000057770000}"/>
    <cellStyle name="Total 3 7 3 2 3" xfId="19647" xr:uid="{00000000-0005-0000-0000-000058770000}"/>
    <cellStyle name="Total 3 7 3 3" xfId="15452" xr:uid="{00000000-0005-0000-0000-000059770000}"/>
    <cellStyle name="Total 3 7 3 3 2" xfId="30284" xr:uid="{00000000-0005-0000-0000-00005A770000}"/>
    <cellStyle name="Total 3 7 3 4" xfId="11693" xr:uid="{00000000-0005-0000-0000-00005B770000}"/>
    <cellStyle name="Total 3 7 3 4 2" xfId="26525" xr:uid="{00000000-0005-0000-0000-00005C770000}"/>
    <cellStyle name="Total 3 7 4" xfId="4164" xr:uid="{00000000-0005-0000-0000-00005D770000}"/>
    <cellStyle name="Total 3 7 4 2" xfId="8205" xr:uid="{00000000-0005-0000-0000-00005E770000}"/>
    <cellStyle name="Total 3 7 4 2 2" xfId="17552" xr:uid="{00000000-0005-0000-0000-00005F770000}"/>
    <cellStyle name="Total 3 7 4 2 2 2" xfId="32384" xr:uid="{00000000-0005-0000-0000-000060770000}"/>
    <cellStyle name="Total 3 7 4 2 3" xfId="19290" xr:uid="{00000000-0005-0000-0000-000061770000}"/>
    <cellStyle name="Total 3 7 4 3" xfId="14496" xr:uid="{00000000-0005-0000-0000-000062770000}"/>
    <cellStyle name="Total 3 7 4 3 2" xfId="29328" xr:uid="{00000000-0005-0000-0000-000063770000}"/>
    <cellStyle name="Total 3 7 4 4" xfId="11172" xr:uid="{00000000-0005-0000-0000-000064770000}"/>
    <cellStyle name="Total 3 7 4 4 2" xfId="26004" xr:uid="{00000000-0005-0000-0000-000065770000}"/>
    <cellStyle name="Total 3 7 5" xfId="6280" xr:uid="{00000000-0005-0000-0000-000066770000}"/>
    <cellStyle name="Total 3 7 5 2" xfId="16464" xr:uid="{00000000-0005-0000-0000-000067770000}"/>
    <cellStyle name="Total 3 7 5 2 2" xfId="31296" xr:uid="{00000000-0005-0000-0000-000068770000}"/>
    <cellStyle name="Total 3 7 5 3" xfId="18583" xr:uid="{00000000-0005-0000-0000-000069770000}"/>
    <cellStyle name="Total 3 7 6" xfId="12534" xr:uid="{00000000-0005-0000-0000-00006A770000}"/>
    <cellStyle name="Total 3 7 6 2" xfId="27366" xr:uid="{00000000-0005-0000-0000-00006B770000}"/>
    <cellStyle name="Total 3 7 7" xfId="10116" xr:uid="{00000000-0005-0000-0000-00006C770000}"/>
    <cellStyle name="Total 3 7 7 2" xfId="24948" xr:uid="{00000000-0005-0000-0000-00006D770000}"/>
    <cellStyle name="Total 3 8" xfId="3139" xr:uid="{00000000-0005-0000-0000-00006E770000}"/>
    <cellStyle name="Total 3 8 2" xfId="7203" xr:uid="{00000000-0005-0000-0000-00006F770000}"/>
    <cellStyle name="Total 3 8 2 2" xfId="16988" xr:uid="{00000000-0005-0000-0000-000070770000}"/>
    <cellStyle name="Total 3 8 2 2 2" xfId="31820" xr:uid="{00000000-0005-0000-0000-000071770000}"/>
    <cellStyle name="Total 3 8 2 3" xfId="18939" xr:uid="{00000000-0005-0000-0000-000072770000}"/>
    <cellStyle name="Total 3 8 3" xfId="13477" xr:uid="{00000000-0005-0000-0000-000073770000}"/>
    <cellStyle name="Total 3 8 3 2" xfId="28309" xr:uid="{00000000-0005-0000-0000-000074770000}"/>
    <cellStyle name="Total 3 8 4" xfId="10642" xr:uid="{00000000-0005-0000-0000-000075770000}"/>
    <cellStyle name="Total 3 8 4 2" xfId="25474" xr:uid="{00000000-0005-0000-0000-000076770000}"/>
    <cellStyle name="Total 3 9" xfId="4278" xr:uid="{00000000-0005-0000-0000-000077770000}"/>
    <cellStyle name="Total 3 9 2" xfId="8317" xr:uid="{00000000-0005-0000-0000-000078770000}"/>
    <cellStyle name="Total 3 9 2 2" xfId="17601" xr:uid="{00000000-0005-0000-0000-000079770000}"/>
    <cellStyle name="Total 3 9 2 2 2" xfId="32433" xr:uid="{00000000-0005-0000-0000-00007A770000}"/>
    <cellStyle name="Total 3 9 2 3" xfId="19318" xr:uid="{00000000-0005-0000-0000-00007B770000}"/>
    <cellStyle name="Total 3 9 3" xfId="14610" xr:uid="{00000000-0005-0000-0000-00007C770000}"/>
    <cellStyle name="Total 3 9 3 2" xfId="29442" xr:uid="{00000000-0005-0000-0000-00007D770000}"/>
    <cellStyle name="Total 3 9 4" xfId="11219" xr:uid="{00000000-0005-0000-0000-00007E770000}"/>
    <cellStyle name="Total 3 9 4 2" xfId="26051" xr:uid="{00000000-0005-0000-0000-00007F770000}"/>
    <cellStyle name="Total 4" xfId="1276" xr:uid="{00000000-0005-0000-0000-000080770000}"/>
    <cellStyle name="Total 4 10" xfId="2343" xr:uid="{00000000-0005-0000-0000-000081770000}"/>
    <cellStyle name="Total 4 10 2" xfId="6455" xr:uid="{00000000-0005-0000-0000-000082770000}"/>
    <cellStyle name="Total 4 10 2 2" xfId="16547" xr:uid="{00000000-0005-0000-0000-000083770000}"/>
    <cellStyle name="Total 4 10 2 2 2" xfId="31379" xr:uid="{00000000-0005-0000-0000-000084770000}"/>
    <cellStyle name="Total 4 10 2 3" xfId="18635" xr:uid="{00000000-0005-0000-0000-000085770000}"/>
    <cellStyle name="Total 4 10 3" xfId="12683" xr:uid="{00000000-0005-0000-0000-000086770000}"/>
    <cellStyle name="Total 4 10 3 2" xfId="27515" xr:uid="{00000000-0005-0000-0000-000087770000}"/>
    <cellStyle name="Total 4 10 4" xfId="10198" xr:uid="{00000000-0005-0000-0000-000088770000}"/>
    <cellStyle name="Total 4 10 4 2" xfId="25030" xr:uid="{00000000-0005-0000-0000-000089770000}"/>
    <cellStyle name="Total 4 11" xfId="5305" xr:uid="{00000000-0005-0000-0000-00008A770000}"/>
    <cellStyle name="Total 4 11 2" xfId="9313" xr:uid="{00000000-0005-0000-0000-00008B770000}"/>
    <cellStyle name="Total 4 11 2 2" xfId="18180" xr:uid="{00000000-0005-0000-0000-00008C770000}"/>
    <cellStyle name="Total 4 11 2 2 2" xfId="33012" xr:uid="{00000000-0005-0000-0000-00008D770000}"/>
    <cellStyle name="Total 4 11 2 3" xfId="19699" xr:uid="{00000000-0005-0000-0000-00008E770000}"/>
    <cellStyle name="Total 4 11 3" xfId="15621" xr:uid="{00000000-0005-0000-0000-00008F770000}"/>
    <cellStyle name="Total 4 11 3 2" xfId="30453" xr:uid="{00000000-0005-0000-0000-000090770000}"/>
    <cellStyle name="Total 4 12" xfId="5463" xr:uid="{00000000-0005-0000-0000-000091770000}"/>
    <cellStyle name="Total 4 12 2" xfId="15699" xr:uid="{00000000-0005-0000-0000-000092770000}"/>
    <cellStyle name="Total 4 12 2 2" xfId="30531" xr:uid="{00000000-0005-0000-0000-000093770000}"/>
    <cellStyle name="Total 4 12 3" xfId="18276" xr:uid="{00000000-0005-0000-0000-000094770000}"/>
    <cellStyle name="Total 4 13" xfId="9328" xr:uid="{00000000-0005-0000-0000-000095770000}"/>
    <cellStyle name="Total 4 13 2" xfId="24634" xr:uid="{00000000-0005-0000-0000-000096770000}"/>
    <cellStyle name="Total 4 14" xfId="5317" xr:uid="{00000000-0005-0000-0000-000097770000}"/>
    <cellStyle name="Total 4 14 2" xfId="18191" xr:uid="{00000000-0005-0000-0000-000098770000}"/>
    <cellStyle name="Total 4 2" xfId="1375" xr:uid="{00000000-0005-0000-0000-000099770000}"/>
    <cellStyle name="Total 4 2 2" xfId="1879" xr:uid="{00000000-0005-0000-0000-00009A770000}"/>
    <cellStyle name="Total 4 2 2 2" xfId="3836" xr:uid="{00000000-0005-0000-0000-00009B770000}"/>
    <cellStyle name="Total 4 2 2 2 2" xfId="7889" xr:uid="{00000000-0005-0000-0000-00009C770000}"/>
    <cellStyle name="Total 4 2 2 2 2 2" xfId="17387" xr:uid="{00000000-0005-0000-0000-00009D770000}"/>
    <cellStyle name="Total 4 2 2 2 2 2 2" xfId="32219" xr:uid="{00000000-0005-0000-0000-00009E770000}"/>
    <cellStyle name="Total 4 2 2 2 2 3" xfId="19171" xr:uid="{00000000-0005-0000-0000-00009F770000}"/>
    <cellStyle name="Total 4 2 2 2 3" xfId="14171" xr:uid="{00000000-0005-0000-0000-0000A0770000}"/>
    <cellStyle name="Total 4 2 2 2 3 2" xfId="29003" xr:uid="{00000000-0005-0000-0000-0000A1770000}"/>
    <cellStyle name="Total 4 2 2 2 4" xfId="11006" xr:uid="{00000000-0005-0000-0000-0000A2770000}"/>
    <cellStyle name="Total 4 2 2 2 4 2" xfId="25838" xr:uid="{00000000-0005-0000-0000-0000A3770000}"/>
    <cellStyle name="Total 4 2 2 3" xfId="4857" xr:uid="{00000000-0005-0000-0000-0000A4770000}"/>
    <cellStyle name="Total 4 2 2 3 2" xfId="8896" xr:uid="{00000000-0005-0000-0000-0000A5770000}"/>
    <cellStyle name="Total 4 2 2 3 2 2" xfId="17937" xr:uid="{00000000-0005-0000-0000-0000A6770000}"/>
    <cellStyle name="Total 4 2 2 3 2 2 2" xfId="32769" xr:uid="{00000000-0005-0000-0000-0000A7770000}"/>
    <cellStyle name="Total 4 2 2 3 2 3" xfId="19539" xr:uid="{00000000-0005-0000-0000-0000A8770000}"/>
    <cellStyle name="Total 4 2 2 3 3" xfId="15181" xr:uid="{00000000-0005-0000-0000-0000A9770000}"/>
    <cellStyle name="Total 4 2 2 3 3 2" xfId="30013" xr:uid="{00000000-0005-0000-0000-0000AA770000}"/>
    <cellStyle name="Total 4 2 2 3 4" xfId="11540" xr:uid="{00000000-0005-0000-0000-0000AB770000}"/>
    <cellStyle name="Total 4 2 2 3 4 2" xfId="26372" xr:uid="{00000000-0005-0000-0000-0000AC770000}"/>
    <cellStyle name="Total 4 2 2 4" xfId="2847" xr:uid="{00000000-0005-0000-0000-0000AD770000}"/>
    <cellStyle name="Total 4 2 2 4 2" xfId="6938" xr:uid="{00000000-0005-0000-0000-0000AE770000}"/>
    <cellStyle name="Total 4 2 2 4 2 2" xfId="16831" xr:uid="{00000000-0005-0000-0000-0000AF770000}"/>
    <cellStyle name="Total 4 2 2 4 2 2 2" xfId="31663" xr:uid="{00000000-0005-0000-0000-0000B0770000}"/>
    <cellStyle name="Total 4 2 2 4 2 3" xfId="18830" xr:uid="{00000000-0005-0000-0000-0000B1770000}"/>
    <cellStyle name="Total 4 2 2 4 3" xfId="13185" xr:uid="{00000000-0005-0000-0000-0000B2770000}"/>
    <cellStyle name="Total 4 2 2 4 3 2" xfId="28017" xr:uid="{00000000-0005-0000-0000-0000B3770000}"/>
    <cellStyle name="Total 4 2 2 4 4" xfId="10484" xr:uid="{00000000-0005-0000-0000-0000B4770000}"/>
    <cellStyle name="Total 4 2 2 4 4 2" xfId="25316" xr:uid="{00000000-0005-0000-0000-0000B5770000}"/>
    <cellStyle name="Total 4 2 2 5" xfId="6011" xr:uid="{00000000-0005-0000-0000-0000B6770000}"/>
    <cellStyle name="Total 4 2 2 5 2" xfId="16203" xr:uid="{00000000-0005-0000-0000-0000B7770000}"/>
    <cellStyle name="Total 4 2 2 5 2 2" xfId="31035" xr:uid="{00000000-0005-0000-0000-0000B8770000}"/>
    <cellStyle name="Total 4 2 2 5 3" xfId="18472" xr:uid="{00000000-0005-0000-0000-0000B9770000}"/>
    <cellStyle name="Total 4 2 2 6" xfId="12273" xr:uid="{00000000-0005-0000-0000-0000BA770000}"/>
    <cellStyle name="Total 4 2 2 6 2" xfId="27105" xr:uid="{00000000-0005-0000-0000-0000BB770000}"/>
    <cellStyle name="Total 4 2 2 7" xfId="9869" xr:uid="{00000000-0005-0000-0000-0000BC770000}"/>
    <cellStyle name="Total 4 2 2 7 2" xfId="24795" xr:uid="{00000000-0005-0000-0000-0000BD770000}"/>
    <cellStyle name="Total 4 2 3" xfId="3329" xr:uid="{00000000-0005-0000-0000-0000BE770000}"/>
    <cellStyle name="Total 4 2 3 2" xfId="7392" xr:uid="{00000000-0005-0000-0000-0000BF770000}"/>
    <cellStyle name="Total 4 2 3 2 2" xfId="17125" xr:uid="{00000000-0005-0000-0000-0000C0770000}"/>
    <cellStyle name="Total 4 2 3 2 2 2" xfId="31957" xr:uid="{00000000-0005-0000-0000-0000C1770000}"/>
    <cellStyle name="Total 4 2 3 2 3" xfId="19001" xr:uid="{00000000-0005-0000-0000-0000C2770000}"/>
    <cellStyle name="Total 4 2 3 3" xfId="13666" xr:uid="{00000000-0005-0000-0000-0000C3770000}"/>
    <cellStyle name="Total 4 2 3 3 2" xfId="28498" xr:uid="{00000000-0005-0000-0000-0000C4770000}"/>
    <cellStyle name="Total 4 2 3 4" xfId="10746" xr:uid="{00000000-0005-0000-0000-0000C5770000}"/>
    <cellStyle name="Total 4 2 3 4 2" xfId="25578" xr:uid="{00000000-0005-0000-0000-0000C6770000}"/>
    <cellStyle name="Total 4 2 4" xfId="4437" xr:uid="{00000000-0005-0000-0000-0000C7770000}"/>
    <cellStyle name="Total 4 2 4 2" xfId="8476" xr:uid="{00000000-0005-0000-0000-0000C8770000}"/>
    <cellStyle name="Total 4 2 4 2 2" xfId="17697" xr:uid="{00000000-0005-0000-0000-0000C9770000}"/>
    <cellStyle name="Total 4 2 4 2 2 2" xfId="32529" xr:uid="{00000000-0005-0000-0000-0000CA770000}"/>
    <cellStyle name="Total 4 2 4 2 3" xfId="19379" xr:uid="{00000000-0005-0000-0000-0000CB770000}"/>
    <cellStyle name="Total 4 2 4 3" xfId="14766" xr:uid="{00000000-0005-0000-0000-0000CC770000}"/>
    <cellStyle name="Total 4 2 4 3 2" xfId="29598" xr:uid="{00000000-0005-0000-0000-0000CD770000}"/>
    <cellStyle name="Total 4 2 4 4" xfId="11305" xr:uid="{00000000-0005-0000-0000-0000CE770000}"/>
    <cellStyle name="Total 4 2 4 4 2" xfId="26137" xr:uid="{00000000-0005-0000-0000-0000CF770000}"/>
    <cellStyle name="Total 4 2 5" xfId="2427" xr:uid="{00000000-0005-0000-0000-0000D0770000}"/>
    <cellStyle name="Total 4 2 5 2" xfId="6539" xr:uid="{00000000-0005-0000-0000-0000D1770000}"/>
    <cellStyle name="Total 4 2 5 2 2" xfId="16595" xr:uid="{00000000-0005-0000-0000-0000D2770000}"/>
    <cellStyle name="Total 4 2 5 2 2 2" xfId="31427" xr:uid="{00000000-0005-0000-0000-0000D3770000}"/>
    <cellStyle name="Total 4 2 5 2 3" xfId="18667" xr:uid="{00000000-0005-0000-0000-0000D4770000}"/>
    <cellStyle name="Total 4 2 5 3" xfId="12766" xr:uid="{00000000-0005-0000-0000-0000D5770000}"/>
    <cellStyle name="Total 4 2 5 3 2" xfId="27598" xr:uid="{00000000-0005-0000-0000-0000D6770000}"/>
    <cellStyle name="Total 4 2 5 4" xfId="10245" xr:uid="{00000000-0005-0000-0000-0000D7770000}"/>
    <cellStyle name="Total 4 2 5 4 2" xfId="25077" xr:uid="{00000000-0005-0000-0000-0000D8770000}"/>
    <cellStyle name="Total 4 2 6" xfId="5552" xr:uid="{00000000-0005-0000-0000-0000D9770000}"/>
    <cellStyle name="Total 4 2 6 2" xfId="15787" xr:uid="{00000000-0005-0000-0000-0000DA770000}"/>
    <cellStyle name="Total 4 2 6 2 2" xfId="30619" xr:uid="{00000000-0005-0000-0000-0000DB770000}"/>
    <cellStyle name="Total 4 2 6 3" xfId="18309" xr:uid="{00000000-0005-0000-0000-0000DC770000}"/>
    <cellStyle name="Total 4 2 7" xfId="11802" xr:uid="{00000000-0005-0000-0000-0000DD770000}"/>
    <cellStyle name="Total 4 2 7 2" xfId="26634" xr:uid="{00000000-0005-0000-0000-0000DE770000}"/>
    <cellStyle name="Total 4 2 8" xfId="9473" xr:uid="{00000000-0005-0000-0000-0000DF770000}"/>
    <cellStyle name="Total 4 2 8 2" xfId="19777" xr:uid="{00000000-0005-0000-0000-0000E0770000}"/>
    <cellStyle name="Total 4 3" xfId="1547" xr:uid="{00000000-0005-0000-0000-0000E1770000}"/>
    <cellStyle name="Total 4 3 2" xfId="2044" xr:uid="{00000000-0005-0000-0000-0000E2770000}"/>
    <cellStyle name="Total 4 3 2 2" xfId="4328" xr:uid="{00000000-0005-0000-0000-0000E3770000}"/>
    <cellStyle name="Total 4 3 2 2 2" xfId="8367" xr:uid="{00000000-0005-0000-0000-0000E4770000}"/>
    <cellStyle name="Total 4 3 2 2 2 2" xfId="17645" xr:uid="{00000000-0005-0000-0000-0000E5770000}"/>
    <cellStyle name="Total 4 3 2 2 2 2 2" xfId="32477" xr:uid="{00000000-0005-0000-0000-0000E6770000}"/>
    <cellStyle name="Total 4 3 2 2 2 3" xfId="19345" xr:uid="{00000000-0005-0000-0000-0000E7770000}"/>
    <cellStyle name="Total 4 3 2 2 3" xfId="14659" xr:uid="{00000000-0005-0000-0000-0000E8770000}"/>
    <cellStyle name="Total 4 3 2 2 3 2" xfId="29491" xr:uid="{00000000-0005-0000-0000-0000E9770000}"/>
    <cellStyle name="Total 4 3 2 2 4" xfId="11255" xr:uid="{00000000-0005-0000-0000-0000EA770000}"/>
    <cellStyle name="Total 4 3 2 2 4 2" xfId="26087" xr:uid="{00000000-0005-0000-0000-0000EB770000}"/>
    <cellStyle name="Total 4 3 2 3" xfId="5012" xr:uid="{00000000-0005-0000-0000-0000EC770000}"/>
    <cellStyle name="Total 4 3 2 3 2" xfId="9051" xr:uid="{00000000-0005-0000-0000-0000ED770000}"/>
    <cellStyle name="Total 4 3 2 3 2 2" xfId="17989" xr:uid="{00000000-0005-0000-0000-0000EE770000}"/>
    <cellStyle name="Total 4 3 2 3 2 2 2" xfId="32821" xr:uid="{00000000-0005-0000-0000-0000EF770000}"/>
    <cellStyle name="Total 4 3 2 3 2 3" xfId="19571" xr:uid="{00000000-0005-0000-0000-0000F0770000}"/>
    <cellStyle name="Total 4 3 2 3 3" xfId="15334" xr:uid="{00000000-0005-0000-0000-0000F1770000}"/>
    <cellStyle name="Total 4 3 2 3 3 2" xfId="30166" xr:uid="{00000000-0005-0000-0000-0000F2770000}"/>
    <cellStyle name="Total 4 3 2 3 4" xfId="11590" xr:uid="{00000000-0005-0000-0000-0000F3770000}"/>
    <cellStyle name="Total 4 3 2 3 4 2" xfId="26422" xr:uid="{00000000-0005-0000-0000-0000F4770000}"/>
    <cellStyle name="Total 4 3 2 4" xfId="3002" xr:uid="{00000000-0005-0000-0000-0000F5770000}"/>
    <cellStyle name="Total 4 3 2 4 2" xfId="7082" xr:uid="{00000000-0005-0000-0000-0000F6770000}"/>
    <cellStyle name="Total 4 3 2 4 2 2" xfId="16881" xr:uid="{00000000-0005-0000-0000-0000F7770000}"/>
    <cellStyle name="Total 4 3 2 4 2 2 2" xfId="31713" xr:uid="{00000000-0005-0000-0000-0000F8770000}"/>
    <cellStyle name="Total 4 3 2 4 2 3" xfId="18863" xr:uid="{00000000-0005-0000-0000-0000F9770000}"/>
    <cellStyle name="Total 4 3 2 4 3" xfId="13340" xr:uid="{00000000-0005-0000-0000-0000FA770000}"/>
    <cellStyle name="Total 4 3 2 4 3 2" xfId="28172" xr:uid="{00000000-0005-0000-0000-0000FB770000}"/>
    <cellStyle name="Total 4 3 2 4 4" xfId="10536" xr:uid="{00000000-0005-0000-0000-0000FC770000}"/>
    <cellStyle name="Total 4 3 2 4 4 2" xfId="25368" xr:uid="{00000000-0005-0000-0000-0000FD770000}"/>
    <cellStyle name="Total 4 3 2 5" xfId="6174" xr:uid="{00000000-0005-0000-0000-0000FE770000}"/>
    <cellStyle name="Total 4 3 2 5 2" xfId="16361" xr:uid="{00000000-0005-0000-0000-0000FF770000}"/>
    <cellStyle name="Total 4 3 2 5 2 2" xfId="31193" xr:uid="{00000000-0005-0000-0000-000000780000}"/>
    <cellStyle name="Total 4 3 2 5 3" xfId="18504" xr:uid="{00000000-0005-0000-0000-000001780000}"/>
    <cellStyle name="Total 4 3 2 6" xfId="12431" xr:uid="{00000000-0005-0000-0000-000002780000}"/>
    <cellStyle name="Total 4 3 2 6 2" xfId="27263" xr:uid="{00000000-0005-0000-0000-000003780000}"/>
    <cellStyle name="Total 4 3 2 7" xfId="10013" xr:uid="{00000000-0005-0000-0000-000004780000}"/>
    <cellStyle name="Total 4 3 2 7 2" xfId="24845" xr:uid="{00000000-0005-0000-0000-000005780000}"/>
    <cellStyle name="Total 4 3 3" xfId="3156" xr:uid="{00000000-0005-0000-0000-000006780000}"/>
    <cellStyle name="Total 4 3 3 2" xfId="7220" xr:uid="{00000000-0005-0000-0000-000007780000}"/>
    <cellStyle name="Total 4 3 3 2 2" xfId="16998" xr:uid="{00000000-0005-0000-0000-000008780000}"/>
    <cellStyle name="Total 4 3 3 2 2 2" xfId="31830" xr:uid="{00000000-0005-0000-0000-000009780000}"/>
    <cellStyle name="Total 4 3 3 2 3" xfId="18945" xr:uid="{00000000-0005-0000-0000-00000A780000}"/>
    <cellStyle name="Total 4 3 3 3" xfId="13494" xr:uid="{00000000-0005-0000-0000-00000B780000}"/>
    <cellStyle name="Total 4 3 3 3 2" xfId="28326" xr:uid="{00000000-0005-0000-0000-00000C780000}"/>
    <cellStyle name="Total 4 3 3 4" xfId="10650" xr:uid="{00000000-0005-0000-0000-00000D780000}"/>
    <cellStyle name="Total 4 3 3 4 2" xfId="25482" xr:uid="{00000000-0005-0000-0000-00000E780000}"/>
    <cellStyle name="Total 4 3 4" xfId="4592" xr:uid="{00000000-0005-0000-0000-00000F780000}"/>
    <cellStyle name="Total 4 3 4 2" xfId="8631" xr:uid="{00000000-0005-0000-0000-000010780000}"/>
    <cellStyle name="Total 4 3 4 2 2" xfId="17749" xr:uid="{00000000-0005-0000-0000-000011780000}"/>
    <cellStyle name="Total 4 3 4 2 2 2" xfId="32581" xr:uid="{00000000-0005-0000-0000-000012780000}"/>
    <cellStyle name="Total 4 3 4 2 3" xfId="19411" xr:uid="{00000000-0005-0000-0000-000013780000}"/>
    <cellStyle name="Total 4 3 4 3" xfId="14919" xr:uid="{00000000-0005-0000-0000-000014780000}"/>
    <cellStyle name="Total 4 3 4 3 2" xfId="29751" xr:uid="{00000000-0005-0000-0000-000015780000}"/>
    <cellStyle name="Total 4 3 4 4" xfId="11355" xr:uid="{00000000-0005-0000-0000-000016780000}"/>
    <cellStyle name="Total 4 3 4 4 2" xfId="26187" xr:uid="{00000000-0005-0000-0000-000017780000}"/>
    <cellStyle name="Total 4 3 5" xfId="2582" xr:uid="{00000000-0005-0000-0000-000018780000}"/>
    <cellStyle name="Total 4 3 5 2" xfId="6688" xr:uid="{00000000-0005-0000-0000-000019780000}"/>
    <cellStyle name="Total 4 3 5 2 2" xfId="16646" xr:uid="{00000000-0005-0000-0000-00001A780000}"/>
    <cellStyle name="Total 4 3 5 2 2 2" xfId="31478" xr:uid="{00000000-0005-0000-0000-00001B780000}"/>
    <cellStyle name="Total 4 3 5 2 3" xfId="18699" xr:uid="{00000000-0005-0000-0000-00001C780000}"/>
    <cellStyle name="Total 4 3 5 3" xfId="12920" xr:uid="{00000000-0005-0000-0000-00001D780000}"/>
    <cellStyle name="Total 4 3 5 3 2" xfId="27752" xr:uid="{00000000-0005-0000-0000-00001E780000}"/>
    <cellStyle name="Total 4 3 5 4" xfId="10296" xr:uid="{00000000-0005-0000-0000-00001F780000}"/>
    <cellStyle name="Total 4 3 5 4 2" xfId="25128" xr:uid="{00000000-0005-0000-0000-000020780000}"/>
    <cellStyle name="Total 4 3 6" xfId="5705" xr:uid="{00000000-0005-0000-0000-000021780000}"/>
    <cellStyle name="Total 4 3 6 2" xfId="15940" xr:uid="{00000000-0005-0000-0000-000022780000}"/>
    <cellStyle name="Total 4 3 6 2 2" xfId="30772" xr:uid="{00000000-0005-0000-0000-000023780000}"/>
    <cellStyle name="Total 4 3 6 3" xfId="18341" xr:uid="{00000000-0005-0000-0000-000024780000}"/>
    <cellStyle name="Total 4 3 7" xfId="11960" xr:uid="{00000000-0005-0000-0000-000025780000}"/>
    <cellStyle name="Total 4 3 7 2" xfId="26792" xr:uid="{00000000-0005-0000-0000-000026780000}"/>
    <cellStyle name="Total 4 3 8" xfId="9618" xr:uid="{00000000-0005-0000-0000-000027780000}"/>
    <cellStyle name="Total 4 3 8 2" xfId="19920" xr:uid="{00000000-0005-0000-0000-000028780000}"/>
    <cellStyle name="Total 4 4" xfId="1600" xr:uid="{00000000-0005-0000-0000-000029780000}"/>
    <cellStyle name="Total 4 4 2" xfId="2097" xr:uid="{00000000-0005-0000-0000-00002A780000}"/>
    <cellStyle name="Total 4 4 2 2" xfId="3532" xr:uid="{00000000-0005-0000-0000-00002B780000}"/>
    <cellStyle name="Total 4 4 2 2 2" xfId="7594" xr:uid="{00000000-0005-0000-0000-00002C780000}"/>
    <cellStyle name="Total 4 4 2 2 2 2" xfId="17239" xr:uid="{00000000-0005-0000-0000-00002D780000}"/>
    <cellStyle name="Total 4 4 2 2 2 2 2" xfId="32071" xr:uid="{00000000-0005-0000-0000-00002E780000}"/>
    <cellStyle name="Total 4 4 2 2 2 3" xfId="19067" xr:uid="{00000000-0005-0000-0000-00002F780000}"/>
    <cellStyle name="Total 4 4 2 2 3" xfId="13869" xr:uid="{00000000-0005-0000-0000-000030780000}"/>
    <cellStyle name="Total 4 4 2 2 3 2" xfId="28701" xr:uid="{00000000-0005-0000-0000-000031780000}"/>
    <cellStyle name="Total 4 4 2 2 4" xfId="10857" xr:uid="{00000000-0005-0000-0000-000032780000}"/>
    <cellStyle name="Total 4 4 2 2 4 2" xfId="25689" xr:uid="{00000000-0005-0000-0000-000033780000}"/>
    <cellStyle name="Total 4 4 2 3" xfId="5065" xr:uid="{00000000-0005-0000-0000-000034780000}"/>
    <cellStyle name="Total 4 4 2 3 2" xfId="9104" xr:uid="{00000000-0005-0000-0000-000035780000}"/>
    <cellStyle name="Total 4 4 2 3 2 2" xfId="18037" xr:uid="{00000000-0005-0000-0000-000036780000}"/>
    <cellStyle name="Total 4 4 2 3 2 2 2" xfId="32869" xr:uid="{00000000-0005-0000-0000-000037780000}"/>
    <cellStyle name="Total 4 4 2 3 2 3" xfId="19603" xr:uid="{00000000-0005-0000-0000-000038780000}"/>
    <cellStyle name="Total 4 4 2 3 3" xfId="15386" xr:uid="{00000000-0005-0000-0000-000039780000}"/>
    <cellStyle name="Total 4 4 2 3 3 2" xfId="30218" xr:uid="{00000000-0005-0000-0000-00003A780000}"/>
    <cellStyle name="Total 4 4 2 3 4" xfId="11637" xr:uid="{00000000-0005-0000-0000-00003B780000}"/>
    <cellStyle name="Total 4 4 2 3 4 2" xfId="26469" xr:uid="{00000000-0005-0000-0000-00003C780000}"/>
    <cellStyle name="Total 4 4 2 4" xfId="3055" xr:uid="{00000000-0005-0000-0000-00003D780000}"/>
    <cellStyle name="Total 4 4 2 4 2" xfId="7130" xr:uid="{00000000-0005-0000-0000-00003E780000}"/>
    <cellStyle name="Total 4 4 2 4 2 2" xfId="16928" xr:uid="{00000000-0005-0000-0000-00003F780000}"/>
    <cellStyle name="Total 4 4 2 4 2 2 2" xfId="31760" xr:uid="{00000000-0005-0000-0000-000040780000}"/>
    <cellStyle name="Total 4 4 2 4 2 3" xfId="18896" xr:uid="{00000000-0005-0000-0000-000041780000}"/>
    <cellStyle name="Total 4 4 2 4 3" xfId="13393" xr:uid="{00000000-0005-0000-0000-000042780000}"/>
    <cellStyle name="Total 4 4 2 4 3 2" xfId="28225" xr:uid="{00000000-0005-0000-0000-000043780000}"/>
    <cellStyle name="Total 4 4 2 4 4" xfId="10584" xr:uid="{00000000-0005-0000-0000-000044780000}"/>
    <cellStyle name="Total 4 4 2 4 4 2" xfId="25416" xr:uid="{00000000-0005-0000-0000-000045780000}"/>
    <cellStyle name="Total 4 4 2 5" xfId="6222" xr:uid="{00000000-0005-0000-0000-000046780000}"/>
    <cellStyle name="Total 4 4 2 5 2" xfId="16408" xr:uid="{00000000-0005-0000-0000-000047780000}"/>
    <cellStyle name="Total 4 4 2 5 2 2" xfId="31240" xr:uid="{00000000-0005-0000-0000-000048780000}"/>
    <cellStyle name="Total 4 4 2 5 3" xfId="18537" xr:uid="{00000000-0005-0000-0000-000049780000}"/>
    <cellStyle name="Total 4 4 2 6" xfId="12478" xr:uid="{00000000-0005-0000-0000-00004A780000}"/>
    <cellStyle name="Total 4 4 2 6 2" xfId="27310" xr:uid="{00000000-0005-0000-0000-00004B780000}"/>
    <cellStyle name="Total 4 4 2 7" xfId="10060" xr:uid="{00000000-0005-0000-0000-00004C780000}"/>
    <cellStyle name="Total 4 4 2 7 2" xfId="24892" xr:uid="{00000000-0005-0000-0000-00004D780000}"/>
    <cellStyle name="Total 4 4 3" xfId="3582" xr:uid="{00000000-0005-0000-0000-00004E780000}"/>
    <cellStyle name="Total 4 4 3 2" xfId="7644" xr:uid="{00000000-0005-0000-0000-00004F780000}"/>
    <cellStyle name="Total 4 4 3 2 2" xfId="17268" xr:uid="{00000000-0005-0000-0000-000050780000}"/>
    <cellStyle name="Total 4 4 3 2 2 2" xfId="32100" xr:uid="{00000000-0005-0000-0000-000051780000}"/>
    <cellStyle name="Total 4 4 3 2 3" xfId="19090" xr:uid="{00000000-0005-0000-0000-000052780000}"/>
    <cellStyle name="Total 4 4 3 3" xfId="13918" xr:uid="{00000000-0005-0000-0000-000053780000}"/>
    <cellStyle name="Total 4 4 3 3 2" xfId="28750" xr:uid="{00000000-0005-0000-0000-000054780000}"/>
    <cellStyle name="Total 4 4 3 4" xfId="10885" xr:uid="{00000000-0005-0000-0000-000055780000}"/>
    <cellStyle name="Total 4 4 3 4 2" xfId="25717" xr:uid="{00000000-0005-0000-0000-000056780000}"/>
    <cellStyle name="Total 4 4 4" xfId="4645" xr:uid="{00000000-0005-0000-0000-000057780000}"/>
    <cellStyle name="Total 4 4 4 2" xfId="8684" xr:uid="{00000000-0005-0000-0000-000058780000}"/>
    <cellStyle name="Total 4 4 4 2 2" xfId="17797" xr:uid="{00000000-0005-0000-0000-000059780000}"/>
    <cellStyle name="Total 4 4 4 2 2 2" xfId="32629" xr:uid="{00000000-0005-0000-0000-00005A780000}"/>
    <cellStyle name="Total 4 4 4 2 3" xfId="19443" xr:uid="{00000000-0005-0000-0000-00005B780000}"/>
    <cellStyle name="Total 4 4 4 3" xfId="14971" xr:uid="{00000000-0005-0000-0000-00005C780000}"/>
    <cellStyle name="Total 4 4 4 3 2" xfId="29803" xr:uid="{00000000-0005-0000-0000-00005D780000}"/>
    <cellStyle name="Total 4 4 4 4" xfId="11402" xr:uid="{00000000-0005-0000-0000-00005E780000}"/>
    <cellStyle name="Total 4 4 4 4 2" xfId="26234" xr:uid="{00000000-0005-0000-0000-00005F780000}"/>
    <cellStyle name="Total 4 4 5" xfId="2635" xr:uid="{00000000-0005-0000-0000-000060780000}"/>
    <cellStyle name="Total 4 4 5 2" xfId="6736" xr:uid="{00000000-0005-0000-0000-000061780000}"/>
    <cellStyle name="Total 4 4 5 2 2" xfId="16693" xr:uid="{00000000-0005-0000-0000-000062780000}"/>
    <cellStyle name="Total 4 4 5 2 2 2" xfId="31525" xr:uid="{00000000-0005-0000-0000-000063780000}"/>
    <cellStyle name="Total 4 4 5 2 3" xfId="18732" xr:uid="{00000000-0005-0000-0000-000064780000}"/>
    <cellStyle name="Total 4 4 5 3" xfId="12973" xr:uid="{00000000-0005-0000-0000-000065780000}"/>
    <cellStyle name="Total 4 4 5 3 2" xfId="27805" xr:uid="{00000000-0005-0000-0000-000066780000}"/>
    <cellStyle name="Total 4 4 5 4" xfId="10344" xr:uid="{00000000-0005-0000-0000-000067780000}"/>
    <cellStyle name="Total 4 4 5 4 2" xfId="25176" xr:uid="{00000000-0005-0000-0000-000068780000}"/>
    <cellStyle name="Total 4 4 6" xfId="5752" xr:uid="{00000000-0005-0000-0000-000069780000}"/>
    <cellStyle name="Total 4 4 6 2" xfId="15987" xr:uid="{00000000-0005-0000-0000-00006A780000}"/>
    <cellStyle name="Total 4 4 6 2 2" xfId="30819" xr:uid="{00000000-0005-0000-0000-00006B780000}"/>
    <cellStyle name="Total 4 4 6 3" xfId="18373" xr:uid="{00000000-0005-0000-0000-00006C780000}"/>
    <cellStyle name="Total 4 4 7" xfId="12007" xr:uid="{00000000-0005-0000-0000-00006D780000}"/>
    <cellStyle name="Total 4 4 7 2" xfId="26839" xr:uid="{00000000-0005-0000-0000-00006E780000}"/>
    <cellStyle name="Total 4 4 8" xfId="9666" xr:uid="{00000000-0005-0000-0000-00006F780000}"/>
    <cellStyle name="Total 4 4 8 2" xfId="19967" xr:uid="{00000000-0005-0000-0000-000070780000}"/>
    <cellStyle name="Total 4 5" xfId="1650" xr:uid="{00000000-0005-0000-0000-000071780000}"/>
    <cellStyle name="Total 4 5 2" xfId="2147" xr:uid="{00000000-0005-0000-0000-000072780000}"/>
    <cellStyle name="Total 4 5 2 2" xfId="4314" xr:uid="{00000000-0005-0000-0000-000073780000}"/>
    <cellStyle name="Total 4 5 2 2 2" xfId="8353" xr:uid="{00000000-0005-0000-0000-000074780000}"/>
    <cellStyle name="Total 4 5 2 2 2 2" xfId="17632" xr:uid="{00000000-0005-0000-0000-000075780000}"/>
    <cellStyle name="Total 4 5 2 2 2 2 2" xfId="32464" xr:uid="{00000000-0005-0000-0000-000076780000}"/>
    <cellStyle name="Total 4 5 2 2 2 3" xfId="19334" xr:uid="{00000000-0005-0000-0000-000077780000}"/>
    <cellStyle name="Total 4 5 2 2 3" xfId="14645" xr:uid="{00000000-0005-0000-0000-000078780000}"/>
    <cellStyle name="Total 4 5 2 2 3 2" xfId="29477" xr:uid="{00000000-0005-0000-0000-000079780000}"/>
    <cellStyle name="Total 4 5 2 2 4" xfId="11242" xr:uid="{00000000-0005-0000-0000-00007A780000}"/>
    <cellStyle name="Total 4 5 2 2 4 2" xfId="26074" xr:uid="{00000000-0005-0000-0000-00007B780000}"/>
    <cellStyle name="Total 4 5 2 3" xfId="5115" xr:uid="{00000000-0005-0000-0000-00007C780000}"/>
    <cellStyle name="Total 4 5 2 3 2" xfId="9154" xr:uid="{00000000-0005-0000-0000-00007D780000}"/>
    <cellStyle name="Total 4 5 2 3 2 2" xfId="18082" xr:uid="{00000000-0005-0000-0000-00007E780000}"/>
    <cellStyle name="Total 4 5 2 3 2 2 2" xfId="32914" xr:uid="{00000000-0005-0000-0000-00007F780000}"/>
    <cellStyle name="Total 4 5 2 3 2 3" xfId="19635" xr:uid="{00000000-0005-0000-0000-000080780000}"/>
    <cellStyle name="Total 4 5 2 3 3" xfId="15435" xr:uid="{00000000-0005-0000-0000-000081780000}"/>
    <cellStyle name="Total 4 5 2 3 3 2" xfId="30267" xr:uid="{00000000-0005-0000-0000-000082780000}"/>
    <cellStyle name="Total 4 5 2 3 4" xfId="11681" xr:uid="{00000000-0005-0000-0000-000083780000}"/>
    <cellStyle name="Total 4 5 2 3 4 2" xfId="26513" xr:uid="{00000000-0005-0000-0000-000084780000}"/>
    <cellStyle name="Total 4 5 2 4" xfId="3105" xr:uid="{00000000-0005-0000-0000-000085780000}"/>
    <cellStyle name="Total 4 5 2 4 2" xfId="7175" xr:uid="{00000000-0005-0000-0000-000086780000}"/>
    <cellStyle name="Total 4 5 2 4 2 2" xfId="16972" xr:uid="{00000000-0005-0000-0000-000087780000}"/>
    <cellStyle name="Total 4 5 2 4 2 2 2" xfId="31804" xr:uid="{00000000-0005-0000-0000-000088780000}"/>
    <cellStyle name="Total 4 5 2 4 2 3" xfId="18929" xr:uid="{00000000-0005-0000-0000-000089780000}"/>
    <cellStyle name="Total 4 5 2 4 3" xfId="13443" xr:uid="{00000000-0005-0000-0000-00008A780000}"/>
    <cellStyle name="Total 4 5 2 4 3 2" xfId="28275" xr:uid="{00000000-0005-0000-0000-00008B780000}"/>
    <cellStyle name="Total 4 5 2 4 4" xfId="10629" xr:uid="{00000000-0005-0000-0000-00008C780000}"/>
    <cellStyle name="Total 4 5 2 4 4 2" xfId="25461" xr:uid="{00000000-0005-0000-0000-00008D780000}"/>
    <cellStyle name="Total 4 5 2 5" xfId="6267" xr:uid="{00000000-0005-0000-0000-00008E780000}"/>
    <cellStyle name="Total 4 5 2 5 2" xfId="16452" xr:uid="{00000000-0005-0000-0000-00008F780000}"/>
    <cellStyle name="Total 4 5 2 5 2 2" xfId="31284" xr:uid="{00000000-0005-0000-0000-000090780000}"/>
    <cellStyle name="Total 4 5 2 5 3" xfId="18570" xr:uid="{00000000-0005-0000-0000-000091780000}"/>
    <cellStyle name="Total 4 5 2 6" xfId="12522" xr:uid="{00000000-0005-0000-0000-000092780000}"/>
    <cellStyle name="Total 4 5 2 6 2" xfId="27354" xr:uid="{00000000-0005-0000-0000-000093780000}"/>
    <cellStyle name="Total 4 5 2 7" xfId="10104" xr:uid="{00000000-0005-0000-0000-000094780000}"/>
    <cellStyle name="Total 4 5 2 7 2" xfId="24936" xr:uid="{00000000-0005-0000-0000-000095780000}"/>
    <cellStyle name="Total 4 5 3" xfId="3976" xr:uid="{00000000-0005-0000-0000-000096780000}"/>
    <cellStyle name="Total 4 5 3 2" xfId="8025" xr:uid="{00000000-0005-0000-0000-000097780000}"/>
    <cellStyle name="Total 4 5 3 2 2" xfId="17456" xr:uid="{00000000-0005-0000-0000-000098780000}"/>
    <cellStyle name="Total 4 5 3 2 2 2" xfId="32288" xr:uid="{00000000-0005-0000-0000-000099780000}"/>
    <cellStyle name="Total 4 5 3 2 3" xfId="19220" xr:uid="{00000000-0005-0000-0000-00009A780000}"/>
    <cellStyle name="Total 4 5 3 3" xfId="14309" xr:uid="{00000000-0005-0000-0000-00009B780000}"/>
    <cellStyle name="Total 4 5 3 3 2" xfId="29141" xr:uid="{00000000-0005-0000-0000-00009C780000}"/>
    <cellStyle name="Total 4 5 3 4" xfId="11072" xr:uid="{00000000-0005-0000-0000-00009D780000}"/>
    <cellStyle name="Total 4 5 3 4 2" xfId="25904" xr:uid="{00000000-0005-0000-0000-00009E780000}"/>
    <cellStyle name="Total 4 5 4" xfId="4695" xr:uid="{00000000-0005-0000-0000-00009F780000}"/>
    <cellStyle name="Total 4 5 4 2" xfId="8734" xr:uid="{00000000-0005-0000-0000-0000A0780000}"/>
    <cellStyle name="Total 4 5 4 2 2" xfId="17842" xr:uid="{00000000-0005-0000-0000-0000A1780000}"/>
    <cellStyle name="Total 4 5 4 2 2 2" xfId="32674" xr:uid="{00000000-0005-0000-0000-0000A2780000}"/>
    <cellStyle name="Total 4 5 4 2 3" xfId="19475" xr:uid="{00000000-0005-0000-0000-0000A3780000}"/>
    <cellStyle name="Total 4 5 4 3" xfId="15020" xr:uid="{00000000-0005-0000-0000-0000A4780000}"/>
    <cellStyle name="Total 4 5 4 3 2" xfId="29852" xr:uid="{00000000-0005-0000-0000-0000A5780000}"/>
    <cellStyle name="Total 4 5 4 4" xfId="11446" xr:uid="{00000000-0005-0000-0000-0000A6780000}"/>
    <cellStyle name="Total 4 5 4 4 2" xfId="26278" xr:uid="{00000000-0005-0000-0000-0000A7780000}"/>
    <cellStyle name="Total 4 5 5" xfId="2685" xr:uid="{00000000-0005-0000-0000-0000A8780000}"/>
    <cellStyle name="Total 4 5 5 2" xfId="6781" xr:uid="{00000000-0005-0000-0000-0000A9780000}"/>
    <cellStyle name="Total 4 5 5 2 2" xfId="16737" xr:uid="{00000000-0005-0000-0000-0000AA780000}"/>
    <cellStyle name="Total 4 5 5 2 2 2" xfId="31569" xr:uid="{00000000-0005-0000-0000-0000AB780000}"/>
    <cellStyle name="Total 4 5 5 2 3" xfId="18765" xr:uid="{00000000-0005-0000-0000-0000AC780000}"/>
    <cellStyle name="Total 4 5 5 3" xfId="13023" xr:uid="{00000000-0005-0000-0000-0000AD780000}"/>
    <cellStyle name="Total 4 5 5 3 2" xfId="27855" xr:uid="{00000000-0005-0000-0000-0000AE780000}"/>
    <cellStyle name="Total 4 5 5 4" xfId="10389" xr:uid="{00000000-0005-0000-0000-0000AF780000}"/>
    <cellStyle name="Total 4 5 5 4 2" xfId="25221" xr:uid="{00000000-0005-0000-0000-0000B0780000}"/>
    <cellStyle name="Total 4 5 6" xfId="5797" xr:uid="{00000000-0005-0000-0000-0000B1780000}"/>
    <cellStyle name="Total 4 5 6 2" xfId="16031" xr:uid="{00000000-0005-0000-0000-0000B2780000}"/>
    <cellStyle name="Total 4 5 6 2 2" xfId="30863" xr:uid="{00000000-0005-0000-0000-0000B3780000}"/>
    <cellStyle name="Total 4 5 6 3" xfId="18406" xr:uid="{00000000-0005-0000-0000-0000B4780000}"/>
    <cellStyle name="Total 4 5 7" xfId="12051" xr:uid="{00000000-0005-0000-0000-0000B5780000}"/>
    <cellStyle name="Total 4 5 7 2" xfId="26883" xr:uid="{00000000-0005-0000-0000-0000B6780000}"/>
    <cellStyle name="Total 4 5 8" xfId="9711" xr:uid="{00000000-0005-0000-0000-0000B7780000}"/>
    <cellStyle name="Total 4 5 8 2" xfId="20011" xr:uid="{00000000-0005-0000-0000-0000B8780000}"/>
    <cellStyle name="Total 4 6" xfId="1801" xr:uid="{00000000-0005-0000-0000-0000B9780000}"/>
    <cellStyle name="Total 4 6 2" xfId="3701" xr:uid="{00000000-0005-0000-0000-0000BA780000}"/>
    <cellStyle name="Total 4 6 2 2" xfId="7757" xr:uid="{00000000-0005-0000-0000-0000BB780000}"/>
    <cellStyle name="Total 4 6 2 2 2" xfId="17324" xr:uid="{00000000-0005-0000-0000-0000BC780000}"/>
    <cellStyle name="Total 4 6 2 2 2 2" xfId="32156" xr:uid="{00000000-0005-0000-0000-0000BD780000}"/>
    <cellStyle name="Total 4 6 2 2 3" xfId="19127" xr:uid="{00000000-0005-0000-0000-0000BE780000}"/>
    <cellStyle name="Total 4 6 2 3" xfId="14036" xr:uid="{00000000-0005-0000-0000-0000BF780000}"/>
    <cellStyle name="Total 4 6 2 3 2" xfId="28868" xr:uid="{00000000-0005-0000-0000-0000C0780000}"/>
    <cellStyle name="Total 4 6 2 4" xfId="10942" xr:uid="{00000000-0005-0000-0000-0000C1780000}"/>
    <cellStyle name="Total 4 6 2 4 2" xfId="25774" xr:uid="{00000000-0005-0000-0000-0000C2780000}"/>
    <cellStyle name="Total 4 6 3" xfId="4779" xr:uid="{00000000-0005-0000-0000-0000C3780000}"/>
    <cellStyle name="Total 4 6 3 2" xfId="8818" xr:uid="{00000000-0005-0000-0000-0000C4780000}"/>
    <cellStyle name="Total 4 6 3 2 2" xfId="17890" xr:uid="{00000000-0005-0000-0000-0000C5780000}"/>
    <cellStyle name="Total 4 6 3 2 2 2" xfId="32722" xr:uid="{00000000-0005-0000-0000-0000C6780000}"/>
    <cellStyle name="Total 4 6 3 2 3" xfId="19507" xr:uid="{00000000-0005-0000-0000-0000C7780000}"/>
    <cellStyle name="Total 4 6 3 3" xfId="15103" xr:uid="{00000000-0005-0000-0000-0000C8780000}"/>
    <cellStyle name="Total 4 6 3 3 2" xfId="29935" xr:uid="{00000000-0005-0000-0000-0000C9780000}"/>
    <cellStyle name="Total 4 6 3 4" xfId="11493" xr:uid="{00000000-0005-0000-0000-0000CA780000}"/>
    <cellStyle name="Total 4 6 3 4 2" xfId="26325" xr:uid="{00000000-0005-0000-0000-0000CB780000}"/>
    <cellStyle name="Total 4 6 4" xfId="2769" xr:uid="{00000000-0005-0000-0000-0000CC780000}"/>
    <cellStyle name="Total 4 6 4 2" xfId="6860" xr:uid="{00000000-0005-0000-0000-0000CD780000}"/>
    <cellStyle name="Total 4 6 4 2 2" xfId="16784" xr:uid="{00000000-0005-0000-0000-0000CE780000}"/>
    <cellStyle name="Total 4 6 4 2 2 2" xfId="31616" xr:uid="{00000000-0005-0000-0000-0000CF780000}"/>
    <cellStyle name="Total 4 6 4 2 3" xfId="18798" xr:uid="{00000000-0005-0000-0000-0000D0780000}"/>
    <cellStyle name="Total 4 6 4 3" xfId="13107" xr:uid="{00000000-0005-0000-0000-0000D1780000}"/>
    <cellStyle name="Total 4 6 4 3 2" xfId="27939" xr:uid="{00000000-0005-0000-0000-0000D2780000}"/>
    <cellStyle name="Total 4 6 4 4" xfId="10437" xr:uid="{00000000-0005-0000-0000-0000D3780000}"/>
    <cellStyle name="Total 4 6 4 4 2" xfId="25269" xr:uid="{00000000-0005-0000-0000-0000D4780000}"/>
    <cellStyle name="Total 4 6 5" xfId="5933" xr:uid="{00000000-0005-0000-0000-0000D5780000}"/>
    <cellStyle name="Total 4 6 5 2" xfId="16125" xr:uid="{00000000-0005-0000-0000-0000D6780000}"/>
    <cellStyle name="Total 4 6 5 2 2" xfId="30957" xr:uid="{00000000-0005-0000-0000-0000D7780000}"/>
    <cellStyle name="Total 4 6 5 3" xfId="18440" xr:uid="{00000000-0005-0000-0000-0000D8780000}"/>
    <cellStyle name="Total 4 6 6" xfId="12195" xr:uid="{00000000-0005-0000-0000-0000D9780000}"/>
    <cellStyle name="Total 4 6 6 2" xfId="27027" xr:uid="{00000000-0005-0000-0000-0000DA780000}"/>
    <cellStyle name="Total 4 6 7" xfId="9791" xr:uid="{00000000-0005-0000-0000-0000DB780000}"/>
    <cellStyle name="Total 4 6 7 2" xfId="24748" xr:uid="{00000000-0005-0000-0000-0000DC780000}"/>
    <cellStyle name="Total 4 7" xfId="2165" xr:uid="{00000000-0005-0000-0000-0000DD780000}"/>
    <cellStyle name="Total 4 7 2" xfId="3418" xr:uid="{00000000-0005-0000-0000-0000DE780000}"/>
    <cellStyle name="Total 4 7 2 2" xfId="7481" xr:uid="{00000000-0005-0000-0000-0000DF780000}"/>
    <cellStyle name="Total 4 7 2 2 2" xfId="17179" xr:uid="{00000000-0005-0000-0000-0000E0780000}"/>
    <cellStyle name="Total 4 7 2 2 2 2" xfId="32011" xr:uid="{00000000-0005-0000-0000-0000E1780000}"/>
    <cellStyle name="Total 4 7 2 2 3" xfId="19028" xr:uid="{00000000-0005-0000-0000-0000E2780000}"/>
    <cellStyle name="Total 4 7 2 3" xfId="13755" xr:uid="{00000000-0005-0000-0000-0000E3780000}"/>
    <cellStyle name="Total 4 7 2 3 2" xfId="28587" xr:uid="{00000000-0005-0000-0000-0000E4780000}"/>
    <cellStyle name="Total 4 7 2 4" xfId="10798" xr:uid="{00000000-0005-0000-0000-0000E5780000}"/>
    <cellStyle name="Total 4 7 2 4 2" xfId="25630" xr:uid="{00000000-0005-0000-0000-0000E6780000}"/>
    <cellStyle name="Total 4 7 3" xfId="5133" xr:uid="{00000000-0005-0000-0000-0000E7780000}"/>
    <cellStyle name="Total 4 7 3 2" xfId="9172" xr:uid="{00000000-0005-0000-0000-0000E8780000}"/>
    <cellStyle name="Total 4 7 3 2 2" xfId="18095" xr:uid="{00000000-0005-0000-0000-0000E9780000}"/>
    <cellStyle name="Total 4 7 3 2 2 2" xfId="32927" xr:uid="{00000000-0005-0000-0000-0000EA780000}"/>
    <cellStyle name="Total 4 7 3 2 3" xfId="19646" xr:uid="{00000000-0005-0000-0000-0000EB780000}"/>
    <cellStyle name="Total 4 7 3 3" xfId="15451" xr:uid="{00000000-0005-0000-0000-0000EC780000}"/>
    <cellStyle name="Total 4 7 3 3 2" xfId="30283" xr:uid="{00000000-0005-0000-0000-0000ED780000}"/>
    <cellStyle name="Total 4 7 3 4" xfId="11692" xr:uid="{00000000-0005-0000-0000-0000EE780000}"/>
    <cellStyle name="Total 4 7 3 4 2" xfId="26524" xr:uid="{00000000-0005-0000-0000-0000EF780000}"/>
    <cellStyle name="Total 4 7 4" xfId="4163" xr:uid="{00000000-0005-0000-0000-0000F0780000}"/>
    <cellStyle name="Total 4 7 4 2" xfId="8204" xr:uid="{00000000-0005-0000-0000-0000F1780000}"/>
    <cellStyle name="Total 4 7 4 2 2" xfId="17551" xr:uid="{00000000-0005-0000-0000-0000F2780000}"/>
    <cellStyle name="Total 4 7 4 2 2 2" xfId="32383" xr:uid="{00000000-0005-0000-0000-0000F3780000}"/>
    <cellStyle name="Total 4 7 4 2 3" xfId="19289" xr:uid="{00000000-0005-0000-0000-0000F4780000}"/>
    <cellStyle name="Total 4 7 4 3" xfId="14495" xr:uid="{00000000-0005-0000-0000-0000F5780000}"/>
    <cellStyle name="Total 4 7 4 3 2" xfId="29327" xr:uid="{00000000-0005-0000-0000-0000F6780000}"/>
    <cellStyle name="Total 4 7 4 4" xfId="11171" xr:uid="{00000000-0005-0000-0000-0000F7780000}"/>
    <cellStyle name="Total 4 7 4 4 2" xfId="26003" xr:uid="{00000000-0005-0000-0000-0000F8780000}"/>
    <cellStyle name="Total 4 7 5" xfId="6279" xr:uid="{00000000-0005-0000-0000-0000F9780000}"/>
    <cellStyle name="Total 4 7 5 2" xfId="16463" xr:uid="{00000000-0005-0000-0000-0000FA780000}"/>
    <cellStyle name="Total 4 7 5 2 2" xfId="31295" xr:uid="{00000000-0005-0000-0000-0000FB780000}"/>
    <cellStyle name="Total 4 7 5 3" xfId="18582" xr:uid="{00000000-0005-0000-0000-0000FC780000}"/>
    <cellStyle name="Total 4 7 6" xfId="12533" xr:uid="{00000000-0005-0000-0000-0000FD780000}"/>
    <cellStyle name="Total 4 7 6 2" xfId="27365" xr:uid="{00000000-0005-0000-0000-0000FE780000}"/>
    <cellStyle name="Total 4 7 7" xfId="10115" xr:uid="{00000000-0005-0000-0000-0000FF780000}"/>
    <cellStyle name="Total 4 7 7 2" xfId="24947" xr:uid="{00000000-0005-0000-0000-000000790000}"/>
    <cellStyle name="Total 4 8" xfId="3254" xr:uid="{00000000-0005-0000-0000-000001790000}"/>
    <cellStyle name="Total 4 8 2" xfId="7318" xr:uid="{00000000-0005-0000-0000-000002790000}"/>
    <cellStyle name="Total 4 8 2 2" xfId="17070" xr:uid="{00000000-0005-0000-0000-000003790000}"/>
    <cellStyle name="Total 4 8 2 2 2" xfId="31902" xr:uid="{00000000-0005-0000-0000-000004790000}"/>
    <cellStyle name="Total 4 8 2 3" xfId="18973" xr:uid="{00000000-0005-0000-0000-000005790000}"/>
    <cellStyle name="Total 4 8 3" xfId="13591" xr:uid="{00000000-0005-0000-0000-000006790000}"/>
    <cellStyle name="Total 4 8 3 2" xfId="28423" xr:uid="{00000000-0005-0000-0000-000007790000}"/>
    <cellStyle name="Total 4 8 4" xfId="10700" xr:uid="{00000000-0005-0000-0000-000008790000}"/>
    <cellStyle name="Total 4 8 4 2" xfId="25532" xr:uid="{00000000-0005-0000-0000-000009790000}"/>
    <cellStyle name="Total 4 9" xfId="3368" xr:uid="{00000000-0005-0000-0000-00000A790000}"/>
    <cellStyle name="Total 4 9 2" xfId="7431" xr:uid="{00000000-0005-0000-0000-00000B790000}"/>
    <cellStyle name="Total 4 9 2 2" xfId="17142" xr:uid="{00000000-0005-0000-0000-00000C790000}"/>
    <cellStyle name="Total 4 9 2 2 2" xfId="31974" xr:uid="{00000000-0005-0000-0000-00000D790000}"/>
    <cellStyle name="Total 4 9 2 3" xfId="19011" xr:uid="{00000000-0005-0000-0000-00000E790000}"/>
    <cellStyle name="Total 4 9 3" xfId="13705" xr:uid="{00000000-0005-0000-0000-00000F790000}"/>
    <cellStyle name="Total 4 9 3 2" xfId="28537" xr:uid="{00000000-0005-0000-0000-000010790000}"/>
    <cellStyle name="Total 4 9 4" xfId="10761" xr:uid="{00000000-0005-0000-0000-000011790000}"/>
    <cellStyle name="Total 4 9 4 2" xfId="25593" xr:uid="{00000000-0005-0000-0000-000012790000}"/>
    <cellStyle name="Total 5" xfId="1277" xr:uid="{00000000-0005-0000-0000-000013790000}"/>
    <cellStyle name="Total 5 10" xfId="2344" xr:uid="{00000000-0005-0000-0000-000014790000}"/>
    <cellStyle name="Total 5 10 2" xfId="6456" xr:uid="{00000000-0005-0000-0000-000015790000}"/>
    <cellStyle name="Total 5 10 2 2" xfId="16548" xr:uid="{00000000-0005-0000-0000-000016790000}"/>
    <cellStyle name="Total 5 10 2 2 2" xfId="31380" xr:uid="{00000000-0005-0000-0000-000017790000}"/>
    <cellStyle name="Total 5 10 2 3" xfId="18636" xr:uid="{00000000-0005-0000-0000-000018790000}"/>
    <cellStyle name="Total 5 10 3" xfId="12684" xr:uid="{00000000-0005-0000-0000-000019790000}"/>
    <cellStyle name="Total 5 10 3 2" xfId="27516" xr:uid="{00000000-0005-0000-0000-00001A790000}"/>
    <cellStyle name="Total 5 10 4" xfId="10199" xr:uid="{00000000-0005-0000-0000-00001B790000}"/>
    <cellStyle name="Total 5 10 4 2" xfId="25031" xr:uid="{00000000-0005-0000-0000-00001C790000}"/>
    <cellStyle name="Total 5 11" xfId="5306" xr:uid="{00000000-0005-0000-0000-00001D790000}"/>
    <cellStyle name="Total 5 11 2" xfId="9314" xr:uid="{00000000-0005-0000-0000-00001E790000}"/>
    <cellStyle name="Total 5 11 2 2" xfId="18181" xr:uid="{00000000-0005-0000-0000-00001F790000}"/>
    <cellStyle name="Total 5 11 2 2 2" xfId="33013" xr:uid="{00000000-0005-0000-0000-000020790000}"/>
    <cellStyle name="Total 5 11 2 3" xfId="19700" xr:uid="{00000000-0005-0000-0000-000021790000}"/>
    <cellStyle name="Total 5 11 3" xfId="15622" xr:uid="{00000000-0005-0000-0000-000022790000}"/>
    <cellStyle name="Total 5 11 3 2" xfId="30454" xr:uid="{00000000-0005-0000-0000-000023790000}"/>
    <cellStyle name="Total 5 12" xfId="5464" xr:uid="{00000000-0005-0000-0000-000024790000}"/>
    <cellStyle name="Total 5 12 2" xfId="15700" xr:uid="{00000000-0005-0000-0000-000025790000}"/>
    <cellStyle name="Total 5 12 2 2" xfId="30532" xr:uid="{00000000-0005-0000-0000-000026790000}"/>
    <cellStyle name="Total 5 12 3" xfId="18277" xr:uid="{00000000-0005-0000-0000-000027790000}"/>
    <cellStyle name="Total 5 13" xfId="9327" xr:uid="{00000000-0005-0000-0000-000028790000}"/>
    <cellStyle name="Total 5 13 2" xfId="24633" xr:uid="{00000000-0005-0000-0000-000029790000}"/>
    <cellStyle name="Total 5 14" xfId="5316" xr:uid="{00000000-0005-0000-0000-00002A790000}"/>
    <cellStyle name="Total 5 14 2" xfId="18190" xr:uid="{00000000-0005-0000-0000-00002B790000}"/>
    <cellStyle name="Total 5 2" xfId="1376" xr:uid="{00000000-0005-0000-0000-00002C790000}"/>
    <cellStyle name="Total 5 2 2" xfId="1880" xr:uid="{00000000-0005-0000-0000-00002D790000}"/>
    <cellStyle name="Total 5 2 2 2" xfId="3972" xr:uid="{00000000-0005-0000-0000-00002E790000}"/>
    <cellStyle name="Total 5 2 2 2 2" xfId="8021" xr:uid="{00000000-0005-0000-0000-00002F790000}"/>
    <cellStyle name="Total 5 2 2 2 2 2" xfId="17454" xr:uid="{00000000-0005-0000-0000-000030790000}"/>
    <cellStyle name="Total 5 2 2 2 2 2 2" xfId="32286" xr:uid="{00000000-0005-0000-0000-000031790000}"/>
    <cellStyle name="Total 5 2 2 2 2 3" xfId="19218" xr:uid="{00000000-0005-0000-0000-000032790000}"/>
    <cellStyle name="Total 5 2 2 2 3" xfId="14305" xr:uid="{00000000-0005-0000-0000-000033790000}"/>
    <cellStyle name="Total 5 2 2 2 3 2" xfId="29137" xr:uid="{00000000-0005-0000-0000-000034790000}"/>
    <cellStyle name="Total 5 2 2 2 4" xfId="11070" xr:uid="{00000000-0005-0000-0000-000035790000}"/>
    <cellStyle name="Total 5 2 2 2 4 2" xfId="25902" xr:uid="{00000000-0005-0000-0000-000036790000}"/>
    <cellStyle name="Total 5 2 2 3" xfId="4858" xr:uid="{00000000-0005-0000-0000-000037790000}"/>
    <cellStyle name="Total 5 2 2 3 2" xfId="8897" xr:uid="{00000000-0005-0000-0000-000038790000}"/>
    <cellStyle name="Total 5 2 2 3 2 2" xfId="17938" xr:uid="{00000000-0005-0000-0000-000039790000}"/>
    <cellStyle name="Total 5 2 2 3 2 2 2" xfId="32770" xr:uid="{00000000-0005-0000-0000-00003A790000}"/>
    <cellStyle name="Total 5 2 2 3 2 3" xfId="19540" xr:uid="{00000000-0005-0000-0000-00003B790000}"/>
    <cellStyle name="Total 5 2 2 3 3" xfId="15182" xr:uid="{00000000-0005-0000-0000-00003C790000}"/>
    <cellStyle name="Total 5 2 2 3 3 2" xfId="30014" xr:uid="{00000000-0005-0000-0000-00003D790000}"/>
    <cellStyle name="Total 5 2 2 3 4" xfId="11541" xr:uid="{00000000-0005-0000-0000-00003E790000}"/>
    <cellStyle name="Total 5 2 2 3 4 2" xfId="26373" xr:uid="{00000000-0005-0000-0000-00003F790000}"/>
    <cellStyle name="Total 5 2 2 4" xfId="2848" xr:uid="{00000000-0005-0000-0000-000040790000}"/>
    <cellStyle name="Total 5 2 2 4 2" xfId="6939" xr:uid="{00000000-0005-0000-0000-000041790000}"/>
    <cellStyle name="Total 5 2 2 4 2 2" xfId="16832" xr:uid="{00000000-0005-0000-0000-000042790000}"/>
    <cellStyle name="Total 5 2 2 4 2 2 2" xfId="31664" xr:uid="{00000000-0005-0000-0000-000043790000}"/>
    <cellStyle name="Total 5 2 2 4 2 3" xfId="18831" xr:uid="{00000000-0005-0000-0000-000044790000}"/>
    <cellStyle name="Total 5 2 2 4 3" xfId="13186" xr:uid="{00000000-0005-0000-0000-000045790000}"/>
    <cellStyle name="Total 5 2 2 4 3 2" xfId="28018" xr:uid="{00000000-0005-0000-0000-000046790000}"/>
    <cellStyle name="Total 5 2 2 4 4" xfId="10485" xr:uid="{00000000-0005-0000-0000-000047790000}"/>
    <cellStyle name="Total 5 2 2 4 4 2" xfId="25317" xr:uid="{00000000-0005-0000-0000-000048790000}"/>
    <cellStyle name="Total 5 2 2 5" xfId="6012" xr:uid="{00000000-0005-0000-0000-000049790000}"/>
    <cellStyle name="Total 5 2 2 5 2" xfId="16204" xr:uid="{00000000-0005-0000-0000-00004A790000}"/>
    <cellStyle name="Total 5 2 2 5 2 2" xfId="31036" xr:uid="{00000000-0005-0000-0000-00004B790000}"/>
    <cellStyle name="Total 5 2 2 5 3" xfId="18473" xr:uid="{00000000-0005-0000-0000-00004C790000}"/>
    <cellStyle name="Total 5 2 2 6" xfId="12274" xr:uid="{00000000-0005-0000-0000-00004D790000}"/>
    <cellStyle name="Total 5 2 2 6 2" xfId="27106" xr:uid="{00000000-0005-0000-0000-00004E790000}"/>
    <cellStyle name="Total 5 2 2 7" xfId="9870" xr:uid="{00000000-0005-0000-0000-00004F790000}"/>
    <cellStyle name="Total 5 2 2 7 2" xfId="24796" xr:uid="{00000000-0005-0000-0000-000050790000}"/>
    <cellStyle name="Total 5 2 3" xfId="3864" xr:uid="{00000000-0005-0000-0000-000051790000}"/>
    <cellStyle name="Total 5 2 3 2" xfId="7916" xr:uid="{00000000-0005-0000-0000-000052790000}"/>
    <cellStyle name="Total 5 2 3 2 2" xfId="17399" xr:uid="{00000000-0005-0000-0000-000053790000}"/>
    <cellStyle name="Total 5 2 3 2 2 2" xfId="32231" xr:uid="{00000000-0005-0000-0000-000054790000}"/>
    <cellStyle name="Total 5 2 3 2 3" xfId="19178" xr:uid="{00000000-0005-0000-0000-000055790000}"/>
    <cellStyle name="Total 5 2 3 3" xfId="14199" xr:uid="{00000000-0005-0000-0000-000056790000}"/>
    <cellStyle name="Total 5 2 3 3 2" xfId="29031" xr:uid="{00000000-0005-0000-0000-000057790000}"/>
    <cellStyle name="Total 5 2 3 4" xfId="11018" xr:uid="{00000000-0005-0000-0000-000058790000}"/>
    <cellStyle name="Total 5 2 3 4 2" xfId="25850" xr:uid="{00000000-0005-0000-0000-000059790000}"/>
    <cellStyle name="Total 5 2 4" xfId="4438" xr:uid="{00000000-0005-0000-0000-00005A790000}"/>
    <cellStyle name="Total 5 2 4 2" xfId="8477" xr:uid="{00000000-0005-0000-0000-00005B790000}"/>
    <cellStyle name="Total 5 2 4 2 2" xfId="17698" xr:uid="{00000000-0005-0000-0000-00005C790000}"/>
    <cellStyle name="Total 5 2 4 2 2 2" xfId="32530" xr:uid="{00000000-0005-0000-0000-00005D790000}"/>
    <cellStyle name="Total 5 2 4 2 3" xfId="19380" xr:uid="{00000000-0005-0000-0000-00005E790000}"/>
    <cellStyle name="Total 5 2 4 3" xfId="14767" xr:uid="{00000000-0005-0000-0000-00005F790000}"/>
    <cellStyle name="Total 5 2 4 3 2" xfId="29599" xr:uid="{00000000-0005-0000-0000-000060790000}"/>
    <cellStyle name="Total 5 2 4 4" xfId="11306" xr:uid="{00000000-0005-0000-0000-000061790000}"/>
    <cellStyle name="Total 5 2 4 4 2" xfId="26138" xr:uid="{00000000-0005-0000-0000-000062790000}"/>
    <cellStyle name="Total 5 2 5" xfId="2428" xr:uid="{00000000-0005-0000-0000-000063790000}"/>
    <cellStyle name="Total 5 2 5 2" xfId="6540" xr:uid="{00000000-0005-0000-0000-000064790000}"/>
    <cellStyle name="Total 5 2 5 2 2" xfId="16596" xr:uid="{00000000-0005-0000-0000-000065790000}"/>
    <cellStyle name="Total 5 2 5 2 2 2" xfId="31428" xr:uid="{00000000-0005-0000-0000-000066790000}"/>
    <cellStyle name="Total 5 2 5 2 3" xfId="18668" xr:uid="{00000000-0005-0000-0000-000067790000}"/>
    <cellStyle name="Total 5 2 5 3" xfId="12767" xr:uid="{00000000-0005-0000-0000-000068790000}"/>
    <cellStyle name="Total 5 2 5 3 2" xfId="27599" xr:uid="{00000000-0005-0000-0000-000069790000}"/>
    <cellStyle name="Total 5 2 5 4" xfId="10246" xr:uid="{00000000-0005-0000-0000-00006A790000}"/>
    <cellStyle name="Total 5 2 5 4 2" xfId="25078" xr:uid="{00000000-0005-0000-0000-00006B790000}"/>
    <cellStyle name="Total 5 2 6" xfId="5553" xr:uid="{00000000-0005-0000-0000-00006C790000}"/>
    <cellStyle name="Total 5 2 6 2" xfId="15788" xr:uid="{00000000-0005-0000-0000-00006D790000}"/>
    <cellStyle name="Total 5 2 6 2 2" xfId="30620" xr:uid="{00000000-0005-0000-0000-00006E790000}"/>
    <cellStyle name="Total 5 2 6 3" xfId="18310" xr:uid="{00000000-0005-0000-0000-00006F790000}"/>
    <cellStyle name="Total 5 2 7" xfId="11803" xr:uid="{00000000-0005-0000-0000-000070790000}"/>
    <cellStyle name="Total 5 2 7 2" xfId="26635" xr:uid="{00000000-0005-0000-0000-000071790000}"/>
    <cellStyle name="Total 5 2 8" xfId="9474" xr:uid="{00000000-0005-0000-0000-000072790000}"/>
    <cellStyle name="Total 5 2 8 2" xfId="19778" xr:uid="{00000000-0005-0000-0000-000073790000}"/>
    <cellStyle name="Total 5 3" xfId="1548" xr:uid="{00000000-0005-0000-0000-000074790000}"/>
    <cellStyle name="Total 5 3 2" xfId="2045" xr:uid="{00000000-0005-0000-0000-000075790000}"/>
    <cellStyle name="Total 5 3 2 2" xfId="4318" xr:uid="{00000000-0005-0000-0000-000076790000}"/>
    <cellStyle name="Total 5 3 2 2 2" xfId="8357" xr:uid="{00000000-0005-0000-0000-000077790000}"/>
    <cellStyle name="Total 5 3 2 2 2 2" xfId="17635" xr:uid="{00000000-0005-0000-0000-000078790000}"/>
    <cellStyle name="Total 5 3 2 2 2 2 2" xfId="32467" xr:uid="{00000000-0005-0000-0000-000079790000}"/>
    <cellStyle name="Total 5 3 2 2 2 3" xfId="19337" xr:uid="{00000000-0005-0000-0000-00007A790000}"/>
    <cellStyle name="Total 5 3 2 2 3" xfId="14649" xr:uid="{00000000-0005-0000-0000-00007B790000}"/>
    <cellStyle name="Total 5 3 2 2 3 2" xfId="29481" xr:uid="{00000000-0005-0000-0000-00007C790000}"/>
    <cellStyle name="Total 5 3 2 2 4" xfId="11245" xr:uid="{00000000-0005-0000-0000-00007D790000}"/>
    <cellStyle name="Total 5 3 2 2 4 2" xfId="26077" xr:uid="{00000000-0005-0000-0000-00007E790000}"/>
    <cellStyle name="Total 5 3 2 3" xfId="5013" xr:uid="{00000000-0005-0000-0000-00007F790000}"/>
    <cellStyle name="Total 5 3 2 3 2" xfId="9052" xr:uid="{00000000-0005-0000-0000-000080790000}"/>
    <cellStyle name="Total 5 3 2 3 2 2" xfId="17990" xr:uid="{00000000-0005-0000-0000-000081790000}"/>
    <cellStyle name="Total 5 3 2 3 2 2 2" xfId="32822" xr:uid="{00000000-0005-0000-0000-000082790000}"/>
    <cellStyle name="Total 5 3 2 3 2 3" xfId="19572" xr:uid="{00000000-0005-0000-0000-000083790000}"/>
    <cellStyle name="Total 5 3 2 3 3" xfId="15335" xr:uid="{00000000-0005-0000-0000-000084790000}"/>
    <cellStyle name="Total 5 3 2 3 3 2" xfId="30167" xr:uid="{00000000-0005-0000-0000-000085790000}"/>
    <cellStyle name="Total 5 3 2 3 4" xfId="11591" xr:uid="{00000000-0005-0000-0000-000086790000}"/>
    <cellStyle name="Total 5 3 2 3 4 2" xfId="26423" xr:uid="{00000000-0005-0000-0000-000087790000}"/>
    <cellStyle name="Total 5 3 2 4" xfId="3003" xr:uid="{00000000-0005-0000-0000-000088790000}"/>
    <cellStyle name="Total 5 3 2 4 2" xfId="7083" xr:uid="{00000000-0005-0000-0000-000089790000}"/>
    <cellStyle name="Total 5 3 2 4 2 2" xfId="16882" xr:uid="{00000000-0005-0000-0000-00008A790000}"/>
    <cellStyle name="Total 5 3 2 4 2 2 2" xfId="31714" xr:uid="{00000000-0005-0000-0000-00008B790000}"/>
    <cellStyle name="Total 5 3 2 4 2 3" xfId="18864" xr:uid="{00000000-0005-0000-0000-00008C790000}"/>
    <cellStyle name="Total 5 3 2 4 3" xfId="13341" xr:uid="{00000000-0005-0000-0000-00008D790000}"/>
    <cellStyle name="Total 5 3 2 4 3 2" xfId="28173" xr:uid="{00000000-0005-0000-0000-00008E790000}"/>
    <cellStyle name="Total 5 3 2 4 4" xfId="10537" xr:uid="{00000000-0005-0000-0000-00008F790000}"/>
    <cellStyle name="Total 5 3 2 4 4 2" xfId="25369" xr:uid="{00000000-0005-0000-0000-000090790000}"/>
    <cellStyle name="Total 5 3 2 5" xfId="6175" xr:uid="{00000000-0005-0000-0000-000091790000}"/>
    <cellStyle name="Total 5 3 2 5 2" xfId="16362" xr:uid="{00000000-0005-0000-0000-000092790000}"/>
    <cellStyle name="Total 5 3 2 5 2 2" xfId="31194" xr:uid="{00000000-0005-0000-0000-000093790000}"/>
    <cellStyle name="Total 5 3 2 5 3" xfId="18505" xr:uid="{00000000-0005-0000-0000-000094790000}"/>
    <cellStyle name="Total 5 3 2 6" xfId="12432" xr:uid="{00000000-0005-0000-0000-000095790000}"/>
    <cellStyle name="Total 5 3 2 6 2" xfId="27264" xr:uid="{00000000-0005-0000-0000-000096790000}"/>
    <cellStyle name="Total 5 3 2 7" xfId="10014" xr:uid="{00000000-0005-0000-0000-000097790000}"/>
    <cellStyle name="Total 5 3 2 7 2" xfId="24846" xr:uid="{00000000-0005-0000-0000-000098790000}"/>
    <cellStyle name="Total 5 3 3" xfId="3272" xr:uid="{00000000-0005-0000-0000-000099790000}"/>
    <cellStyle name="Total 5 3 3 2" xfId="7336" xr:uid="{00000000-0005-0000-0000-00009A790000}"/>
    <cellStyle name="Total 5 3 3 2 2" xfId="17080" xr:uid="{00000000-0005-0000-0000-00009B790000}"/>
    <cellStyle name="Total 5 3 3 2 2 2" xfId="31912" xr:uid="{00000000-0005-0000-0000-00009C790000}"/>
    <cellStyle name="Total 5 3 3 2 3" xfId="18979" xr:uid="{00000000-0005-0000-0000-00009D790000}"/>
    <cellStyle name="Total 5 3 3 3" xfId="13609" xr:uid="{00000000-0005-0000-0000-00009E790000}"/>
    <cellStyle name="Total 5 3 3 3 2" xfId="28441" xr:uid="{00000000-0005-0000-0000-00009F790000}"/>
    <cellStyle name="Total 5 3 3 4" xfId="10708" xr:uid="{00000000-0005-0000-0000-0000A0790000}"/>
    <cellStyle name="Total 5 3 3 4 2" xfId="25540" xr:uid="{00000000-0005-0000-0000-0000A1790000}"/>
    <cellStyle name="Total 5 3 4" xfId="4593" xr:uid="{00000000-0005-0000-0000-0000A2790000}"/>
    <cellStyle name="Total 5 3 4 2" xfId="8632" xr:uid="{00000000-0005-0000-0000-0000A3790000}"/>
    <cellStyle name="Total 5 3 4 2 2" xfId="17750" xr:uid="{00000000-0005-0000-0000-0000A4790000}"/>
    <cellStyle name="Total 5 3 4 2 2 2" xfId="32582" xr:uid="{00000000-0005-0000-0000-0000A5790000}"/>
    <cellStyle name="Total 5 3 4 2 3" xfId="19412" xr:uid="{00000000-0005-0000-0000-0000A6790000}"/>
    <cellStyle name="Total 5 3 4 3" xfId="14920" xr:uid="{00000000-0005-0000-0000-0000A7790000}"/>
    <cellStyle name="Total 5 3 4 3 2" xfId="29752" xr:uid="{00000000-0005-0000-0000-0000A8790000}"/>
    <cellStyle name="Total 5 3 4 4" xfId="11356" xr:uid="{00000000-0005-0000-0000-0000A9790000}"/>
    <cellStyle name="Total 5 3 4 4 2" xfId="26188" xr:uid="{00000000-0005-0000-0000-0000AA790000}"/>
    <cellStyle name="Total 5 3 5" xfId="2583" xr:uid="{00000000-0005-0000-0000-0000AB790000}"/>
    <cellStyle name="Total 5 3 5 2" xfId="6689" xr:uid="{00000000-0005-0000-0000-0000AC790000}"/>
    <cellStyle name="Total 5 3 5 2 2" xfId="16647" xr:uid="{00000000-0005-0000-0000-0000AD790000}"/>
    <cellStyle name="Total 5 3 5 2 2 2" xfId="31479" xr:uid="{00000000-0005-0000-0000-0000AE790000}"/>
    <cellStyle name="Total 5 3 5 2 3" xfId="18700" xr:uid="{00000000-0005-0000-0000-0000AF790000}"/>
    <cellStyle name="Total 5 3 5 3" xfId="12921" xr:uid="{00000000-0005-0000-0000-0000B0790000}"/>
    <cellStyle name="Total 5 3 5 3 2" xfId="27753" xr:uid="{00000000-0005-0000-0000-0000B1790000}"/>
    <cellStyle name="Total 5 3 5 4" xfId="10297" xr:uid="{00000000-0005-0000-0000-0000B2790000}"/>
    <cellStyle name="Total 5 3 5 4 2" xfId="25129" xr:uid="{00000000-0005-0000-0000-0000B3790000}"/>
    <cellStyle name="Total 5 3 6" xfId="5706" xr:uid="{00000000-0005-0000-0000-0000B4790000}"/>
    <cellStyle name="Total 5 3 6 2" xfId="15941" xr:uid="{00000000-0005-0000-0000-0000B5790000}"/>
    <cellStyle name="Total 5 3 6 2 2" xfId="30773" xr:uid="{00000000-0005-0000-0000-0000B6790000}"/>
    <cellStyle name="Total 5 3 6 3" xfId="18342" xr:uid="{00000000-0005-0000-0000-0000B7790000}"/>
    <cellStyle name="Total 5 3 7" xfId="11961" xr:uid="{00000000-0005-0000-0000-0000B8790000}"/>
    <cellStyle name="Total 5 3 7 2" xfId="26793" xr:uid="{00000000-0005-0000-0000-0000B9790000}"/>
    <cellStyle name="Total 5 3 8" xfId="9619" xr:uid="{00000000-0005-0000-0000-0000BA790000}"/>
    <cellStyle name="Total 5 3 8 2" xfId="19921" xr:uid="{00000000-0005-0000-0000-0000BB790000}"/>
    <cellStyle name="Total 5 4" xfId="1601" xr:uid="{00000000-0005-0000-0000-0000BC790000}"/>
    <cellStyle name="Total 5 4 2" xfId="2098" xr:uid="{00000000-0005-0000-0000-0000BD790000}"/>
    <cellStyle name="Total 5 4 2 2" xfId="4105" xr:uid="{00000000-0005-0000-0000-0000BE790000}"/>
    <cellStyle name="Total 5 4 2 2 2" xfId="8151" xr:uid="{00000000-0005-0000-0000-0000BF790000}"/>
    <cellStyle name="Total 5 4 2 2 2 2" xfId="17521" xr:uid="{00000000-0005-0000-0000-0000C0790000}"/>
    <cellStyle name="Total 5 4 2 2 2 2 2" xfId="32353" xr:uid="{00000000-0005-0000-0000-0000C1790000}"/>
    <cellStyle name="Total 5 4 2 2 2 3" xfId="19268" xr:uid="{00000000-0005-0000-0000-0000C2790000}"/>
    <cellStyle name="Total 5 4 2 2 3" xfId="14437" xr:uid="{00000000-0005-0000-0000-0000C3790000}"/>
    <cellStyle name="Total 5 4 2 2 3 2" xfId="29269" xr:uid="{00000000-0005-0000-0000-0000C4790000}"/>
    <cellStyle name="Total 5 4 2 2 4" xfId="11138" xr:uid="{00000000-0005-0000-0000-0000C5790000}"/>
    <cellStyle name="Total 5 4 2 2 4 2" xfId="25970" xr:uid="{00000000-0005-0000-0000-0000C6790000}"/>
    <cellStyle name="Total 5 4 2 3" xfId="5066" xr:uid="{00000000-0005-0000-0000-0000C7790000}"/>
    <cellStyle name="Total 5 4 2 3 2" xfId="9105" xr:uid="{00000000-0005-0000-0000-0000C8790000}"/>
    <cellStyle name="Total 5 4 2 3 2 2" xfId="18038" xr:uid="{00000000-0005-0000-0000-0000C9790000}"/>
    <cellStyle name="Total 5 4 2 3 2 2 2" xfId="32870" xr:uid="{00000000-0005-0000-0000-0000CA790000}"/>
    <cellStyle name="Total 5 4 2 3 2 3" xfId="19604" xr:uid="{00000000-0005-0000-0000-0000CB790000}"/>
    <cellStyle name="Total 5 4 2 3 3" xfId="15387" xr:uid="{00000000-0005-0000-0000-0000CC790000}"/>
    <cellStyle name="Total 5 4 2 3 3 2" xfId="30219" xr:uid="{00000000-0005-0000-0000-0000CD790000}"/>
    <cellStyle name="Total 5 4 2 3 4" xfId="11638" xr:uid="{00000000-0005-0000-0000-0000CE790000}"/>
    <cellStyle name="Total 5 4 2 3 4 2" xfId="26470" xr:uid="{00000000-0005-0000-0000-0000CF790000}"/>
    <cellStyle name="Total 5 4 2 4" xfId="3056" xr:uid="{00000000-0005-0000-0000-0000D0790000}"/>
    <cellStyle name="Total 5 4 2 4 2" xfId="7131" xr:uid="{00000000-0005-0000-0000-0000D1790000}"/>
    <cellStyle name="Total 5 4 2 4 2 2" xfId="16929" xr:uid="{00000000-0005-0000-0000-0000D2790000}"/>
    <cellStyle name="Total 5 4 2 4 2 2 2" xfId="31761" xr:uid="{00000000-0005-0000-0000-0000D3790000}"/>
    <cellStyle name="Total 5 4 2 4 2 3" xfId="18897" xr:uid="{00000000-0005-0000-0000-0000D4790000}"/>
    <cellStyle name="Total 5 4 2 4 3" xfId="13394" xr:uid="{00000000-0005-0000-0000-0000D5790000}"/>
    <cellStyle name="Total 5 4 2 4 3 2" xfId="28226" xr:uid="{00000000-0005-0000-0000-0000D6790000}"/>
    <cellStyle name="Total 5 4 2 4 4" xfId="10585" xr:uid="{00000000-0005-0000-0000-0000D7790000}"/>
    <cellStyle name="Total 5 4 2 4 4 2" xfId="25417" xr:uid="{00000000-0005-0000-0000-0000D8790000}"/>
    <cellStyle name="Total 5 4 2 5" xfId="6223" xr:uid="{00000000-0005-0000-0000-0000D9790000}"/>
    <cellStyle name="Total 5 4 2 5 2" xfId="16409" xr:uid="{00000000-0005-0000-0000-0000DA790000}"/>
    <cellStyle name="Total 5 4 2 5 2 2" xfId="31241" xr:uid="{00000000-0005-0000-0000-0000DB790000}"/>
    <cellStyle name="Total 5 4 2 5 3" xfId="18538" xr:uid="{00000000-0005-0000-0000-0000DC790000}"/>
    <cellStyle name="Total 5 4 2 6" xfId="12479" xr:uid="{00000000-0005-0000-0000-0000DD790000}"/>
    <cellStyle name="Total 5 4 2 6 2" xfId="27311" xr:uid="{00000000-0005-0000-0000-0000DE790000}"/>
    <cellStyle name="Total 5 4 2 7" xfId="10061" xr:uid="{00000000-0005-0000-0000-0000DF790000}"/>
    <cellStyle name="Total 5 4 2 7 2" xfId="24893" xr:uid="{00000000-0005-0000-0000-0000E0790000}"/>
    <cellStyle name="Total 5 4 3" xfId="3505" xr:uid="{00000000-0005-0000-0000-0000E1790000}"/>
    <cellStyle name="Total 5 4 3 2" xfId="7567" xr:uid="{00000000-0005-0000-0000-0000E2790000}"/>
    <cellStyle name="Total 5 4 3 2 2" xfId="17225" xr:uid="{00000000-0005-0000-0000-0000E3790000}"/>
    <cellStyle name="Total 5 4 3 2 2 2" xfId="32057" xr:uid="{00000000-0005-0000-0000-0000E4790000}"/>
    <cellStyle name="Total 5 4 3 2 3" xfId="19058" xr:uid="{00000000-0005-0000-0000-0000E5790000}"/>
    <cellStyle name="Total 5 4 3 3" xfId="13842" xr:uid="{00000000-0005-0000-0000-0000E6790000}"/>
    <cellStyle name="Total 5 4 3 3 2" xfId="28674" xr:uid="{00000000-0005-0000-0000-0000E7790000}"/>
    <cellStyle name="Total 5 4 3 4" xfId="10843" xr:uid="{00000000-0005-0000-0000-0000E8790000}"/>
    <cellStyle name="Total 5 4 3 4 2" xfId="25675" xr:uid="{00000000-0005-0000-0000-0000E9790000}"/>
    <cellStyle name="Total 5 4 4" xfId="4646" xr:uid="{00000000-0005-0000-0000-0000EA790000}"/>
    <cellStyle name="Total 5 4 4 2" xfId="8685" xr:uid="{00000000-0005-0000-0000-0000EB790000}"/>
    <cellStyle name="Total 5 4 4 2 2" xfId="17798" xr:uid="{00000000-0005-0000-0000-0000EC790000}"/>
    <cellStyle name="Total 5 4 4 2 2 2" xfId="32630" xr:uid="{00000000-0005-0000-0000-0000ED790000}"/>
    <cellStyle name="Total 5 4 4 2 3" xfId="19444" xr:uid="{00000000-0005-0000-0000-0000EE790000}"/>
    <cellStyle name="Total 5 4 4 3" xfId="14972" xr:uid="{00000000-0005-0000-0000-0000EF790000}"/>
    <cellStyle name="Total 5 4 4 3 2" xfId="29804" xr:uid="{00000000-0005-0000-0000-0000F0790000}"/>
    <cellStyle name="Total 5 4 4 4" xfId="11403" xr:uid="{00000000-0005-0000-0000-0000F1790000}"/>
    <cellStyle name="Total 5 4 4 4 2" xfId="26235" xr:uid="{00000000-0005-0000-0000-0000F2790000}"/>
    <cellStyle name="Total 5 4 5" xfId="2636" xr:uid="{00000000-0005-0000-0000-0000F3790000}"/>
    <cellStyle name="Total 5 4 5 2" xfId="6737" xr:uid="{00000000-0005-0000-0000-0000F4790000}"/>
    <cellStyle name="Total 5 4 5 2 2" xfId="16694" xr:uid="{00000000-0005-0000-0000-0000F5790000}"/>
    <cellStyle name="Total 5 4 5 2 2 2" xfId="31526" xr:uid="{00000000-0005-0000-0000-0000F6790000}"/>
    <cellStyle name="Total 5 4 5 2 3" xfId="18733" xr:uid="{00000000-0005-0000-0000-0000F7790000}"/>
    <cellStyle name="Total 5 4 5 3" xfId="12974" xr:uid="{00000000-0005-0000-0000-0000F8790000}"/>
    <cellStyle name="Total 5 4 5 3 2" xfId="27806" xr:uid="{00000000-0005-0000-0000-0000F9790000}"/>
    <cellStyle name="Total 5 4 5 4" xfId="10345" xr:uid="{00000000-0005-0000-0000-0000FA790000}"/>
    <cellStyle name="Total 5 4 5 4 2" xfId="25177" xr:uid="{00000000-0005-0000-0000-0000FB790000}"/>
    <cellStyle name="Total 5 4 6" xfId="5753" xr:uid="{00000000-0005-0000-0000-0000FC790000}"/>
    <cellStyle name="Total 5 4 6 2" xfId="15988" xr:uid="{00000000-0005-0000-0000-0000FD790000}"/>
    <cellStyle name="Total 5 4 6 2 2" xfId="30820" xr:uid="{00000000-0005-0000-0000-0000FE790000}"/>
    <cellStyle name="Total 5 4 6 3" xfId="18374" xr:uid="{00000000-0005-0000-0000-0000FF790000}"/>
    <cellStyle name="Total 5 4 7" xfId="12008" xr:uid="{00000000-0005-0000-0000-0000007A0000}"/>
    <cellStyle name="Total 5 4 7 2" xfId="26840" xr:uid="{00000000-0005-0000-0000-0000017A0000}"/>
    <cellStyle name="Total 5 4 8" xfId="9667" xr:uid="{00000000-0005-0000-0000-0000027A0000}"/>
    <cellStyle name="Total 5 4 8 2" xfId="19968" xr:uid="{00000000-0005-0000-0000-0000037A0000}"/>
    <cellStyle name="Total 5 5" xfId="1651" xr:uid="{00000000-0005-0000-0000-0000047A0000}"/>
    <cellStyle name="Total 5 5 2" xfId="2148" xr:uid="{00000000-0005-0000-0000-0000057A0000}"/>
    <cellStyle name="Total 5 5 2 2" xfId="3726" xr:uid="{00000000-0005-0000-0000-0000067A0000}"/>
    <cellStyle name="Total 5 5 2 2 2" xfId="7782" xr:uid="{00000000-0005-0000-0000-0000077A0000}"/>
    <cellStyle name="Total 5 5 2 2 2 2" xfId="17336" xr:uid="{00000000-0005-0000-0000-0000087A0000}"/>
    <cellStyle name="Total 5 5 2 2 2 2 2" xfId="32168" xr:uid="{00000000-0005-0000-0000-0000097A0000}"/>
    <cellStyle name="Total 5 5 2 2 2 3" xfId="19133" xr:uid="{00000000-0005-0000-0000-00000A7A0000}"/>
    <cellStyle name="Total 5 5 2 2 3" xfId="14061" xr:uid="{00000000-0005-0000-0000-00000B7A0000}"/>
    <cellStyle name="Total 5 5 2 2 3 2" xfId="28893" xr:uid="{00000000-0005-0000-0000-00000C7A0000}"/>
    <cellStyle name="Total 5 5 2 2 4" xfId="10952" xr:uid="{00000000-0005-0000-0000-00000D7A0000}"/>
    <cellStyle name="Total 5 5 2 2 4 2" xfId="25784" xr:uid="{00000000-0005-0000-0000-00000E7A0000}"/>
    <cellStyle name="Total 5 5 2 3" xfId="5116" xr:uid="{00000000-0005-0000-0000-00000F7A0000}"/>
    <cellStyle name="Total 5 5 2 3 2" xfId="9155" xr:uid="{00000000-0005-0000-0000-0000107A0000}"/>
    <cellStyle name="Total 5 5 2 3 2 2" xfId="18083" xr:uid="{00000000-0005-0000-0000-0000117A0000}"/>
    <cellStyle name="Total 5 5 2 3 2 2 2" xfId="32915" xr:uid="{00000000-0005-0000-0000-0000127A0000}"/>
    <cellStyle name="Total 5 5 2 3 2 3" xfId="19636" xr:uid="{00000000-0005-0000-0000-0000137A0000}"/>
    <cellStyle name="Total 5 5 2 3 3" xfId="15436" xr:uid="{00000000-0005-0000-0000-0000147A0000}"/>
    <cellStyle name="Total 5 5 2 3 3 2" xfId="30268" xr:uid="{00000000-0005-0000-0000-0000157A0000}"/>
    <cellStyle name="Total 5 5 2 3 4" xfId="11682" xr:uid="{00000000-0005-0000-0000-0000167A0000}"/>
    <cellStyle name="Total 5 5 2 3 4 2" xfId="26514" xr:uid="{00000000-0005-0000-0000-0000177A0000}"/>
    <cellStyle name="Total 5 5 2 4" xfId="3106" xr:uid="{00000000-0005-0000-0000-0000187A0000}"/>
    <cellStyle name="Total 5 5 2 4 2" xfId="7176" xr:uid="{00000000-0005-0000-0000-0000197A0000}"/>
    <cellStyle name="Total 5 5 2 4 2 2" xfId="16973" xr:uid="{00000000-0005-0000-0000-00001A7A0000}"/>
    <cellStyle name="Total 5 5 2 4 2 2 2" xfId="31805" xr:uid="{00000000-0005-0000-0000-00001B7A0000}"/>
    <cellStyle name="Total 5 5 2 4 2 3" xfId="18930" xr:uid="{00000000-0005-0000-0000-00001C7A0000}"/>
    <cellStyle name="Total 5 5 2 4 3" xfId="13444" xr:uid="{00000000-0005-0000-0000-00001D7A0000}"/>
    <cellStyle name="Total 5 5 2 4 3 2" xfId="28276" xr:uid="{00000000-0005-0000-0000-00001E7A0000}"/>
    <cellStyle name="Total 5 5 2 4 4" xfId="10630" xr:uid="{00000000-0005-0000-0000-00001F7A0000}"/>
    <cellStyle name="Total 5 5 2 4 4 2" xfId="25462" xr:uid="{00000000-0005-0000-0000-0000207A0000}"/>
    <cellStyle name="Total 5 5 2 5" xfId="6268" xr:uid="{00000000-0005-0000-0000-0000217A0000}"/>
    <cellStyle name="Total 5 5 2 5 2" xfId="16453" xr:uid="{00000000-0005-0000-0000-0000227A0000}"/>
    <cellStyle name="Total 5 5 2 5 2 2" xfId="31285" xr:uid="{00000000-0005-0000-0000-0000237A0000}"/>
    <cellStyle name="Total 5 5 2 5 3" xfId="18571" xr:uid="{00000000-0005-0000-0000-0000247A0000}"/>
    <cellStyle name="Total 5 5 2 6" xfId="12523" xr:uid="{00000000-0005-0000-0000-0000257A0000}"/>
    <cellStyle name="Total 5 5 2 6 2" xfId="27355" xr:uid="{00000000-0005-0000-0000-0000267A0000}"/>
    <cellStyle name="Total 5 5 2 7" xfId="10105" xr:uid="{00000000-0005-0000-0000-0000277A0000}"/>
    <cellStyle name="Total 5 5 2 7 2" xfId="24937" xr:uid="{00000000-0005-0000-0000-0000287A0000}"/>
    <cellStyle name="Total 5 5 3" xfId="3571" xr:uid="{00000000-0005-0000-0000-0000297A0000}"/>
    <cellStyle name="Total 5 5 3 2" xfId="7633" xr:uid="{00000000-0005-0000-0000-00002A7A0000}"/>
    <cellStyle name="Total 5 5 3 2 2" xfId="17262" xr:uid="{00000000-0005-0000-0000-00002B7A0000}"/>
    <cellStyle name="Total 5 5 3 2 2 2" xfId="32094" xr:uid="{00000000-0005-0000-0000-00002C7A0000}"/>
    <cellStyle name="Total 5 5 3 2 3" xfId="19085" xr:uid="{00000000-0005-0000-0000-00002D7A0000}"/>
    <cellStyle name="Total 5 5 3 3" xfId="13907" xr:uid="{00000000-0005-0000-0000-00002E7A0000}"/>
    <cellStyle name="Total 5 5 3 3 2" xfId="28739" xr:uid="{00000000-0005-0000-0000-00002F7A0000}"/>
    <cellStyle name="Total 5 5 3 4" xfId="10879" xr:uid="{00000000-0005-0000-0000-0000307A0000}"/>
    <cellStyle name="Total 5 5 3 4 2" xfId="25711" xr:uid="{00000000-0005-0000-0000-0000317A0000}"/>
    <cellStyle name="Total 5 5 4" xfId="4696" xr:uid="{00000000-0005-0000-0000-0000327A0000}"/>
    <cellStyle name="Total 5 5 4 2" xfId="8735" xr:uid="{00000000-0005-0000-0000-0000337A0000}"/>
    <cellStyle name="Total 5 5 4 2 2" xfId="17843" xr:uid="{00000000-0005-0000-0000-0000347A0000}"/>
    <cellStyle name="Total 5 5 4 2 2 2" xfId="32675" xr:uid="{00000000-0005-0000-0000-0000357A0000}"/>
    <cellStyle name="Total 5 5 4 2 3" xfId="19476" xr:uid="{00000000-0005-0000-0000-0000367A0000}"/>
    <cellStyle name="Total 5 5 4 3" xfId="15021" xr:uid="{00000000-0005-0000-0000-0000377A0000}"/>
    <cellStyle name="Total 5 5 4 3 2" xfId="29853" xr:uid="{00000000-0005-0000-0000-0000387A0000}"/>
    <cellStyle name="Total 5 5 4 4" xfId="11447" xr:uid="{00000000-0005-0000-0000-0000397A0000}"/>
    <cellStyle name="Total 5 5 4 4 2" xfId="26279" xr:uid="{00000000-0005-0000-0000-00003A7A0000}"/>
    <cellStyle name="Total 5 5 5" xfId="2686" xr:uid="{00000000-0005-0000-0000-00003B7A0000}"/>
    <cellStyle name="Total 5 5 5 2" xfId="6782" xr:uid="{00000000-0005-0000-0000-00003C7A0000}"/>
    <cellStyle name="Total 5 5 5 2 2" xfId="16738" xr:uid="{00000000-0005-0000-0000-00003D7A0000}"/>
    <cellStyle name="Total 5 5 5 2 2 2" xfId="31570" xr:uid="{00000000-0005-0000-0000-00003E7A0000}"/>
    <cellStyle name="Total 5 5 5 2 3" xfId="18766" xr:uid="{00000000-0005-0000-0000-00003F7A0000}"/>
    <cellStyle name="Total 5 5 5 3" xfId="13024" xr:uid="{00000000-0005-0000-0000-0000407A0000}"/>
    <cellStyle name="Total 5 5 5 3 2" xfId="27856" xr:uid="{00000000-0005-0000-0000-0000417A0000}"/>
    <cellStyle name="Total 5 5 5 4" xfId="10390" xr:uid="{00000000-0005-0000-0000-0000427A0000}"/>
    <cellStyle name="Total 5 5 5 4 2" xfId="25222" xr:uid="{00000000-0005-0000-0000-0000437A0000}"/>
    <cellStyle name="Total 5 5 6" xfId="5798" xr:uid="{00000000-0005-0000-0000-0000447A0000}"/>
    <cellStyle name="Total 5 5 6 2" xfId="16032" xr:uid="{00000000-0005-0000-0000-0000457A0000}"/>
    <cellStyle name="Total 5 5 6 2 2" xfId="30864" xr:uid="{00000000-0005-0000-0000-0000467A0000}"/>
    <cellStyle name="Total 5 5 6 3" xfId="18407" xr:uid="{00000000-0005-0000-0000-0000477A0000}"/>
    <cellStyle name="Total 5 5 7" xfId="12052" xr:uid="{00000000-0005-0000-0000-0000487A0000}"/>
    <cellStyle name="Total 5 5 7 2" xfId="26884" xr:uid="{00000000-0005-0000-0000-0000497A0000}"/>
    <cellStyle name="Total 5 5 8" xfId="9712" xr:uid="{00000000-0005-0000-0000-00004A7A0000}"/>
    <cellStyle name="Total 5 5 8 2" xfId="20012" xr:uid="{00000000-0005-0000-0000-00004B7A0000}"/>
    <cellStyle name="Total 5 6" xfId="1802" xr:uid="{00000000-0005-0000-0000-00004C7A0000}"/>
    <cellStyle name="Total 5 6 2" xfId="3894" xr:uid="{00000000-0005-0000-0000-00004D7A0000}"/>
    <cellStyle name="Total 5 6 2 2" xfId="7945" xr:uid="{00000000-0005-0000-0000-00004E7A0000}"/>
    <cellStyle name="Total 5 6 2 2 2" xfId="17417" xr:uid="{00000000-0005-0000-0000-00004F7A0000}"/>
    <cellStyle name="Total 5 6 2 2 2 2" xfId="32249" xr:uid="{00000000-0005-0000-0000-0000507A0000}"/>
    <cellStyle name="Total 5 6 2 2 3" xfId="19190" xr:uid="{00000000-0005-0000-0000-0000517A0000}"/>
    <cellStyle name="Total 5 6 2 3" xfId="14227" xr:uid="{00000000-0005-0000-0000-0000527A0000}"/>
    <cellStyle name="Total 5 6 2 3 2" xfId="29059" xr:uid="{00000000-0005-0000-0000-0000537A0000}"/>
    <cellStyle name="Total 5 6 2 4" xfId="11033" xr:uid="{00000000-0005-0000-0000-0000547A0000}"/>
    <cellStyle name="Total 5 6 2 4 2" xfId="25865" xr:uid="{00000000-0005-0000-0000-0000557A0000}"/>
    <cellStyle name="Total 5 6 3" xfId="4780" xr:uid="{00000000-0005-0000-0000-0000567A0000}"/>
    <cellStyle name="Total 5 6 3 2" xfId="8819" xr:uid="{00000000-0005-0000-0000-0000577A0000}"/>
    <cellStyle name="Total 5 6 3 2 2" xfId="17891" xr:uid="{00000000-0005-0000-0000-0000587A0000}"/>
    <cellStyle name="Total 5 6 3 2 2 2" xfId="32723" xr:uid="{00000000-0005-0000-0000-0000597A0000}"/>
    <cellStyle name="Total 5 6 3 2 3" xfId="19508" xr:uid="{00000000-0005-0000-0000-00005A7A0000}"/>
    <cellStyle name="Total 5 6 3 3" xfId="15104" xr:uid="{00000000-0005-0000-0000-00005B7A0000}"/>
    <cellStyle name="Total 5 6 3 3 2" xfId="29936" xr:uid="{00000000-0005-0000-0000-00005C7A0000}"/>
    <cellStyle name="Total 5 6 3 4" xfId="11494" xr:uid="{00000000-0005-0000-0000-00005D7A0000}"/>
    <cellStyle name="Total 5 6 3 4 2" xfId="26326" xr:uid="{00000000-0005-0000-0000-00005E7A0000}"/>
    <cellStyle name="Total 5 6 4" xfId="2770" xr:uid="{00000000-0005-0000-0000-00005F7A0000}"/>
    <cellStyle name="Total 5 6 4 2" xfId="6861" xr:uid="{00000000-0005-0000-0000-0000607A0000}"/>
    <cellStyle name="Total 5 6 4 2 2" xfId="16785" xr:uid="{00000000-0005-0000-0000-0000617A0000}"/>
    <cellStyle name="Total 5 6 4 2 2 2" xfId="31617" xr:uid="{00000000-0005-0000-0000-0000627A0000}"/>
    <cellStyle name="Total 5 6 4 2 3" xfId="18799" xr:uid="{00000000-0005-0000-0000-0000637A0000}"/>
    <cellStyle name="Total 5 6 4 3" xfId="13108" xr:uid="{00000000-0005-0000-0000-0000647A0000}"/>
    <cellStyle name="Total 5 6 4 3 2" xfId="27940" xr:uid="{00000000-0005-0000-0000-0000657A0000}"/>
    <cellStyle name="Total 5 6 4 4" xfId="10438" xr:uid="{00000000-0005-0000-0000-0000667A0000}"/>
    <cellStyle name="Total 5 6 4 4 2" xfId="25270" xr:uid="{00000000-0005-0000-0000-0000677A0000}"/>
    <cellStyle name="Total 5 6 5" xfId="5934" xr:uid="{00000000-0005-0000-0000-0000687A0000}"/>
    <cellStyle name="Total 5 6 5 2" xfId="16126" xr:uid="{00000000-0005-0000-0000-0000697A0000}"/>
    <cellStyle name="Total 5 6 5 2 2" xfId="30958" xr:uid="{00000000-0005-0000-0000-00006A7A0000}"/>
    <cellStyle name="Total 5 6 5 3" xfId="18441" xr:uid="{00000000-0005-0000-0000-00006B7A0000}"/>
    <cellStyle name="Total 5 6 6" xfId="12196" xr:uid="{00000000-0005-0000-0000-00006C7A0000}"/>
    <cellStyle name="Total 5 6 6 2" xfId="27028" xr:uid="{00000000-0005-0000-0000-00006D7A0000}"/>
    <cellStyle name="Total 5 6 7" xfId="9792" xr:uid="{00000000-0005-0000-0000-00006E7A0000}"/>
    <cellStyle name="Total 5 6 7 2" xfId="24749" xr:uid="{00000000-0005-0000-0000-00006F7A0000}"/>
    <cellStyle name="Total 5 7" xfId="2164" xr:uid="{00000000-0005-0000-0000-0000707A0000}"/>
    <cellStyle name="Total 5 7 2" xfId="3886" xr:uid="{00000000-0005-0000-0000-0000717A0000}"/>
    <cellStyle name="Total 5 7 2 2" xfId="7937" xr:uid="{00000000-0005-0000-0000-0000727A0000}"/>
    <cellStyle name="Total 5 7 2 2 2" xfId="17411" xr:uid="{00000000-0005-0000-0000-0000737A0000}"/>
    <cellStyle name="Total 5 7 2 2 2 2" xfId="32243" xr:uid="{00000000-0005-0000-0000-0000747A0000}"/>
    <cellStyle name="Total 5 7 2 2 3" xfId="19187" xr:uid="{00000000-0005-0000-0000-0000757A0000}"/>
    <cellStyle name="Total 5 7 2 3" xfId="14220" xr:uid="{00000000-0005-0000-0000-0000767A0000}"/>
    <cellStyle name="Total 5 7 2 3 2" xfId="29052" xr:uid="{00000000-0005-0000-0000-0000777A0000}"/>
    <cellStyle name="Total 5 7 2 4" xfId="11028" xr:uid="{00000000-0005-0000-0000-0000787A0000}"/>
    <cellStyle name="Total 5 7 2 4 2" xfId="25860" xr:uid="{00000000-0005-0000-0000-0000797A0000}"/>
    <cellStyle name="Total 5 7 3" xfId="5132" xr:uid="{00000000-0005-0000-0000-00007A7A0000}"/>
    <cellStyle name="Total 5 7 3 2" xfId="9171" xr:uid="{00000000-0005-0000-0000-00007B7A0000}"/>
    <cellStyle name="Total 5 7 3 2 2" xfId="18094" xr:uid="{00000000-0005-0000-0000-00007C7A0000}"/>
    <cellStyle name="Total 5 7 3 2 2 2" xfId="32926" xr:uid="{00000000-0005-0000-0000-00007D7A0000}"/>
    <cellStyle name="Total 5 7 3 2 3" xfId="19645" xr:uid="{00000000-0005-0000-0000-00007E7A0000}"/>
    <cellStyle name="Total 5 7 3 3" xfId="15450" xr:uid="{00000000-0005-0000-0000-00007F7A0000}"/>
    <cellStyle name="Total 5 7 3 3 2" xfId="30282" xr:uid="{00000000-0005-0000-0000-0000807A0000}"/>
    <cellStyle name="Total 5 7 3 4" xfId="11691" xr:uid="{00000000-0005-0000-0000-0000817A0000}"/>
    <cellStyle name="Total 5 7 3 4 2" xfId="26523" xr:uid="{00000000-0005-0000-0000-0000827A0000}"/>
    <cellStyle name="Total 5 7 4" xfId="4162" xr:uid="{00000000-0005-0000-0000-0000837A0000}"/>
    <cellStyle name="Total 5 7 4 2" xfId="8203" xr:uid="{00000000-0005-0000-0000-0000847A0000}"/>
    <cellStyle name="Total 5 7 4 2 2" xfId="17550" xr:uid="{00000000-0005-0000-0000-0000857A0000}"/>
    <cellStyle name="Total 5 7 4 2 2 2" xfId="32382" xr:uid="{00000000-0005-0000-0000-0000867A0000}"/>
    <cellStyle name="Total 5 7 4 2 3" xfId="19288" xr:uid="{00000000-0005-0000-0000-0000877A0000}"/>
    <cellStyle name="Total 5 7 4 3" xfId="14494" xr:uid="{00000000-0005-0000-0000-0000887A0000}"/>
    <cellStyle name="Total 5 7 4 3 2" xfId="29326" xr:uid="{00000000-0005-0000-0000-0000897A0000}"/>
    <cellStyle name="Total 5 7 4 4" xfId="11170" xr:uid="{00000000-0005-0000-0000-00008A7A0000}"/>
    <cellStyle name="Total 5 7 4 4 2" xfId="26002" xr:uid="{00000000-0005-0000-0000-00008B7A0000}"/>
    <cellStyle name="Total 5 7 5" xfId="6278" xr:uid="{00000000-0005-0000-0000-00008C7A0000}"/>
    <cellStyle name="Total 5 7 5 2" xfId="16462" xr:uid="{00000000-0005-0000-0000-00008D7A0000}"/>
    <cellStyle name="Total 5 7 5 2 2" xfId="31294" xr:uid="{00000000-0005-0000-0000-00008E7A0000}"/>
    <cellStyle name="Total 5 7 5 3" xfId="18581" xr:uid="{00000000-0005-0000-0000-00008F7A0000}"/>
    <cellStyle name="Total 5 7 6" xfId="12532" xr:uid="{00000000-0005-0000-0000-0000907A0000}"/>
    <cellStyle name="Total 5 7 6 2" xfId="27364" xr:uid="{00000000-0005-0000-0000-0000917A0000}"/>
    <cellStyle name="Total 5 7 7" xfId="10114" xr:uid="{00000000-0005-0000-0000-0000927A0000}"/>
    <cellStyle name="Total 5 7 7 2" xfId="24946" xr:uid="{00000000-0005-0000-0000-0000937A0000}"/>
    <cellStyle name="Total 5 8" xfId="3151" xr:uid="{00000000-0005-0000-0000-0000947A0000}"/>
    <cellStyle name="Total 5 8 2" xfId="7215" xr:uid="{00000000-0005-0000-0000-0000957A0000}"/>
    <cellStyle name="Total 5 8 2 2" xfId="16994" xr:uid="{00000000-0005-0000-0000-0000967A0000}"/>
    <cellStyle name="Total 5 8 2 2 2" xfId="31826" xr:uid="{00000000-0005-0000-0000-0000977A0000}"/>
    <cellStyle name="Total 5 8 2 3" xfId="18942" xr:uid="{00000000-0005-0000-0000-0000987A0000}"/>
    <cellStyle name="Total 5 8 3" xfId="13489" xr:uid="{00000000-0005-0000-0000-0000997A0000}"/>
    <cellStyle name="Total 5 8 3 2" xfId="28321" xr:uid="{00000000-0005-0000-0000-00009A7A0000}"/>
    <cellStyle name="Total 5 8 4" xfId="10646" xr:uid="{00000000-0005-0000-0000-00009B7A0000}"/>
    <cellStyle name="Total 5 8 4 2" xfId="25478" xr:uid="{00000000-0005-0000-0000-00009C7A0000}"/>
    <cellStyle name="Total 5 9" xfId="3142" xr:uid="{00000000-0005-0000-0000-00009D7A0000}"/>
    <cellStyle name="Total 5 9 2" xfId="7206" xr:uid="{00000000-0005-0000-0000-00009E7A0000}"/>
    <cellStyle name="Total 5 9 2 2" xfId="16990" xr:uid="{00000000-0005-0000-0000-00009F7A0000}"/>
    <cellStyle name="Total 5 9 2 2 2" xfId="31822" xr:uid="{00000000-0005-0000-0000-0000A07A0000}"/>
    <cellStyle name="Total 5 9 2 3" xfId="18941" xr:uid="{00000000-0005-0000-0000-0000A17A0000}"/>
    <cellStyle name="Total 5 9 3" xfId="13480" xr:uid="{00000000-0005-0000-0000-0000A27A0000}"/>
    <cellStyle name="Total 5 9 3 2" xfId="28312" xr:uid="{00000000-0005-0000-0000-0000A37A0000}"/>
    <cellStyle name="Total 5 9 4" xfId="10644" xr:uid="{00000000-0005-0000-0000-0000A47A0000}"/>
    <cellStyle name="Total 5 9 4 2" xfId="25476" xr:uid="{00000000-0005-0000-0000-0000A57A0000}"/>
    <cellStyle name="Total 6" xfId="1278" xr:uid="{00000000-0005-0000-0000-0000A67A0000}"/>
    <cellStyle name="Total 6 10" xfId="2345" xr:uid="{00000000-0005-0000-0000-0000A77A0000}"/>
    <cellStyle name="Total 6 10 2" xfId="6457" xr:uid="{00000000-0005-0000-0000-0000A87A0000}"/>
    <cellStyle name="Total 6 10 2 2" xfId="16549" xr:uid="{00000000-0005-0000-0000-0000A97A0000}"/>
    <cellStyle name="Total 6 10 2 2 2" xfId="31381" xr:uid="{00000000-0005-0000-0000-0000AA7A0000}"/>
    <cellStyle name="Total 6 10 2 3" xfId="18637" xr:uid="{00000000-0005-0000-0000-0000AB7A0000}"/>
    <cellStyle name="Total 6 10 3" xfId="12685" xr:uid="{00000000-0005-0000-0000-0000AC7A0000}"/>
    <cellStyle name="Total 6 10 3 2" xfId="27517" xr:uid="{00000000-0005-0000-0000-0000AD7A0000}"/>
    <cellStyle name="Total 6 10 4" xfId="10200" xr:uid="{00000000-0005-0000-0000-0000AE7A0000}"/>
    <cellStyle name="Total 6 10 4 2" xfId="25032" xr:uid="{00000000-0005-0000-0000-0000AF7A0000}"/>
    <cellStyle name="Total 6 11" xfId="5307" xr:uid="{00000000-0005-0000-0000-0000B07A0000}"/>
    <cellStyle name="Total 6 11 2" xfId="9315" xr:uid="{00000000-0005-0000-0000-0000B17A0000}"/>
    <cellStyle name="Total 6 11 2 2" xfId="18182" xr:uid="{00000000-0005-0000-0000-0000B27A0000}"/>
    <cellStyle name="Total 6 11 2 2 2" xfId="33014" xr:uid="{00000000-0005-0000-0000-0000B37A0000}"/>
    <cellStyle name="Total 6 11 2 3" xfId="19701" xr:uid="{00000000-0005-0000-0000-0000B47A0000}"/>
    <cellStyle name="Total 6 11 3" xfId="15623" xr:uid="{00000000-0005-0000-0000-0000B57A0000}"/>
    <cellStyle name="Total 6 11 3 2" xfId="30455" xr:uid="{00000000-0005-0000-0000-0000B67A0000}"/>
    <cellStyle name="Total 6 12" xfId="5465" xr:uid="{00000000-0005-0000-0000-0000B77A0000}"/>
    <cellStyle name="Total 6 12 2" xfId="15701" xr:uid="{00000000-0005-0000-0000-0000B87A0000}"/>
    <cellStyle name="Total 6 12 2 2" xfId="30533" xr:uid="{00000000-0005-0000-0000-0000B97A0000}"/>
    <cellStyle name="Total 6 12 3" xfId="18278" xr:uid="{00000000-0005-0000-0000-0000BA7A0000}"/>
    <cellStyle name="Total 6 13" xfId="9326" xr:uid="{00000000-0005-0000-0000-0000BB7A0000}"/>
    <cellStyle name="Total 6 13 2" xfId="24632" xr:uid="{00000000-0005-0000-0000-0000BC7A0000}"/>
    <cellStyle name="Total 6 14" xfId="5315" xr:uid="{00000000-0005-0000-0000-0000BD7A0000}"/>
    <cellStyle name="Total 6 14 2" xfId="18189" xr:uid="{00000000-0005-0000-0000-0000BE7A0000}"/>
    <cellStyle name="Total 6 2" xfId="1377" xr:uid="{00000000-0005-0000-0000-0000BF7A0000}"/>
    <cellStyle name="Total 6 2 2" xfId="1881" xr:uid="{00000000-0005-0000-0000-0000C07A0000}"/>
    <cellStyle name="Total 6 2 2 2" xfId="3905" xr:uid="{00000000-0005-0000-0000-0000C17A0000}"/>
    <cellStyle name="Total 6 2 2 2 2" xfId="7956" xr:uid="{00000000-0005-0000-0000-0000C27A0000}"/>
    <cellStyle name="Total 6 2 2 2 2 2" xfId="17423" xr:uid="{00000000-0005-0000-0000-0000C37A0000}"/>
    <cellStyle name="Total 6 2 2 2 2 2 2" xfId="32255" xr:uid="{00000000-0005-0000-0000-0000C47A0000}"/>
    <cellStyle name="Total 6 2 2 2 2 3" xfId="19196" xr:uid="{00000000-0005-0000-0000-0000C57A0000}"/>
    <cellStyle name="Total 6 2 2 2 3" xfId="14238" xr:uid="{00000000-0005-0000-0000-0000C67A0000}"/>
    <cellStyle name="Total 6 2 2 2 3 2" xfId="29070" xr:uid="{00000000-0005-0000-0000-0000C77A0000}"/>
    <cellStyle name="Total 6 2 2 2 4" xfId="11039" xr:uid="{00000000-0005-0000-0000-0000C87A0000}"/>
    <cellStyle name="Total 6 2 2 2 4 2" xfId="25871" xr:uid="{00000000-0005-0000-0000-0000C97A0000}"/>
    <cellStyle name="Total 6 2 2 3" xfId="4859" xr:uid="{00000000-0005-0000-0000-0000CA7A0000}"/>
    <cellStyle name="Total 6 2 2 3 2" xfId="8898" xr:uid="{00000000-0005-0000-0000-0000CB7A0000}"/>
    <cellStyle name="Total 6 2 2 3 2 2" xfId="17939" xr:uid="{00000000-0005-0000-0000-0000CC7A0000}"/>
    <cellStyle name="Total 6 2 2 3 2 2 2" xfId="32771" xr:uid="{00000000-0005-0000-0000-0000CD7A0000}"/>
    <cellStyle name="Total 6 2 2 3 2 3" xfId="19541" xr:uid="{00000000-0005-0000-0000-0000CE7A0000}"/>
    <cellStyle name="Total 6 2 2 3 3" xfId="15183" xr:uid="{00000000-0005-0000-0000-0000CF7A0000}"/>
    <cellStyle name="Total 6 2 2 3 3 2" xfId="30015" xr:uid="{00000000-0005-0000-0000-0000D07A0000}"/>
    <cellStyle name="Total 6 2 2 3 4" xfId="11542" xr:uid="{00000000-0005-0000-0000-0000D17A0000}"/>
    <cellStyle name="Total 6 2 2 3 4 2" xfId="26374" xr:uid="{00000000-0005-0000-0000-0000D27A0000}"/>
    <cellStyle name="Total 6 2 2 4" xfId="2849" xr:uid="{00000000-0005-0000-0000-0000D37A0000}"/>
    <cellStyle name="Total 6 2 2 4 2" xfId="6940" xr:uid="{00000000-0005-0000-0000-0000D47A0000}"/>
    <cellStyle name="Total 6 2 2 4 2 2" xfId="16833" xr:uid="{00000000-0005-0000-0000-0000D57A0000}"/>
    <cellStyle name="Total 6 2 2 4 2 2 2" xfId="31665" xr:uid="{00000000-0005-0000-0000-0000D67A0000}"/>
    <cellStyle name="Total 6 2 2 4 2 3" xfId="18832" xr:uid="{00000000-0005-0000-0000-0000D77A0000}"/>
    <cellStyle name="Total 6 2 2 4 3" xfId="13187" xr:uid="{00000000-0005-0000-0000-0000D87A0000}"/>
    <cellStyle name="Total 6 2 2 4 3 2" xfId="28019" xr:uid="{00000000-0005-0000-0000-0000D97A0000}"/>
    <cellStyle name="Total 6 2 2 4 4" xfId="10486" xr:uid="{00000000-0005-0000-0000-0000DA7A0000}"/>
    <cellStyle name="Total 6 2 2 4 4 2" xfId="25318" xr:uid="{00000000-0005-0000-0000-0000DB7A0000}"/>
    <cellStyle name="Total 6 2 2 5" xfId="6013" xr:uid="{00000000-0005-0000-0000-0000DC7A0000}"/>
    <cellStyle name="Total 6 2 2 5 2" xfId="16205" xr:uid="{00000000-0005-0000-0000-0000DD7A0000}"/>
    <cellStyle name="Total 6 2 2 5 2 2" xfId="31037" xr:uid="{00000000-0005-0000-0000-0000DE7A0000}"/>
    <cellStyle name="Total 6 2 2 5 3" xfId="18474" xr:uid="{00000000-0005-0000-0000-0000DF7A0000}"/>
    <cellStyle name="Total 6 2 2 6" xfId="12275" xr:uid="{00000000-0005-0000-0000-0000E07A0000}"/>
    <cellStyle name="Total 6 2 2 6 2" xfId="27107" xr:uid="{00000000-0005-0000-0000-0000E17A0000}"/>
    <cellStyle name="Total 6 2 2 7" xfId="9871" xr:uid="{00000000-0005-0000-0000-0000E27A0000}"/>
    <cellStyle name="Total 6 2 2 7 2" xfId="24797" xr:uid="{00000000-0005-0000-0000-0000E37A0000}"/>
    <cellStyle name="Total 6 2 3" xfId="4124" xr:uid="{00000000-0005-0000-0000-0000E47A0000}"/>
    <cellStyle name="Total 6 2 3 2" xfId="8168" xr:uid="{00000000-0005-0000-0000-0000E57A0000}"/>
    <cellStyle name="Total 6 2 3 2 2" xfId="17530" xr:uid="{00000000-0005-0000-0000-0000E67A0000}"/>
    <cellStyle name="Total 6 2 3 2 2 2" xfId="32362" xr:uid="{00000000-0005-0000-0000-0000E77A0000}"/>
    <cellStyle name="Total 6 2 3 2 3" xfId="19275" xr:uid="{00000000-0005-0000-0000-0000E87A0000}"/>
    <cellStyle name="Total 6 2 3 3" xfId="14456" xr:uid="{00000000-0005-0000-0000-0000E97A0000}"/>
    <cellStyle name="Total 6 2 3 3 2" xfId="29288" xr:uid="{00000000-0005-0000-0000-0000EA7A0000}"/>
    <cellStyle name="Total 6 2 3 4" xfId="11148" xr:uid="{00000000-0005-0000-0000-0000EB7A0000}"/>
    <cellStyle name="Total 6 2 3 4 2" xfId="25980" xr:uid="{00000000-0005-0000-0000-0000EC7A0000}"/>
    <cellStyle name="Total 6 2 4" xfId="4439" xr:uid="{00000000-0005-0000-0000-0000ED7A0000}"/>
    <cellStyle name="Total 6 2 4 2" xfId="8478" xr:uid="{00000000-0005-0000-0000-0000EE7A0000}"/>
    <cellStyle name="Total 6 2 4 2 2" xfId="17699" xr:uid="{00000000-0005-0000-0000-0000EF7A0000}"/>
    <cellStyle name="Total 6 2 4 2 2 2" xfId="32531" xr:uid="{00000000-0005-0000-0000-0000F07A0000}"/>
    <cellStyle name="Total 6 2 4 2 3" xfId="19381" xr:uid="{00000000-0005-0000-0000-0000F17A0000}"/>
    <cellStyle name="Total 6 2 4 3" xfId="14768" xr:uid="{00000000-0005-0000-0000-0000F27A0000}"/>
    <cellStyle name="Total 6 2 4 3 2" xfId="29600" xr:uid="{00000000-0005-0000-0000-0000F37A0000}"/>
    <cellStyle name="Total 6 2 4 4" xfId="11307" xr:uid="{00000000-0005-0000-0000-0000F47A0000}"/>
    <cellStyle name="Total 6 2 4 4 2" xfId="26139" xr:uid="{00000000-0005-0000-0000-0000F57A0000}"/>
    <cellStyle name="Total 6 2 5" xfId="2429" xr:uid="{00000000-0005-0000-0000-0000F67A0000}"/>
    <cellStyle name="Total 6 2 5 2" xfId="6541" xr:uid="{00000000-0005-0000-0000-0000F77A0000}"/>
    <cellStyle name="Total 6 2 5 2 2" xfId="16597" xr:uid="{00000000-0005-0000-0000-0000F87A0000}"/>
    <cellStyle name="Total 6 2 5 2 2 2" xfId="31429" xr:uid="{00000000-0005-0000-0000-0000F97A0000}"/>
    <cellStyle name="Total 6 2 5 2 3" xfId="18669" xr:uid="{00000000-0005-0000-0000-0000FA7A0000}"/>
    <cellStyle name="Total 6 2 5 3" xfId="12768" xr:uid="{00000000-0005-0000-0000-0000FB7A0000}"/>
    <cellStyle name="Total 6 2 5 3 2" xfId="27600" xr:uid="{00000000-0005-0000-0000-0000FC7A0000}"/>
    <cellStyle name="Total 6 2 5 4" xfId="10247" xr:uid="{00000000-0005-0000-0000-0000FD7A0000}"/>
    <cellStyle name="Total 6 2 5 4 2" xfId="25079" xr:uid="{00000000-0005-0000-0000-0000FE7A0000}"/>
    <cellStyle name="Total 6 2 6" xfId="5554" xr:uid="{00000000-0005-0000-0000-0000FF7A0000}"/>
    <cellStyle name="Total 6 2 6 2" xfId="15789" xr:uid="{00000000-0005-0000-0000-0000007B0000}"/>
    <cellStyle name="Total 6 2 6 2 2" xfId="30621" xr:uid="{00000000-0005-0000-0000-0000017B0000}"/>
    <cellStyle name="Total 6 2 6 3" xfId="18311" xr:uid="{00000000-0005-0000-0000-0000027B0000}"/>
    <cellStyle name="Total 6 2 7" xfId="11804" xr:uid="{00000000-0005-0000-0000-0000037B0000}"/>
    <cellStyle name="Total 6 2 7 2" xfId="26636" xr:uid="{00000000-0005-0000-0000-0000047B0000}"/>
    <cellStyle name="Total 6 2 8" xfId="9475" xr:uid="{00000000-0005-0000-0000-0000057B0000}"/>
    <cellStyle name="Total 6 2 8 2" xfId="19779" xr:uid="{00000000-0005-0000-0000-0000067B0000}"/>
    <cellStyle name="Total 6 3" xfId="1549" xr:uid="{00000000-0005-0000-0000-0000077B0000}"/>
    <cellStyle name="Total 6 3 2" xfId="2046" xr:uid="{00000000-0005-0000-0000-0000087B0000}"/>
    <cellStyle name="Total 6 3 2 2" xfId="4321" xr:uid="{00000000-0005-0000-0000-0000097B0000}"/>
    <cellStyle name="Total 6 3 2 2 2" xfId="8360" xr:uid="{00000000-0005-0000-0000-00000A7B0000}"/>
    <cellStyle name="Total 6 3 2 2 2 2" xfId="17638" xr:uid="{00000000-0005-0000-0000-00000B7B0000}"/>
    <cellStyle name="Total 6 3 2 2 2 2 2" xfId="32470" xr:uid="{00000000-0005-0000-0000-00000C7B0000}"/>
    <cellStyle name="Total 6 3 2 2 2 3" xfId="19340" xr:uid="{00000000-0005-0000-0000-00000D7B0000}"/>
    <cellStyle name="Total 6 3 2 2 3" xfId="14652" xr:uid="{00000000-0005-0000-0000-00000E7B0000}"/>
    <cellStyle name="Total 6 3 2 2 3 2" xfId="29484" xr:uid="{00000000-0005-0000-0000-00000F7B0000}"/>
    <cellStyle name="Total 6 3 2 2 4" xfId="11248" xr:uid="{00000000-0005-0000-0000-0000107B0000}"/>
    <cellStyle name="Total 6 3 2 2 4 2" xfId="26080" xr:uid="{00000000-0005-0000-0000-0000117B0000}"/>
    <cellStyle name="Total 6 3 2 3" xfId="5014" xr:uid="{00000000-0005-0000-0000-0000127B0000}"/>
    <cellStyle name="Total 6 3 2 3 2" xfId="9053" xr:uid="{00000000-0005-0000-0000-0000137B0000}"/>
    <cellStyle name="Total 6 3 2 3 2 2" xfId="17991" xr:uid="{00000000-0005-0000-0000-0000147B0000}"/>
    <cellStyle name="Total 6 3 2 3 2 2 2" xfId="32823" xr:uid="{00000000-0005-0000-0000-0000157B0000}"/>
    <cellStyle name="Total 6 3 2 3 2 3" xfId="19573" xr:uid="{00000000-0005-0000-0000-0000167B0000}"/>
    <cellStyle name="Total 6 3 2 3 3" xfId="15336" xr:uid="{00000000-0005-0000-0000-0000177B0000}"/>
    <cellStyle name="Total 6 3 2 3 3 2" xfId="30168" xr:uid="{00000000-0005-0000-0000-0000187B0000}"/>
    <cellStyle name="Total 6 3 2 3 4" xfId="11592" xr:uid="{00000000-0005-0000-0000-0000197B0000}"/>
    <cellStyle name="Total 6 3 2 3 4 2" xfId="26424" xr:uid="{00000000-0005-0000-0000-00001A7B0000}"/>
    <cellStyle name="Total 6 3 2 4" xfId="3004" xr:uid="{00000000-0005-0000-0000-00001B7B0000}"/>
    <cellStyle name="Total 6 3 2 4 2" xfId="7084" xr:uid="{00000000-0005-0000-0000-00001C7B0000}"/>
    <cellStyle name="Total 6 3 2 4 2 2" xfId="16883" xr:uid="{00000000-0005-0000-0000-00001D7B0000}"/>
    <cellStyle name="Total 6 3 2 4 2 2 2" xfId="31715" xr:uid="{00000000-0005-0000-0000-00001E7B0000}"/>
    <cellStyle name="Total 6 3 2 4 2 3" xfId="18865" xr:uid="{00000000-0005-0000-0000-00001F7B0000}"/>
    <cellStyle name="Total 6 3 2 4 3" xfId="13342" xr:uid="{00000000-0005-0000-0000-0000207B0000}"/>
    <cellStyle name="Total 6 3 2 4 3 2" xfId="28174" xr:uid="{00000000-0005-0000-0000-0000217B0000}"/>
    <cellStyle name="Total 6 3 2 4 4" xfId="10538" xr:uid="{00000000-0005-0000-0000-0000227B0000}"/>
    <cellStyle name="Total 6 3 2 4 4 2" xfId="25370" xr:uid="{00000000-0005-0000-0000-0000237B0000}"/>
    <cellStyle name="Total 6 3 2 5" xfId="6176" xr:uid="{00000000-0005-0000-0000-0000247B0000}"/>
    <cellStyle name="Total 6 3 2 5 2" xfId="16363" xr:uid="{00000000-0005-0000-0000-0000257B0000}"/>
    <cellStyle name="Total 6 3 2 5 2 2" xfId="31195" xr:uid="{00000000-0005-0000-0000-0000267B0000}"/>
    <cellStyle name="Total 6 3 2 5 3" xfId="18506" xr:uid="{00000000-0005-0000-0000-0000277B0000}"/>
    <cellStyle name="Total 6 3 2 6" xfId="12433" xr:uid="{00000000-0005-0000-0000-0000287B0000}"/>
    <cellStyle name="Total 6 3 2 6 2" xfId="27265" xr:uid="{00000000-0005-0000-0000-0000297B0000}"/>
    <cellStyle name="Total 6 3 2 7" xfId="10015" xr:uid="{00000000-0005-0000-0000-00002A7B0000}"/>
    <cellStyle name="Total 6 3 2 7 2" xfId="24847" xr:uid="{00000000-0005-0000-0000-00002B7B0000}"/>
    <cellStyle name="Total 6 3 3" xfId="3203" xr:uid="{00000000-0005-0000-0000-00002C7B0000}"/>
    <cellStyle name="Total 6 3 3 2" xfId="7267" xr:uid="{00000000-0005-0000-0000-00002D7B0000}"/>
    <cellStyle name="Total 6 3 3 2 2" xfId="17034" xr:uid="{00000000-0005-0000-0000-00002E7B0000}"/>
    <cellStyle name="Total 6 3 3 2 2 2" xfId="31866" xr:uid="{00000000-0005-0000-0000-00002F7B0000}"/>
    <cellStyle name="Total 6 3 3 2 3" xfId="18961" xr:uid="{00000000-0005-0000-0000-0000307B0000}"/>
    <cellStyle name="Total 6 3 3 3" xfId="13541" xr:uid="{00000000-0005-0000-0000-0000317B0000}"/>
    <cellStyle name="Total 6 3 3 3 2" xfId="28373" xr:uid="{00000000-0005-0000-0000-0000327B0000}"/>
    <cellStyle name="Total 6 3 3 4" xfId="10678" xr:uid="{00000000-0005-0000-0000-0000337B0000}"/>
    <cellStyle name="Total 6 3 3 4 2" xfId="25510" xr:uid="{00000000-0005-0000-0000-0000347B0000}"/>
    <cellStyle name="Total 6 3 4" xfId="4594" xr:uid="{00000000-0005-0000-0000-0000357B0000}"/>
    <cellStyle name="Total 6 3 4 2" xfId="8633" xr:uid="{00000000-0005-0000-0000-0000367B0000}"/>
    <cellStyle name="Total 6 3 4 2 2" xfId="17751" xr:uid="{00000000-0005-0000-0000-0000377B0000}"/>
    <cellStyle name="Total 6 3 4 2 2 2" xfId="32583" xr:uid="{00000000-0005-0000-0000-0000387B0000}"/>
    <cellStyle name="Total 6 3 4 2 3" xfId="19413" xr:uid="{00000000-0005-0000-0000-0000397B0000}"/>
    <cellStyle name="Total 6 3 4 3" xfId="14921" xr:uid="{00000000-0005-0000-0000-00003A7B0000}"/>
    <cellStyle name="Total 6 3 4 3 2" xfId="29753" xr:uid="{00000000-0005-0000-0000-00003B7B0000}"/>
    <cellStyle name="Total 6 3 4 4" xfId="11357" xr:uid="{00000000-0005-0000-0000-00003C7B0000}"/>
    <cellStyle name="Total 6 3 4 4 2" xfId="26189" xr:uid="{00000000-0005-0000-0000-00003D7B0000}"/>
    <cellStyle name="Total 6 3 5" xfId="2584" xr:uid="{00000000-0005-0000-0000-00003E7B0000}"/>
    <cellStyle name="Total 6 3 5 2" xfId="6690" xr:uid="{00000000-0005-0000-0000-00003F7B0000}"/>
    <cellStyle name="Total 6 3 5 2 2" xfId="16648" xr:uid="{00000000-0005-0000-0000-0000407B0000}"/>
    <cellStyle name="Total 6 3 5 2 2 2" xfId="31480" xr:uid="{00000000-0005-0000-0000-0000417B0000}"/>
    <cellStyle name="Total 6 3 5 2 3" xfId="18701" xr:uid="{00000000-0005-0000-0000-0000427B0000}"/>
    <cellStyle name="Total 6 3 5 3" xfId="12922" xr:uid="{00000000-0005-0000-0000-0000437B0000}"/>
    <cellStyle name="Total 6 3 5 3 2" xfId="27754" xr:uid="{00000000-0005-0000-0000-0000447B0000}"/>
    <cellStyle name="Total 6 3 5 4" xfId="10298" xr:uid="{00000000-0005-0000-0000-0000457B0000}"/>
    <cellStyle name="Total 6 3 5 4 2" xfId="25130" xr:uid="{00000000-0005-0000-0000-0000467B0000}"/>
    <cellStyle name="Total 6 3 6" xfId="5707" xr:uid="{00000000-0005-0000-0000-0000477B0000}"/>
    <cellStyle name="Total 6 3 6 2" xfId="15942" xr:uid="{00000000-0005-0000-0000-0000487B0000}"/>
    <cellStyle name="Total 6 3 6 2 2" xfId="30774" xr:uid="{00000000-0005-0000-0000-0000497B0000}"/>
    <cellStyle name="Total 6 3 6 3" xfId="18343" xr:uid="{00000000-0005-0000-0000-00004A7B0000}"/>
    <cellStyle name="Total 6 3 7" xfId="11962" xr:uid="{00000000-0005-0000-0000-00004B7B0000}"/>
    <cellStyle name="Total 6 3 7 2" xfId="26794" xr:uid="{00000000-0005-0000-0000-00004C7B0000}"/>
    <cellStyle name="Total 6 3 8" xfId="9620" xr:uid="{00000000-0005-0000-0000-00004D7B0000}"/>
    <cellStyle name="Total 6 3 8 2" xfId="19922" xr:uid="{00000000-0005-0000-0000-00004E7B0000}"/>
    <cellStyle name="Total 6 4" xfId="1602" xr:uid="{00000000-0005-0000-0000-00004F7B0000}"/>
    <cellStyle name="Total 6 4 2" xfId="2099" xr:uid="{00000000-0005-0000-0000-0000507B0000}"/>
    <cellStyle name="Total 6 4 2 2" xfId="4041" xr:uid="{00000000-0005-0000-0000-0000517B0000}"/>
    <cellStyle name="Total 6 4 2 2 2" xfId="8088" xr:uid="{00000000-0005-0000-0000-0000527B0000}"/>
    <cellStyle name="Total 6 4 2 2 2 2" xfId="17489" xr:uid="{00000000-0005-0000-0000-0000537B0000}"/>
    <cellStyle name="Total 6 4 2 2 2 2 2" xfId="32321" xr:uid="{00000000-0005-0000-0000-0000547B0000}"/>
    <cellStyle name="Total 6 4 2 2 2 3" xfId="19245" xr:uid="{00000000-0005-0000-0000-0000557B0000}"/>
    <cellStyle name="Total 6 4 2 2 3" xfId="14373" xr:uid="{00000000-0005-0000-0000-0000567B0000}"/>
    <cellStyle name="Total 6 4 2 2 3 2" xfId="29205" xr:uid="{00000000-0005-0000-0000-0000577B0000}"/>
    <cellStyle name="Total 6 4 2 2 4" xfId="11105" xr:uid="{00000000-0005-0000-0000-0000587B0000}"/>
    <cellStyle name="Total 6 4 2 2 4 2" xfId="25937" xr:uid="{00000000-0005-0000-0000-0000597B0000}"/>
    <cellStyle name="Total 6 4 2 3" xfId="5067" xr:uid="{00000000-0005-0000-0000-00005A7B0000}"/>
    <cellStyle name="Total 6 4 2 3 2" xfId="9106" xr:uid="{00000000-0005-0000-0000-00005B7B0000}"/>
    <cellStyle name="Total 6 4 2 3 2 2" xfId="18039" xr:uid="{00000000-0005-0000-0000-00005C7B0000}"/>
    <cellStyle name="Total 6 4 2 3 2 2 2" xfId="32871" xr:uid="{00000000-0005-0000-0000-00005D7B0000}"/>
    <cellStyle name="Total 6 4 2 3 2 3" xfId="19605" xr:uid="{00000000-0005-0000-0000-00005E7B0000}"/>
    <cellStyle name="Total 6 4 2 3 3" xfId="15388" xr:uid="{00000000-0005-0000-0000-00005F7B0000}"/>
    <cellStyle name="Total 6 4 2 3 3 2" xfId="30220" xr:uid="{00000000-0005-0000-0000-0000607B0000}"/>
    <cellStyle name="Total 6 4 2 3 4" xfId="11639" xr:uid="{00000000-0005-0000-0000-0000617B0000}"/>
    <cellStyle name="Total 6 4 2 3 4 2" xfId="26471" xr:uid="{00000000-0005-0000-0000-0000627B0000}"/>
    <cellStyle name="Total 6 4 2 4" xfId="3057" xr:uid="{00000000-0005-0000-0000-0000637B0000}"/>
    <cellStyle name="Total 6 4 2 4 2" xfId="7132" xr:uid="{00000000-0005-0000-0000-0000647B0000}"/>
    <cellStyle name="Total 6 4 2 4 2 2" xfId="16930" xr:uid="{00000000-0005-0000-0000-0000657B0000}"/>
    <cellStyle name="Total 6 4 2 4 2 2 2" xfId="31762" xr:uid="{00000000-0005-0000-0000-0000667B0000}"/>
    <cellStyle name="Total 6 4 2 4 2 3" xfId="18898" xr:uid="{00000000-0005-0000-0000-0000677B0000}"/>
    <cellStyle name="Total 6 4 2 4 3" xfId="13395" xr:uid="{00000000-0005-0000-0000-0000687B0000}"/>
    <cellStyle name="Total 6 4 2 4 3 2" xfId="28227" xr:uid="{00000000-0005-0000-0000-0000697B0000}"/>
    <cellStyle name="Total 6 4 2 4 4" xfId="10586" xr:uid="{00000000-0005-0000-0000-00006A7B0000}"/>
    <cellStyle name="Total 6 4 2 4 4 2" xfId="25418" xr:uid="{00000000-0005-0000-0000-00006B7B0000}"/>
    <cellStyle name="Total 6 4 2 5" xfId="6224" xr:uid="{00000000-0005-0000-0000-00006C7B0000}"/>
    <cellStyle name="Total 6 4 2 5 2" xfId="16410" xr:uid="{00000000-0005-0000-0000-00006D7B0000}"/>
    <cellStyle name="Total 6 4 2 5 2 2" xfId="31242" xr:uid="{00000000-0005-0000-0000-00006E7B0000}"/>
    <cellStyle name="Total 6 4 2 5 3" xfId="18539" xr:uid="{00000000-0005-0000-0000-00006F7B0000}"/>
    <cellStyle name="Total 6 4 2 6" xfId="12480" xr:uid="{00000000-0005-0000-0000-0000707B0000}"/>
    <cellStyle name="Total 6 4 2 6 2" xfId="27312" xr:uid="{00000000-0005-0000-0000-0000717B0000}"/>
    <cellStyle name="Total 6 4 2 7" xfId="10062" xr:uid="{00000000-0005-0000-0000-0000727B0000}"/>
    <cellStyle name="Total 6 4 2 7 2" xfId="24894" xr:uid="{00000000-0005-0000-0000-0000737B0000}"/>
    <cellStyle name="Total 6 4 3" xfId="3763" xr:uid="{00000000-0005-0000-0000-0000747B0000}"/>
    <cellStyle name="Total 6 4 3 2" xfId="7819" xr:uid="{00000000-0005-0000-0000-0000757B0000}"/>
    <cellStyle name="Total 6 4 3 2 2" xfId="17354" xr:uid="{00000000-0005-0000-0000-0000767B0000}"/>
    <cellStyle name="Total 6 4 3 2 2 2" xfId="32186" xr:uid="{00000000-0005-0000-0000-0000777B0000}"/>
    <cellStyle name="Total 6 4 3 2 3" xfId="19148" xr:uid="{00000000-0005-0000-0000-0000787B0000}"/>
    <cellStyle name="Total 6 4 3 3" xfId="14098" xr:uid="{00000000-0005-0000-0000-0000797B0000}"/>
    <cellStyle name="Total 6 4 3 3 2" xfId="28930" xr:uid="{00000000-0005-0000-0000-00007A7B0000}"/>
    <cellStyle name="Total 6 4 3 4" xfId="10970" xr:uid="{00000000-0005-0000-0000-00007B7B0000}"/>
    <cellStyle name="Total 6 4 3 4 2" xfId="25802" xr:uid="{00000000-0005-0000-0000-00007C7B0000}"/>
    <cellStyle name="Total 6 4 4" xfId="4647" xr:uid="{00000000-0005-0000-0000-00007D7B0000}"/>
    <cellStyle name="Total 6 4 4 2" xfId="8686" xr:uid="{00000000-0005-0000-0000-00007E7B0000}"/>
    <cellStyle name="Total 6 4 4 2 2" xfId="17799" xr:uid="{00000000-0005-0000-0000-00007F7B0000}"/>
    <cellStyle name="Total 6 4 4 2 2 2" xfId="32631" xr:uid="{00000000-0005-0000-0000-0000807B0000}"/>
    <cellStyle name="Total 6 4 4 2 3" xfId="19445" xr:uid="{00000000-0005-0000-0000-0000817B0000}"/>
    <cellStyle name="Total 6 4 4 3" xfId="14973" xr:uid="{00000000-0005-0000-0000-0000827B0000}"/>
    <cellStyle name="Total 6 4 4 3 2" xfId="29805" xr:uid="{00000000-0005-0000-0000-0000837B0000}"/>
    <cellStyle name="Total 6 4 4 4" xfId="11404" xr:uid="{00000000-0005-0000-0000-0000847B0000}"/>
    <cellStyle name="Total 6 4 4 4 2" xfId="26236" xr:uid="{00000000-0005-0000-0000-0000857B0000}"/>
    <cellStyle name="Total 6 4 5" xfId="2637" xr:uid="{00000000-0005-0000-0000-0000867B0000}"/>
    <cellStyle name="Total 6 4 5 2" xfId="6738" xr:uid="{00000000-0005-0000-0000-0000877B0000}"/>
    <cellStyle name="Total 6 4 5 2 2" xfId="16695" xr:uid="{00000000-0005-0000-0000-0000887B0000}"/>
    <cellStyle name="Total 6 4 5 2 2 2" xfId="31527" xr:uid="{00000000-0005-0000-0000-0000897B0000}"/>
    <cellStyle name="Total 6 4 5 2 3" xfId="18734" xr:uid="{00000000-0005-0000-0000-00008A7B0000}"/>
    <cellStyle name="Total 6 4 5 3" xfId="12975" xr:uid="{00000000-0005-0000-0000-00008B7B0000}"/>
    <cellStyle name="Total 6 4 5 3 2" xfId="27807" xr:uid="{00000000-0005-0000-0000-00008C7B0000}"/>
    <cellStyle name="Total 6 4 5 4" xfId="10346" xr:uid="{00000000-0005-0000-0000-00008D7B0000}"/>
    <cellStyle name="Total 6 4 5 4 2" xfId="25178" xr:uid="{00000000-0005-0000-0000-00008E7B0000}"/>
    <cellStyle name="Total 6 4 6" xfId="5754" xr:uid="{00000000-0005-0000-0000-00008F7B0000}"/>
    <cellStyle name="Total 6 4 6 2" xfId="15989" xr:uid="{00000000-0005-0000-0000-0000907B0000}"/>
    <cellStyle name="Total 6 4 6 2 2" xfId="30821" xr:uid="{00000000-0005-0000-0000-0000917B0000}"/>
    <cellStyle name="Total 6 4 6 3" xfId="18375" xr:uid="{00000000-0005-0000-0000-0000927B0000}"/>
    <cellStyle name="Total 6 4 7" xfId="12009" xr:uid="{00000000-0005-0000-0000-0000937B0000}"/>
    <cellStyle name="Total 6 4 7 2" xfId="26841" xr:uid="{00000000-0005-0000-0000-0000947B0000}"/>
    <cellStyle name="Total 6 4 8" xfId="9668" xr:uid="{00000000-0005-0000-0000-0000957B0000}"/>
    <cellStyle name="Total 6 4 8 2" xfId="19969" xr:uid="{00000000-0005-0000-0000-0000967B0000}"/>
    <cellStyle name="Total 6 5" xfId="1652" xr:uid="{00000000-0005-0000-0000-0000977B0000}"/>
    <cellStyle name="Total 6 5 2" xfId="2149" xr:uid="{00000000-0005-0000-0000-0000987B0000}"/>
    <cellStyle name="Total 6 5 2 2" xfId="3904" xr:uid="{00000000-0005-0000-0000-0000997B0000}"/>
    <cellStyle name="Total 6 5 2 2 2" xfId="7955" xr:uid="{00000000-0005-0000-0000-00009A7B0000}"/>
    <cellStyle name="Total 6 5 2 2 2 2" xfId="17422" xr:uid="{00000000-0005-0000-0000-00009B7B0000}"/>
    <cellStyle name="Total 6 5 2 2 2 2 2" xfId="32254" xr:uid="{00000000-0005-0000-0000-00009C7B0000}"/>
    <cellStyle name="Total 6 5 2 2 2 3" xfId="19195" xr:uid="{00000000-0005-0000-0000-00009D7B0000}"/>
    <cellStyle name="Total 6 5 2 2 3" xfId="14237" xr:uid="{00000000-0005-0000-0000-00009E7B0000}"/>
    <cellStyle name="Total 6 5 2 2 3 2" xfId="29069" xr:uid="{00000000-0005-0000-0000-00009F7B0000}"/>
    <cellStyle name="Total 6 5 2 2 4" xfId="11038" xr:uid="{00000000-0005-0000-0000-0000A07B0000}"/>
    <cellStyle name="Total 6 5 2 2 4 2" xfId="25870" xr:uid="{00000000-0005-0000-0000-0000A17B0000}"/>
    <cellStyle name="Total 6 5 2 3" xfId="5117" xr:uid="{00000000-0005-0000-0000-0000A27B0000}"/>
    <cellStyle name="Total 6 5 2 3 2" xfId="9156" xr:uid="{00000000-0005-0000-0000-0000A37B0000}"/>
    <cellStyle name="Total 6 5 2 3 2 2" xfId="18084" xr:uid="{00000000-0005-0000-0000-0000A47B0000}"/>
    <cellStyle name="Total 6 5 2 3 2 2 2" xfId="32916" xr:uid="{00000000-0005-0000-0000-0000A57B0000}"/>
    <cellStyle name="Total 6 5 2 3 2 3" xfId="19637" xr:uid="{00000000-0005-0000-0000-0000A67B0000}"/>
    <cellStyle name="Total 6 5 2 3 3" xfId="15437" xr:uid="{00000000-0005-0000-0000-0000A77B0000}"/>
    <cellStyle name="Total 6 5 2 3 3 2" xfId="30269" xr:uid="{00000000-0005-0000-0000-0000A87B0000}"/>
    <cellStyle name="Total 6 5 2 3 4" xfId="11683" xr:uid="{00000000-0005-0000-0000-0000A97B0000}"/>
    <cellStyle name="Total 6 5 2 3 4 2" xfId="26515" xr:uid="{00000000-0005-0000-0000-0000AA7B0000}"/>
    <cellStyle name="Total 6 5 2 4" xfId="3107" xr:uid="{00000000-0005-0000-0000-0000AB7B0000}"/>
    <cellStyle name="Total 6 5 2 4 2" xfId="7177" xr:uid="{00000000-0005-0000-0000-0000AC7B0000}"/>
    <cellStyle name="Total 6 5 2 4 2 2" xfId="16974" xr:uid="{00000000-0005-0000-0000-0000AD7B0000}"/>
    <cellStyle name="Total 6 5 2 4 2 2 2" xfId="31806" xr:uid="{00000000-0005-0000-0000-0000AE7B0000}"/>
    <cellStyle name="Total 6 5 2 4 2 3" xfId="18931" xr:uid="{00000000-0005-0000-0000-0000AF7B0000}"/>
    <cellStyle name="Total 6 5 2 4 3" xfId="13445" xr:uid="{00000000-0005-0000-0000-0000B07B0000}"/>
    <cellStyle name="Total 6 5 2 4 3 2" xfId="28277" xr:uid="{00000000-0005-0000-0000-0000B17B0000}"/>
    <cellStyle name="Total 6 5 2 4 4" xfId="10631" xr:uid="{00000000-0005-0000-0000-0000B27B0000}"/>
    <cellStyle name="Total 6 5 2 4 4 2" xfId="25463" xr:uid="{00000000-0005-0000-0000-0000B37B0000}"/>
    <cellStyle name="Total 6 5 2 5" xfId="6269" xr:uid="{00000000-0005-0000-0000-0000B47B0000}"/>
    <cellStyle name="Total 6 5 2 5 2" xfId="16454" xr:uid="{00000000-0005-0000-0000-0000B57B0000}"/>
    <cellStyle name="Total 6 5 2 5 2 2" xfId="31286" xr:uid="{00000000-0005-0000-0000-0000B67B0000}"/>
    <cellStyle name="Total 6 5 2 5 3" xfId="18572" xr:uid="{00000000-0005-0000-0000-0000B77B0000}"/>
    <cellStyle name="Total 6 5 2 6" xfId="12524" xr:uid="{00000000-0005-0000-0000-0000B87B0000}"/>
    <cellStyle name="Total 6 5 2 6 2" xfId="27356" xr:uid="{00000000-0005-0000-0000-0000B97B0000}"/>
    <cellStyle name="Total 6 5 2 7" xfId="10106" xr:uid="{00000000-0005-0000-0000-0000BA7B0000}"/>
    <cellStyle name="Total 6 5 2 7 2" xfId="24938" xr:uid="{00000000-0005-0000-0000-0000BB7B0000}"/>
    <cellStyle name="Total 6 5 3" xfId="3631" xr:uid="{00000000-0005-0000-0000-0000BC7B0000}"/>
    <cellStyle name="Total 6 5 3 2" xfId="7690" xr:uid="{00000000-0005-0000-0000-0000BD7B0000}"/>
    <cellStyle name="Total 6 5 3 2 2" xfId="17290" xr:uid="{00000000-0005-0000-0000-0000BE7B0000}"/>
    <cellStyle name="Total 6 5 3 2 2 2" xfId="32122" xr:uid="{00000000-0005-0000-0000-0000BF7B0000}"/>
    <cellStyle name="Total 6 5 3 2 3" xfId="19104" xr:uid="{00000000-0005-0000-0000-0000C07B0000}"/>
    <cellStyle name="Total 6 5 3 3" xfId="13966" xr:uid="{00000000-0005-0000-0000-0000C17B0000}"/>
    <cellStyle name="Total 6 5 3 3 2" xfId="28798" xr:uid="{00000000-0005-0000-0000-0000C27B0000}"/>
    <cellStyle name="Total 6 5 3 4" xfId="10906" xr:uid="{00000000-0005-0000-0000-0000C37B0000}"/>
    <cellStyle name="Total 6 5 3 4 2" xfId="25738" xr:uid="{00000000-0005-0000-0000-0000C47B0000}"/>
    <cellStyle name="Total 6 5 4" xfId="4697" xr:uid="{00000000-0005-0000-0000-0000C57B0000}"/>
    <cellStyle name="Total 6 5 4 2" xfId="8736" xr:uid="{00000000-0005-0000-0000-0000C67B0000}"/>
    <cellStyle name="Total 6 5 4 2 2" xfId="17844" xr:uid="{00000000-0005-0000-0000-0000C77B0000}"/>
    <cellStyle name="Total 6 5 4 2 2 2" xfId="32676" xr:uid="{00000000-0005-0000-0000-0000C87B0000}"/>
    <cellStyle name="Total 6 5 4 2 3" xfId="19477" xr:uid="{00000000-0005-0000-0000-0000C97B0000}"/>
    <cellStyle name="Total 6 5 4 3" xfId="15022" xr:uid="{00000000-0005-0000-0000-0000CA7B0000}"/>
    <cellStyle name="Total 6 5 4 3 2" xfId="29854" xr:uid="{00000000-0005-0000-0000-0000CB7B0000}"/>
    <cellStyle name="Total 6 5 4 4" xfId="11448" xr:uid="{00000000-0005-0000-0000-0000CC7B0000}"/>
    <cellStyle name="Total 6 5 4 4 2" xfId="26280" xr:uid="{00000000-0005-0000-0000-0000CD7B0000}"/>
    <cellStyle name="Total 6 5 5" xfId="2687" xr:uid="{00000000-0005-0000-0000-0000CE7B0000}"/>
    <cellStyle name="Total 6 5 5 2" xfId="6783" xr:uid="{00000000-0005-0000-0000-0000CF7B0000}"/>
    <cellStyle name="Total 6 5 5 2 2" xfId="16739" xr:uid="{00000000-0005-0000-0000-0000D07B0000}"/>
    <cellStyle name="Total 6 5 5 2 2 2" xfId="31571" xr:uid="{00000000-0005-0000-0000-0000D17B0000}"/>
    <cellStyle name="Total 6 5 5 2 3" xfId="18767" xr:uid="{00000000-0005-0000-0000-0000D27B0000}"/>
    <cellStyle name="Total 6 5 5 3" xfId="13025" xr:uid="{00000000-0005-0000-0000-0000D37B0000}"/>
    <cellStyle name="Total 6 5 5 3 2" xfId="27857" xr:uid="{00000000-0005-0000-0000-0000D47B0000}"/>
    <cellStyle name="Total 6 5 5 4" xfId="10391" xr:uid="{00000000-0005-0000-0000-0000D57B0000}"/>
    <cellStyle name="Total 6 5 5 4 2" xfId="25223" xr:uid="{00000000-0005-0000-0000-0000D67B0000}"/>
    <cellStyle name="Total 6 5 6" xfId="5799" xr:uid="{00000000-0005-0000-0000-0000D77B0000}"/>
    <cellStyle name="Total 6 5 6 2" xfId="16033" xr:uid="{00000000-0005-0000-0000-0000D87B0000}"/>
    <cellStyle name="Total 6 5 6 2 2" xfId="30865" xr:uid="{00000000-0005-0000-0000-0000D97B0000}"/>
    <cellStyle name="Total 6 5 6 3" xfId="18408" xr:uid="{00000000-0005-0000-0000-0000DA7B0000}"/>
    <cellStyle name="Total 6 5 7" xfId="12053" xr:uid="{00000000-0005-0000-0000-0000DB7B0000}"/>
    <cellStyle name="Total 6 5 7 2" xfId="26885" xr:uid="{00000000-0005-0000-0000-0000DC7B0000}"/>
    <cellStyle name="Total 6 5 8" xfId="9713" xr:uid="{00000000-0005-0000-0000-0000DD7B0000}"/>
    <cellStyle name="Total 6 5 8 2" xfId="20013" xr:uid="{00000000-0005-0000-0000-0000DE7B0000}"/>
    <cellStyle name="Total 6 6" xfId="1803" xr:uid="{00000000-0005-0000-0000-0000DF7B0000}"/>
    <cellStyle name="Total 6 6 2" xfId="3676" xr:uid="{00000000-0005-0000-0000-0000E07B0000}"/>
    <cellStyle name="Total 6 6 2 2" xfId="7734" xr:uid="{00000000-0005-0000-0000-0000E17B0000}"/>
    <cellStyle name="Total 6 6 2 2 2" xfId="17311" xr:uid="{00000000-0005-0000-0000-0000E27B0000}"/>
    <cellStyle name="Total 6 6 2 2 2 2" xfId="32143" xr:uid="{00000000-0005-0000-0000-0000E37B0000}"/>
    <cellStyle name="Total 6 6 2 2 3" xfId="19119" xr:uid="{00000000-0005-0000-0000-0000E47B0000}"/>
    <cellStyle name="Total 6 6 2 3" xfId="14011" xr:uid="{00000000-0005-0000-0000-0000E57B0000}"/>
    <cellStyle name="Total 6 6 2 3 2" xfId="28843" xr:uid="{00000000-0005-0000-0000-0000E67B0000}"/>
    <cellStyle name="Total 6 6 2 4" xfId="10928" xr:uid="{00000000-0005-0000-0000-0000E77B0000}"/>
    <cellStyle name="Total 6 6 2 4 2" xfId="25760" xr:uid="{00000000-0005-0000-0000-0000E87B0000}"/>
    <cellStyle name="Total 6 6 3" xfId="4781" xr:uid="{00000000-0005-0000-0000-0000E97B0000}"/>
    <cellStyle name="Total 6 6 3 2" xfId="8820" xr:uid="{00000000-0005-0000-0000-0000EA7B0000}"/>
    <cellStyle name="Total 6 6 3 2 2" xfId="17892" xr:uid="{00000000-0005-0000-0000-0000EB7B0000}"/>
    <cellStyle name="Total 6 6 3 2 2 2" xfId="32724" xr:uid="{00000000-0005-0000-0000-0000EC7B0000}"/>
    <cellStyle name="Total 6 6 3 2 3" xfId="19509" xr:uid="{00000000-0005-0000-0000-0000ED7B0000}"/>
    <cellStyle name="Total 6 6 3 3" xfId="15105" xr:uid="{00000000-0005-0000-0000-0000EE7B0000}"/>
    <cellStyle name="Total 6 6 3 3 2" xfId="29937" xr:uid="{00000000-0005-0000-0000-0000EF7B0000}"/>
    <cellStyle name="Total 6 6 3 4" xfId="11495" xr:uid="{00000000-0005-0000-0000-0000F07B0000}"/>
    <cellStyle name="Total 6 6 3 4 2" xfId="26327" xr:uid="{00000000-0005-0000-0000-0000F17B0000}"/>
    <cellStyle name="Total 6 6 4" xfId="2771" xr:uid="{00000000-0005-0000-0000-0000F27B0000}"/>
    <cellStyle name="Total 6 6 4 2" xfId="6862" xr:uid="{00000000-0005-0000-0000-0000F37B0000}"/>
    <cellStyle name="Total 6 6 4 2 2" xfId="16786" xr:uid="{00000000-0005-0000-0000-0000F47B0000}"/>
    <cellStyle name="Total 6 6 4 2 2 2" xfId="31618" xr:uid="{00000000-0005-0000-0000-0000F57B0000}"/>
    <cellStyle name="Total 6 6 4 2 3" xfId="18800" xr:uid="{00000000-0005-0000-0000-0000F67B0000}"/>
    <cellStyle name="Total 6 6 4 3" xfId="13109" xr:uid="{00000000-0005-0000-0000-0000F77B0000}"/>
    <cellStyle name="Total 6 6 4 3 2" xfId="27941" xr:uid="{00000000-0005-0000-0000-0000F87B0000}"/>
    <cellStyle name="Total 6 6 4 4" xfId="10439" xr:uid="{00000000-0005-0000-0000-0000F97B0000}"/>
    <cellStyle name="Total 6 6 4 4 2" xfId="25271" xr:uid="{00000000-0005-0000-0000-0000FA7B0000}"/>
    <cellStyle name="Total 6 6 5" xfId="5935" xr:uid="{00000000-0005-0000-0000-0000FB7B0000}"/>
    <cellStyle name="Total 6 6 5 2" xfId="16127" xr:uid="{00000000-0005-0000-0000-0000FC7B0000}"/>
    <cellStyle name="Total 6 6 5 2 2" xfId="30959" xr:uid="{00000000-0005-0000-0000-0000FD7B0000}"/>
    <cellStyle name="Total 6 6 5 3" xfId="18442" xr:uid="{00000000-0005-0000-0000-0000FE7B0000}"/>
    <cellStyle name="Total 6 6 6" xfId="12197" xr:uid="{00000000-0005-0000-0000-0000FF7B0000}"/>
    <cellStyle name="Total 6 6 6 2" xfId="27029" xr:uid="{00000000-0005-0000-0000-0000007C0000}"/>
    <cellStyle name="Total 6 6 7" xfId="9793" xr:uid="{00000000-0005-0000-0000-0000017C0000}"/>
    <cellStyle name="Total 6 6 7 2" xfId="24750" xr:uid="{00000000-0005-0000-0000-0000027C0000}"/>
    <cellStyle name="Total 6 7" xfId="2163" xr:uid="{00000000-0005-0000-0000-0000037C0000}"/>
    <cellStyle name="Total 6 7 2" xfId="4009" xr:uid="{00000000-0005-0000-0000-0000047C0000}"/>
    <cellStyle name="Total 6 7 2 2" xfId="8056" xr:uid="{00000000-0005-0000-0000-0000057C0000}"/>
    <cellStyle name="Total 6 7 2 2 2" xfId="17472" xr:uid="{00000000-0005-0000-0000-0000067C0000}"/>
    <cellStyle name="Total 6 7 2 2 2 2" xfId="32304" xr:uid="{00000000-0005-0000-0000-0000077C0000}"/>
    <cellStyle name="Total 6 7 2 2 3" xfId="19232" xr:uid="{00000000-0005-0000-0000-0000087C0000}"/>
    <cellStyle name="Total 6 7 2 3" xfId="14341" xr:uid="{00000000-0005-0000-0000-0000097C0000}"/>
    <cellStyle name="Total 6 7 2 3 2" xfId="29173" xr:uid="{00000000-0005-0000-0000-00000A7C0000}"/>
    <cellStyle name="Total 6 7 2 4" xfId="11089" xr:uid="{00000000-0005-0000-0000-00000B7C0000}"/>
    <cellStyle name="Total 6 7 2 4 2" xfId="25921" xr:uid="{00000000-0005-0000-0000-00000C7C0000}"/>
    <cellStyle name="Total 6 7 3" xfId="5131" xr:uid="{00000000-0005-0000-0000-00000D7C0000}"/>
    <cellStyle name="Total 6 7 3 2" xfId="9170" xr:uid="{00000000-0005-0000-0000-00000E7C0000}"/>
    <cellStyle name="Total 6 7 3 2 2" xfId="18093" xr:uid="{00000000-0005-0000-0000-00000F7C0000}"/>
    <cellStyle name="Total 6 7 3 2 2 2" xfId="32925" xr:uid="{00000000-0005-0000-0000-0000107C0000}"/>
    <cellStyle name="Total 6 7 3 2 3" xfId="19644" xr:uid="{00000000-0005-0000-0000-0000117C0000}"/>
    <cellStyle name="Total 6 7 3 3" xfId="15449" xr:uid="{00000000-0005-0000-0000-0000127C0000}"/>
    <cellStyle name="Total 6 7 3 3 2" xfId="30281" xr:uid="{00000000-0005-0000-0000-0000137C0000}"/>
    <cellStyle name="Total 6 7 3 4" xfId="11690" xr:uid="{00000000-0005-0000-0000-0000147C0000}"/>
    <cellStyle name="Total 6 7 3 4 2" xfId="26522" xr:uid="{00000000-0005-0000-0000-0000157C0000}"/>
    <cellStyle name="Total 6 7 4" xfId="4161" xr:uid="{00000000-0005-0000-0000-0000167C0000}"/>
    <cellStyle name="Total 6 7 4 2" xfId="8202" xr:uid="{00000000-0005-0000-0000-0000177C0000}"/>
    <cellStyle name="Total 6 7 4 2 2" xfId="17549" xr:uid="{00000000-0005-0000-0000-0000187C0000}"/>
    <cellStyle name="Total 6 7 4 2 2 2" xfId="32381" xr:uid="{00000000-0005-0000-0000-0000197C0000}"/>
    <cellStyle name="Total 6 7 4 2 3" xfId="19287" xr:uid="{00000000-0005-0000-0000-00001A7C0000}"/>
    <cellStyle name="Total 6 7 4 3" xfId="14493" xr:uid="{00000000-0005-0000-0000-00001B7C0000}"/>
    <cellStyle name="Total 6 7 4 3 2" xfId="29325" xr:uid="{00000000-0005-0000-0000-00001C7C0000}"/>
    <cellStyle name="Total 6 7 4 4" xfId="11169" xr:uid="{00000000-0005-0000-0000-00001D7C0000}"/>
    <cellStyle name="Total 6 7 4 4 2" xfId="26001" xr:uid="{00000000-0005-0000-0000-00001E7C0000}"/>
    <cellStyle name="Total 6 7 5" xfId="6277" xr:uid="{00000000-0005-0000-0000-00001F7C0000}"/>
    <cellStyle name="Total 6 7 5 2" xfId="16461" xr:uid="{00000000-0005-0000-0000-0000207C0000}"/>
    <cellStyle name="Total 6 7 5 2 2" xfId="31293" xr:uid="{00000000-0005-0000-0000-0000217C0000}"/>
    <cellStyle name="Total 6 7 5 3" xfId="18580" xr:uid="{00000000-0005-0000-0000-0000227C0000}"/>
    <cellStyle name="Total 6 7 6" xfId="12531" xr:uid="{00000000-0005-0000-0000-0000237C0000}"/>
    <cellStyle name="Total 6 7 6 2" xfId="27363" xr:uid="{00000000-0005-0000-0000-0000247C0000}"/>
    <cellStyle name="Total 6 7 7" xfId="10113" xr:uid="{00000000-0005-0000-0000-0000257C0000}"/>
    <cellStyle name="Total 6 7 7 2" xfId="24945" xr:uid="{00000000-0005-0000-0000-0000267C0000}"/>
    <cellStyle name="Total 6 8" xfId="3267" xr:uid="{00000000-0005-0000-0000-0000277C0000}"/>
    <cellStyle name="Total 6 8 2" xfId="7331" xr:uid="{00000000-0005-0000-0000-0000287C0000}"/>
    <cellStyle name="Total 6 8 2 2" xfId="17076" xr:uid="{00000000-0005-0000-0000-0000297C0000}"/>
    <cellStyle name="Total 6 8 2 2 2" xfId="31908" xr:uid="{00000000-0005-0000-0000-00002A7C0000}"/>
    <cellStyle name="Total 6 8 2 3" xfId="18977" xr:uid="{00000000-0005-0000-0000-00002B7C0000}"/>
    <cellStyle name="Total 6 8 3" xfId="13604" xr:uid="{00000000-0005-0000-0000-00002C7C0000}"/>
    <cellStyle name="Total 6 8 3 2" xfId="28436" xr:uid="{00000000-0005-0000-0000-00002D7C0000}"/>
    <cellStyle name="Total 6 8 4" xfId="10704" xr:uid="{00000000-0005-0000-0000-00002E7C0000}"/>
    <cellStyle name="Total 6 8 4 2" xfId="25536" xr:uid="{00000000-0005-0000-0000-00002F7C0000}"/>
    <cellStyle name="Total 6 9" xfId="3189" xr:uid="{00000000-0005-0000-0000-0000307C0000}"/>
    <cellStyle name="Total 6 9 2" xfId="7253" xr:uid="{00000000-0005-0000-0000-0000317C0000}"/>
    <cellStyle name="Total 6 9 2 2" xfId="17023" xr:uid="{00000000-0005-0000-0000-0000327C0000}"/>
    <cellStyle name="Total 6 9 2 2 2" xfId="31855" xr:uid="{00000000-0005-0000-0000-0000337C0000}"/>
    <cellStyle name="Total 6 9 2 3" xfId="18956" xr:uid="{00000000-0005-0000-0000-0000347C0000}"/>
    <cellStyle name="Total 6 9 3" xfId="13527" xr:uid="{00000000-0005-0000-0000-0000357C0000}"/>
    <cellStyle name="Total 6 9 3 2" xfId="28359" xr:uid="{00000000-0005-0000-0000-0000367C0000}"/>
    <cellStyle name="Total 6 9 4" xfId="10670" xr:uid="{00000000-0005-0000-0000-0000377C0000}"/>
    <cellStyle name="Total 6 9 4 2" xfId="25502" xr:uid="{00000000-0005-0000-0000-0000387C0000}"/>
    <cellStyle name="Total 7" xfId="1279" xr:uid="{00000000-0005-0000-0000-0000397C0000}"/>
    <cellStyle name="Total 7 10" xfId="2346" xr:uid="{00000000-0005-0000-0000-00003A7C0000}"/>
    <cellStyle name="Total 7 10 2" xfId="6458" xr:uid="{00000000-0005-0000-0000-00003B7C0000}"/>
    <cellStyle name="Total 7 10 2 2" xfId="16550" xr:uid="{00000000-0005-0000-0000-00003C7C0000}"/>
    <cellStyle name="Total 7 10 2 2 2" xfId="31382" xr:uid="{00000000-0005-0000-0000-00003D7C0000}"/>
    <cellStyle name="Total 7 10 2 3" xfId="18638" xr:uid="{00000000-0005-0000-0000-00003E7C0000}"/>
    <cellStyle name="Total 7 10 3" xfId="12686" xr:uid="{00000000-0005-0000-0000-00003F7C0000}"/>
    <cellStyle name="Total 7 10 3 2" xfId="27518" xr:uid="{00000000-0005-0000-0000-0000407C0000}"/>
    <cellStyle name="Total 7 10 4" xfId="10201" xr:uid="{00000000-0005-0000-0000-0000417C0000}"/>
    <cellStyle name="Total 7 10 4 2" xfId="25033" xr:uid="{00000000-0005-0000-0000-0000427C0000}"/>
    <cellStyle name="Total 7 11" xfId="5308" xr:uid="{00000000-0005-0000-0000-0000437C0000}"/>
    <cellStyle name="Total 7 11 2" xfId="9316" xr:uid="{00000000-0005-0000-0000-0000447C0000}"/>
    <cellStyle name="Total 7 11 2 2" xfId="18183" xr:uid="{00000000-0005-0000-0000-0000457C0000}"/>
    <cellStyle name="Total 7 11 2 2 2" xfId="33015" xr:uid="{00000000-0005-0000-0000-0000467C0000}"/>
    <cellStyle name="Total 7 11 2 3" xfId="19702" xr:uid="{00000000-0005-0000-0000-0000477C0000}"/>
    <cellStyle name="Total 7 11 3" xfId="15624" xr:uid="{00000000-0005-0000-0000-0000487C0000}"/>
    <cellStyle name="Total 7 11 3 2" xfId="30456" xr:uid="{00000000-0005-0000-0000-0000497C0000}"/>
    <cellStyle name="Total 7 12" xfId="5466" xr:uid="{00000000-0005-0000-0000-00004A7C0000}"/>
    <cellStyle name="Total 7 12 2" xfId="15702" xr:uid="{00000000-0005-0000-0000-00004B7C0000}"/>
    <cellStyle name="Total 7 12 2 2" xfId="30534" xr:uid="{00000000-0005-0000-0000-00004C7C0000}"/>
    <cellStyle name="Total 7 12 3" xfId="18279" xr:uid="{00000000-0005-0000-0000-00004D7C0000}"/>
    <cellStyle name="Total 7 13" xfId="9325" xr:uid="{00000000-0005-0000-0000-00004E7C0000}"/>
    <cellStyle name="Total 7 13 2" xfId="24631" xr:uid="{00000000-0005-0000-0000-00004F7C0000}"/>
    <cellStyle name="Total 7 14" xfId="5314" xr:uid="{00000000-0005-0000-0000-0000507C0000}"/>
    <cellStyle name="Total 7 14 2" xfId="18188" xr:uid="{00000000-0005-0000-0000-0000517C0000}"/>
    <cellStyle name="Total 7 2" xfId="1378" xr:uid="{00000000-0005-0000-0000-0000527C0000}"/>
    <cellStyle name="Total 7 2 2" xfId="1882" xr:uid="{00000000-0005-0000-0000-0000537C0000}"/>
    <cellStyle name="Total 7 2 2 2" xfId="4338" xr:uid="{00000000-0005-0000-0000-0000547C0000}"/>
    <cellStyle name="Total 7 2 2 2 2" xfId="8377" xr:uid="{00000000-0005-0000-0000-0000557C0000}"/>
    <cellStyle name="Total 7 2 2 2 2 2" xfId="17652" xr:uid="{00000000-0005-0000-0000-0000567C0000}"/>
    <cellStyle name="Total 7 2 2 2 2 2 2" xfId="32484" xr:uid="{00000000-0005-0000-0000-0000577C0000}"/>
    <cellStyle name="Total 7 2 2 2 2 3" xfId="19351" xr:uid="{00000000-0005-0000-0000-0000587C0000}"/>
    <cellStyle name="Total 7 2 2 2 3" xfId="14669" xr:uid="{00000000-0005-0000-0000-0000597C0000}"/>
    <cellStyle name="Total 7 2 2 2 3 2" xfId="29501" xr:uid="{00000000-0005-0000-0000-00005A7C0000}"/>
    <cellStyle name="Total 7 2 2 2 4" xfId="11262" xr:uid="{00000000-0005-0000-0000-00005B7C0000}"/>
    <cellStyle name="Total 7 2 2 2 4 2" xfId="26094" xr:uid="{00000000-0005-0000-0000-00005C7C0000}"/>
    <cellStyle name="Total 7 2 2 3" xfId="4860" xr:uid="{00000000-0005-0000-0000-00005D7C0000}"/>
    <cellStyle name="Total 7 2 2 3 2" xfId="8899" xr:uid="{00000000-0005-0000-0000-00005E7C0000}"/>
    <cellStyle name="Total 7 2 2 3 2 2" xfId="17940" xr:uid="{00000000-0005-0000-0000-00005F7C0000}"/>
    <cellStyle name="Total 7 2 2 3 2 2 2" xfId="32772" xr:uid="{00000000-0005-0000-0000-0000607C0000}"/>
    <cellStyle name="Total 7 2 2 3 2 3" xfId="19542" xr:uid="{00000000-0005-0000-0000-0000617C0000}"/>
    <cellStyle name="Total 7 2 2 3 3" xfId="15184" xr:uid="{00000000-0005-0000-0000-0000627C0000}"/>
    <cellStyle name="Total 7 2 2 3 3 2" xfId="30016" xr:uid="{00000000-0005-0000-0000-0000637C0000}"/>
    <cellStyle name="Total 7 2 2 3 4" xfId="11543" xr:uid="{00000000-0005-0000-0000-0000647C0000}"/>
    <cellStyle name="Total 7 2 2 3 4 2" xfId="26375" xr:uid="{00000000-0005-0000-0000-0000657C0000}"/>
    <cellStyle name="Total 7 2 2 4" xfId="2850" xr:uid="{00000000-0005-0000-0000-0000667C0000}"/>
    <cellStyle name="Total 7 2 2 4 2" xfId="6941" xr:uid="{00000000-0005-0000-0000-0000677C0000}"/>
    <cellStyle name="Total 7 2 2 4 2 2" xfId="16834" xr:uid="{00000000-0005-0000-0000-0000687C0000}"/>
    <cellStyle name="Total 7 2 2 4 2 2 2" xfId="31666" xr:uid="{00000000-0005-0000-0000-0000697C0000}"/>
    <cellStyle name="Total 7 2 2 4 2 3" xfId="18833" xr:uid="{00000000-0005-0000-0000-00006A7C0000}"/>
    <cellStyle name="Total 7 2 2 4 3" xfId="13188" xr:uid="{00000000-0005-0000-0000-00006B7C0000}"/>
    <cellStyle name="Total 7 2 2 4 3 2" xfId="28020" xr:uid="{00000000-0005-0000-0000-00006C7C0000}"/>
    <cellStyle name="Total 7 2 2 4 4" xfId="10487" xr:uid="{00000000-0005-0000-0000-00006D7C0000}"/>
    <cellStyle name="Total 7 2 2 4 4 2" xfId="25319" xr:uid="{00000000-0005-0000-0000-00006E7C0000}"/>
    <cellStyle name="Total 7 2 2 5" xfId="6014" xr:uid="{00000000-0005-0000-0000-00006F7C0000}"/>
    <cellStyle name="Total 7 2 2 5 2" xfId="16206" xr:uid="{00000000-0005-0000-0000-0000707C0000}"/>
    <cellStyle name="Total 7 2 2 5 2 2" xfId="31038" xr:uid="{00000000-0005-0000-0000-0000717C0000}"/>
    <cellStyle name="Total 7 2 2 5 3" xfId="18475" xr:uid="{00000000-0005-0000-0000-0000727C0000}"/>
    <cellStyle name="Total 7 2 2 6" xfId="12276" xr:uid="{00000000-0005-0000-0000-0000737C0000}"/>
    <cellStyle name="Total 7 2 2 6 2" xfId="27108" xr:uid="{00000000-0005-0000-0000-0000747C0000}"/>
    <cellStyle name="Total 7 2 2 7" xfId="9872" xr:uid="{00000000-0005-0000-0000-0000757C0000}"/>
    <cellStyle name="Total 7 2 2 7 2" xfId="24798" xr:uid="{00000000-0005-0000-0000-0000767C0000}"/>
    <cellStyle name="Total 7 2 3" xfId="4016" xr:uid="{00000000-0005-0000-0000-0000777C0000}"/>
    <cellStyle name="Total 7 2 3 2" xfId="8063" xr:uid="{00000000-0005-0000-0000-0000787C0000}"/>
    <cellStyle name="Total 7 2 3 2 2" xfId="17476" xr:uid="{00000000-0005-0000-0000-0000797C0000}"/>
    <cellStyle name="Total 7 2 3 2 2 2" xfId="32308" xr:uid="{00000000-0005-0000-0000-00007A7C0000}"/>
    <cellStyle name="Total 7 2 3 2 3" xfId="19234" xr:uid="{00000000-0005-0000-0000-00007B7C0000}"/>
    <cellStyle name="Total 7 2 3 3" xfId="14348" xr:uid="{00000000-0005-0000-0000-00007C7C0000}"/>
    <cellStyle name="Total 7 2 3 3 2" xfId="29180" xr:uid="{00000000-0005-0000-0000-00007D7C0000}"/>
    <cellStyle name="Total 7 2 3 4" xfId="11092" xr:uid="{00000000-0005-0000-0000-00007E7C0000}"/>
    <cellStyle name="Total 7 2 3 4 2" xfId="25924" xr:uid="{00000000-0005-0000-0000-00007F7C0000}"/>
    <cellStyle name="Total 7 2 4" xfId="4440" xr:uid="{00000000-0005-0000-0000-0000807C0000}"/>
    <cellStyle name="Total 7 2 4 2" xfId="8479" xr:uid="{00000000-0005-0000-0000-0000817C0000}"/>
    <cellStyle name="Total 7 2 4 2 2" xfId="17700" xr:uid="{00000000-0005-0000-0000-0000827C0000}"/>
    <cellStyle name="Total 7 2 4 2 2 2" xfId="32532" xr:uid="{00000000-0005-0000-0000-0000837C0000}"/>
    <cellStyle name="Total 7 2 4 2 3" xfId="19382" xr:uid="{00000000-0005-0000-0000-0000847C0000}"/>
    <cellStyle name="Total 7 2 4 3" xfId="14769" xr:uid="{00000000-0005-0000-0000-0000857C0000}"/>
    <cellStyle name="Total 7 2 4 3 2" xfId="29601" xr:uid="{00000000-0005-0000-0000-0000867C0000}"/>
    <cellStyle name="Total 7 2 4 4" xfId="11308" xr:uid="{00000000-0005-0000-0000-0000877C0000}"/>
    <cellStyle name="Total 7 2 4 4 2" xfId="26140" xr:uid="{00000000-0005-0000-0000-0000887C0000}"/>
    <cellStyle name="Total 7 2 5" xfId="2430" xr:uid="{00000000-0005-0000-0000-0000897C0000}"/>
    <cellStyle name="Total 7 2 5 2" xfId="6542" xr:uid="{00000000-0005-0000-0000-00008A7C0000}"/>
    <cellStyle name="Total 7 2 5 2 2" xfId="16598" xr:uid="{00000000-0005-0000-0000-00008B7C0000}"/>
    <cellStyle name="Total 7 2 5 2 2 2" xfId="31430" xr:uid="{00000000-0005-0000-0000-00008C7C0000}"/>
    <cellStyle name="Total 7 2 5 2 3" xfId="18670" xr:uid="{00000000-0005-0000-0000-00008D7C0000}"/>
    <cellStyle name="Total 7 2 5 3" xfId="12769" xr:uid="{00000000-0005-0000-0000-00008E7C0000}"/>
    <cellStyle name="Total 7 2 5 3 2" xfId="27601" xr:uid="{00000000-0005-0000-0000-00008F7C0000}"/>
    <cellStyle name="Total 7 2 5 4" xfId="10248" xr:uid="{00000000-0005-0000-0000-0000907C0000}"/>
    <cellStyle name="Total 7 2 5 4 2" xfId="25080" xr:uid="{00000000-0005-0000-0000-0000917C0000}"/>
    <cellStyle name="Total 7 2 6" xfId="5555" xr:uid="{00000000-0005-0000-0000-0000927C0000}"/>
    <cellStyle name="Total 7 2 6 2" xfId="15790" xr:uid="{00000000-0005-0000-0000-0000937C0000}"/>
    <cellStyle name="Total 7 2 6 2 2" xfId="30622" xr:uid="{00000000-0005-0000-0000-0000947C0000}"/>
    <cellStyle name="Total 7 2 6 3" xfId="18312" xr:uid="{00000000-0005-0000-0000-0000957C0000}"/>
    <cellStyle name="Total 7 2 7" xfId="11805" xr:uid="{00000000-0005-0000-0000-0000967C0000}"/>
    <cellStyle name="Total 7 2 7 2" xfId="26637" xr:uid="{00000000-0005-0000-0000-0000977C0000}"/>
    <cellStyle name="Total 7 2 8" xfId="9476" xr:uid="{00000000-0005-0000-0000-0000987C0000}"/>
    <cellStyle name="Total 7 2 8 2" xfId="19780" xr:uid="{00000000-0005-0000-0000-0000997C0000}"/>
    <cellStyle name="Total 7 3" xfId="1550" xr:uid="{00000000-0005-0000-0000-00009A7C0000}"/>
    <cellStyle name="Total 7 3 2" xfId="2047" xr:uid="{00000000-0005-0000-0000-00009B7C0000}"/>
    <cellStyle name="Total 7 3 2 2" xfId="3334" xr:uid="{00000000-0005-0000-0000-00009C7C0000}"/>
    <cellStyle name="Total 7 3 2 2 2" xfId="7397" xr:uid="{00000000-0005-0000-0000-00009D7C0000}"/>
    <cellStyle name="Total 7 3 2 2 2 2" xfId="17130" xr:uid="{00000000-0005-0000-0000-00009E7C0000}"/>
    <cellStyle name="Total 7 3 2 2 2 2 2" xfId="31962" xr:uid="{00000000-0005-0000-0000-00009F7C0000}"/>
    <cellStyle name="Total 7 3 2 2 2 3" xfId="19004" xr:uid="{00000000-0005-0000-0000-0000A07C0000}"/>
    <cellStyle name="Total 7 3 2 2 3" xfId="13671" xr:uid="{00000000-0005-0000-0000-0000A17C0000}"/>
    <cellStyle name="Total 7 3 2 2 3 2" xfId="28503" xr:uid="{00000000-0005-0000-0000-0000A27C0000}"/>
    <cellStyle name="Total 7 3 2 2 4" xfId="10751" xr:uid="{00000000-0005-0000-0000-0000A37C0000}"/>
    <cellStyle name="Total 7 3 2 2 4 2" xfId="25583" xr:uid="{00000000-0005-0000-0000-0000A47C0000}"/>
    <cellStyle name="Total 7 3 2 3" xfId="5015" xr:uid="{00000000-0005-0000-0000-0000A57C0000}"/>
    <cellStyle name="Total 7 3 2 3 2" xfId="9054" xr:uid="{00000000-0005-0000-0000-0000A67C0000}"/>
    <cellStyle name="Total 7 3 2 3 2 2" xfId="17992" xr:uid="{00000000-0005-0000-0000-0000A77C0000}"/>
    <cellStyle name="Total 7 3 2 3 2 2 2" xfId="32824" xr:uid="{00000000-0005-0000-0000-0000A87C0000}"/>
    <cellStyle name="Total 7 3 2 3 2 3" xfId="19574" xr:uid="{00000000-0005-0000-0000-0000A97C0000}"/>
    <cellStyle name="Total 7 3 2 3 3" xfId="15337" xr:uid="{00000000-0005-0000-0000-0000AA7C0000}"/>
    <cellStyle name="Total 7 3 2 3 3 2" xfId="30169" xr:uid="{00000000-0005-0000-0000-0000AB7C0000}"/>
    <cellStyle name="Total 7 3 2 3 4" xfId="11593" xr:uid="{00000000-0005-0000-0000-0000AC7C0000}"/>
    <cellStyle name="Total 7 3 2 3 4 2" xfId="26425" xr:uid="{00000000-0005-0000-0000-0000AD7C0000}"/>
    <cellStyle name="Total 7 3 2 4" xfId="3005" xr:uid="{00000000-0005-0000-0000-0000AE7C0000}"/>
    <cellStyle name="Total 7 3 2 4 2" xfId="7085" xr:uid="{00000000-0005-0000-0000-0000AF7C0000}"/>
    <cellStyle name="Total 7 3 2 4 2 2" xfId="16884" xr:uid="{00000000-0005-0000-0000-0000B07C0000}"/>
    <cellStyle name="Total 7 3 2 4 2 2 2" xfId="31716" xr:uid="{00000000-0005-0000-0000-0000B17C0000}"/>
    <cellStyle name="Total 7 3 2 4 2 3" xfId="18866" xr:uid="{00000000-0005-0000-0000-0000B27C0000}"/>
    <cellStyle name="Total 7 3 2 4 3" xfId="13343" xr:uid="{00000000-0005-0000-0000-0000B37C0000}"/>
    <cellStyle name="Total 7 3 2 4 3 2" xfId="28175" xr:uid="{00000000-0005-0000-0000-0000B47C0000}"/>
    <cellStyle name="Total 7 3 2 4 4" xfId="10539" xr:uid="{00000000-0005-0000-0000-0000B57C0000}"/>
    <cellStyle name="Total 7 3 2 4 4 2" xfId="25371" xr:uid="{00000000-0005-0000-0000-0000B67C0000}"/>
    <cellStyle name="Total 7 3 2 5" xfId="6177" xr:uid="{00000000-0005-0000-0000-0000B77C0000}"/>
    <cellStyle name="Total 7 3 2 5 2" xfId="16364" xr:uid="{00000000-0005-0000-0000-0000B87C0000}"/>
    <cellStyle name="Total 7 3 2 5 2 2" xfId="31196" xr:uid="{00000000-0005-0000-0000-0000B97C0000}"/>
    <cellStyle name="Total 7 3 2 5 3" xfId="18507" xr:uid="{00000000-0005-0000-0000-0000BA7C0000}"/>
    <cellStyle name="Total 7 3 2 6" xfId="12434" xr:uid="{00000000-0005-0000-0000-0000BB7C0000}"/>
    <cellStyle name="Total 7 3 2 6 2" xfId="27266" xr:uid="{00000000-0005-0000-0000-0000BC7C0000}"/>
    <cellStyle name="Total 7 3 2 7" xfId="10016" xr:uid="{00000000-0005-0000-0000-0000BD7C0000}"/>
    <cellStyle name="Total 7 3 2 7 2" xfId="24848" xr:uid="{00000000-0005-0000-0000-0000BE7C0000}"/>
    <cellStyle name="Total 7 3 3" xfId="3327" xr:uid="{00000000-0005-0000-0000-0000BF7C0000}"/>
    <cellStyle name="Total 7 3 3 2" xfId="7390" xr:uid="{00000000-0005-0000-0000-0000C07C0000}"/>
    <cellStyle name="Total 7 3 3 2 2" xfId="17123" xr:uid="{00000000-0005-0000-0000-0000C17C0000}"/>
    <cellStyle name="Total 7 3 3 2 2 2" xfId="31955" xr:uid="{00000000-0005-0000-0000-0000C27C0000}"/>
    <cellStyle name="Total 7 3 3 2 3" xfId="19000" xr:uid="{00000000-0005-0000-0000-0000C37C0000}"/>
    <cellStyle name="Total 7 3 3 3" xfId="13664" xr:uid="{00000000-0005-0000-0000-0000C47C0000}"/>
    <cellStyle name="Total 7 3 3 3 2" xfId="28496" xr:uid="{00000000-0005-0000-0000-0000C57C0000}"/>
    <cellStyle name="Total 7 3 3 4" xfId="10744" xr:uid="{00000000-0005-0000-0000-0000C67C0000}"/>
    <cellStyle name="Total 7 3 3 4 2" xfId="25576" xr:uid="{00000000-0005-0000-0000-0000C77C0000}"/>
    <cellStyle name="Total 7 3 4" xfId="4595" xr:uid="{00000000-0005-0000-0000-0000C87C0000}"/>
    <cellStyle name="Total 7 3 4 2" xfId="8634" xr:uid="{00000000-0005-0000-0000-0000C97C0000}"/>
    <cellStyle name="Total 7 3 4 2 2" xfId="17752" xr:uid="{00000000-0005-0000-0000-0000CA7C0000}"/>
    <cellStyle name="Total 7 3 4 2 2 2" xfId="32584" xr:uid="{00000000-0005-0000-0000-0000CB7C0000}"/>
    <cellStyle name="Total 7 3 4 2 3" xfId="19414" xr:uid="{00000000-0005-0000-0000-0000CC7C0000}"/>
    <cellStyle name="Total 7 3 4 3" xfId="14922" xr:uid="{00000000-0005-0000-0000-0000CD7C0000}"/>
    <cellStyle name="Total 7 3 4 3 2" xfId="29754" xr:uid="{00000000-0005-0000-0000-0000CE7C0000}"/>
    <cellStyle name="Total 7 3 4 4" xfId="11358" xr:uid="{00000000-0005-0000-0000-0000CF7C0000}"/>
    <cellStyle name="Total 7 3 4 4 2" xfId="26190" xr:uid="{00000000-0005-0000-0000-0000D07C0000}"/>
    <cellStyle name="Total 7 3 5" xfId="2585" xr:uid="{00000000-0005-0000-0000-0000D17C0000}"/>
    <cellStyle name="Total 7 3 5 2" xfId="6691" xr:uid="{00000000-0005-0000-0000-0000D27C0000}"/>
    <cellStyle name="Total 7 3 5 2 2" xfId="16649" xr:uid="{00000000-0005-0000-0000-0000D37C0000}"/>
    <cellStyle name="Total 7 3 5 2 2 2" xfId="31481" xr:uid="{00000000-0005-0000-0000-0000D47C0000}"/>
    <cellStyle name="Total 7 3 5 2 3" xfId="18702" xr:uid="{00000000-0005-0000-0000-0000D57C0000}"/>
    <cellStyle name="Total 7 3 5 3" xfId="12923" xr:uid="{00000000-0005-0000-0000-0000D67C0000}"/>
    <cellStyle name="Total 7 3 5 3 2" xfId="27755" xr:uid="{00000000-0005-0000-0000-0000D77C0000}"/>
    <cellStyle name="Total 7 3 5 4" xfId="10299" xr:uid="{00000000-0005-0000-0000-0000D87C0000}"/>
    <cellStyle name="Total 7 3 5 4 2" xfId="25131" xr:uid="{00000000-0005-0000-0000-0000D97C0000}"/>
    <cellStyle name="Total 7 3 6" xfId="5708" xr:uid="{00000000-0005-0000-0000-0000DA7C0000}"/>
    <cellStyle name="Total 7 3 6 2" xfId="15943" xr:uid="{00000000-0005-0000-0000-0000DB7C0000}"/>
    <cellStyle name="Total 7 3 6 2 2" xfId="30775" xr:uid="{00000000-0005-0000-0000-0000DC7C0000}"/>
    <cellStyle name="Total 7 3 6 3" xfId="18344" xr:uid="{00000000-0005-0000-0000-0000DD7C0000}"/>
    <cellStyle name="Total 7 3 7" xfId="11963" xr:uid="{00000000-0005-0000-0000-0000DE7C0000}"/>
    <cellStyle name="Total 7 3 7 2" xfId="26795" xr:uid="{00000000-0005-0000-0000-0000DF7C0000}"/>
    <cellStyle name="Total 7 3 8" xfId="9621" xr:uid="{00000000-0005-0000-0000-0000E07C0000}"/>
    <cellStyle name="Total 7 3 8 2" xfId="19923" xr:uid="{00000000-0005-0000-0000-0000E17C0000}"/>
    <cellStyle name="Total 7 4" xfId="1603" xr:uid="{00000000-0005-0000-0000-0000E27C0000}"/>
    <cellStyle name="Total 7 4 2" xfId="2100" xr:uid="{00000000-0005-0000-0000-0000E37C0000}"/>
    <cellStyle name="Total 7 4 2 2" xfId="3962" xr:uid="{00000000-0005-0000-0000-0000E47C0000}"/>
    <cellStyle name="Total 7 4 2 2 2" xfId="8012" xr:uid="{00000000-0005-0000-0000-0000E57C0000}"/>
    <cellStyle name="Total 7 4 2 2 2 2" xfId="17452" xr:uid="{00000000-0005-0000-0000-0000E67C0000}"/>
    <cellStyle name="Total 7 4 2 2 2 2 2" xfId="32284" xr:uid="{00000000-0005-0000-0000-0000E77C0000}"/>
    <cellStyle name="Total 7 4 2 2 2 3" xfId="19217" xr:uid="{00000000-0005-0000-0000-0000E87C0000}"/>
    <cellStyle name="Total 7 4 2 2 3" xfId="14295" xr:uid="{00000000-0005-0000-0000-0000E97C0000}"/>
    <cellStyle name="Total 7 4 2 2 3 2" xfId="29127" xr:uid="{00000000-0005-0000-0000-0000EA7C0000}"/>
    <cellStyle name="Total 7 4 2 2 4" xfId="11067" xr:uid="{00000000-0005-0000-0000-0000EB7C0000}"/>
    <cellStyle name="Total 7 4 2 2 4 2" xfId="25899" xr:uid="{00000000-0005-0000-0000-0000EC7C0000}"/>
    <cellStyle name="Total 7 4 2 3" xfId="5068" xr:uid="{00000000-0005-0000-0000-0000ED7C0000}"/>
    <cellStyle name="Total 7 4 2 3 2" xfId="9107" xr:uid="{00000000-0005-0000-0000-0000EE7C0000}"/>
    <cellStyle name="Total 7 4 2 3 2 2" xfId="18040" xr:uid="{00000000-0005-0000-0000-0000EF7C0000}"/>
    <cellStyle name="Total 7 4 2 3 2 2 2" xfId="32872" xr:uid="{00000000-0005-0000-0000-0000F07C0000}"/>
    <cellStyle name="Total 7 4 2 3 2 3" xfId="19606" xr:uid="{00000000-0005-0000-0000-0000F17C0000}"/>
    <cellStyle name="Total 7 4 2 3 3" xfId="15389" xr:uid="{00000000-0005-0000-0000-0000F27C0000}"/>
    <cellStyle name="Total 7 4 2 3 3 2" xfId="30221" xr:uid="{00000000-0005-0000-0000-0000F37C0000}"/>
    <cellStyle name="Total 7 4 2 3 4" xfId="11640" xr:uid="{00000000-0005-0000-0000-0000F47C0000}"/>
    <cellStyle name="Total 7 4 2 3 4 2" xfId="26472" xr:uid="{00000000-0005-0000-0000-0000F57C0000}"/>
    <cellStyle name="Total 7 4 2 4" xfId="3058" xr:uid="{00000000-0005-0000-0000-0000F67C0000}"/>
    <cellStyle name="Total 7 4 2 4 2" xfId="7133" xr:uid="{00000000-0005-0000-0000-0000F77C0000}"/>
    <cellStyle name="Total 7 4 2 4 2 2" xfId="16931" xr:uid="{00000000-0005-0000-0000-0000F87C0000}"/>
    <cellStyle name="Total 7 4 2 4 2 2 2" xfId="31763" xr:uid="{00000000-0005-0000-0000-0000F97C0000}"/>
    <cellStyle name="Total 7 4 2 4 2 3" xfId="18899" xr:uid="{00000000-0005-0000-0000-0000FA7C0000}"/>
    <cellStyle name="Total 7 4 2 4 3" xfId="13396" xr:uid="{00000000-0005-0000-0000-0000FB7C0000}"/>
    <cellStyle name="Total 7 4 2 4 3 2" xfId="28228" xr:uid="{00000000-0005-0000-0000-0000FC7C0000}"/>
    <cellStyle name="Total 7 4 2 4 4" xfId="10587" xr:uid="{00000000-0005-0000-0000-0000FD7C0000}"/>
    <cellStyle name="Total 7 4 2 4 4 2" xfId="25419" xr:uid="{00000000-0005-0000-0000-0000FE7C0000}"/>
    <cellStyle name="Total 7 4 2 5" xfId="6225" xr:uid="{00000000-0005-0000-0000-0000FF7C0000}"/>
    <cellStyle name="Total 7 4 2 5 2" xfId="16411" xr:uid="{00000000-0005-0000-0000-0000007D0000}"/>
    <cellStyle name="Total 7 4 2 5 2 2" xfId="31243" xr:uid="{00000000-0005-0000-0000-0000017D0000}"/>
    <cellStyle name="Total 7 4 2 5 3" xfId="18540" xr:uid="{00000000-0005-0000-0000-0000027D0000}"/>
    <cellStyle name="Total 7 4 2 6" xfId="12481" xr:uid="{00000000-0005-0000-0000-0000037D0000}"/>
    <cellStyle name="Total 7 4 2 6 2" xfId="27313" xr:uid="{00000000-0005-0000-0000-0000047D0000}"/>
    <cellStyle name="Total 7 4 2 7" xfId="10063" xr:uid="{00000000-0005-0000-0000-0000057D0000}"/>
    <cellStyle name="Total 7 4 2 7 2" xfId="24895" xr:uid="{00000000-0005-0000-0000-0000067D0000}"/>
    <cellStyle name="Total 7 4 3" xfId="3546" xr:uid="{00000000-0005-0000-0000-0000077D0000}"/>
    <cellStyle name="Total 7 4 3 2" xfId="7608" xr:uid="{00000000-0005-0000-0000-0000087D0000}"/>
    <cellStyle name="Total 7 4 3 2 2" xfId="17250" xr:uid="{00000000-0005-0000-0000-0000097D0000}"/>
    <cellStyle name="Total 7 4 3 2 2 2" xfId="32082" xr:uid="{00000000-0005-0000-0000-00000A7D0000}"/>
    <cellStyle name="Total 7 4 3 2 3" xfId="19074" xr:uid="{00000000-0005-0000-0000-00000B7D0000}"/>
    <cellStyle name="Total 7 4 3 3" xfId="13882" xr:uid="{00000000-0005-0000-0000-00000C7D0000}"/>
    <cellStyle name="Total 7 4 3 3 2" xfId="28714" xr:uid="{00000000-0005-0000-0000-00000D7D0000}"/>
    <cellStyle name="Total 7 4 3 4" xfId="10867" xr:uid="{00000000-0005-0000-0000-00000E7D0000}"/>
    <cellStyle name="Total 7 4 3 4 2" xfId="25699" xr:uid="{00000000-0005-0000-0000-00000F7D0000}"/>
    <cellStyle name="Total 7 4 4" xfId="4648" xr:uid="{00000000-0005-0000-0000-0000107D0000}"/>
    <cellStyle name="Total 7 4 4 2" xfId="8687" xr:uid="{00000000-0005-0000-0000-0000117D0000}"/>
    <cellStyle name="Total 7 4 4 2 2" xfId="17800" xr:uid="{00000000-0005-0000-0000-0000127D0000}"/>
    <cellStyle name="Total 7 4 4 2 2 2" xfId="32632" xr:uid="{00000000-0005-0000-0000-0000137D0000}"/>
    <cellStyle name="Total 7 4 4 2 3" xfId="19446" xr:uid="{00000000-0005-0000-0000-0000147D0000}"/>
    <cellStyle name="Total 7 4 4 3" xfId="14974" xr:uid="{00000000-0005-0000-0000-0000157D0000}"/>
    <cellStyle name="Total 7 4 4 3 2" xfId="29806" xr:uid="{00000000-0005-0000-0000-0000167D0000}"/>
    <cellStyle name="Total 7 4 4 4" xfId="11405" xr:uid="{00000000-0005-0000-0000-0000177D0000}"/>
    <cellStyle name="Total 7 4 4 4 2" xfId="26237" xr:uid="{00000000-0005-0000-0000-0000187D0000}"/>
    <cellStyle name="Total 7 4 5" xfId="2638" xr:uid="{00000000-0005-0000-0000-0000197D0000}"/>
    <cellStyle name="Total 7 4 5 2" xfId="6739" xr:uid="{00000000-0005-0000-0000-00001A7D0000}"/>
    <cellStyle name="Total 7 4 5 2 2" xfId="16696" xr:uid="{00000000-0005-0000-0000-00001B7D0000}"/>
    <cellStyle name="Total 7 4 5 2 2 2" xfId="31528" xr:uid="{00000000-0005-0000-0000-00001C7D0000}"/>
    <cellStyle name="Total 7 4 5 2 3" xfId="18735" xr:uid="{00000000-0005-0000-0000-00001D7D0000}"/>
    <cellStyle name="Total 7 4 5 3" xfId="12976" xr:uid="{00000000-0005-0000-0000-00001E7D0000}"/>
    <cellStyle name="Total 7 4 5 3 2" xfId="27808" xr:uid="{00000000-0005-0000-0000-00001F7D0000}"/>
    <cellStyle name="Total 7 4 5 4" xfId="10347" xr:uid="{00000000-0005-0000-0000-0000207D0000}"/>
    <cellStyle name="Total 7 4 5 4 2" xfId="25179" xr:uid="{00000000-0005-0000-0000-0000217D0000}"/>
    <cellStyle name="Total 7 4 6" xfId="5755" xr:uid="{00000000-0005-0000-0000-0000227D0000}"/>
    <cellStyle name="Total 7 4 6 2" xfId="15990" xr:uid="{00000000-0005-0000-0000-0000237D0000}"/>
    <cellStyle name="Total 7 4 6 2 2" xfId="30822" xr:uid="{00000000-0005-0000-0000-0000247D0000}"/>
    <cellStyle name="Total 7 4 6 3" xfId="18376" xr:uid="{00000000-0005-0000-0000-0000257D0000}"/>
    <cellStyle name="Total 7 4 7" xfId="12010" xr:uid="{00000000-0005-0000-0000-0000267D0000}"/>
    <cellStyle name="Total 7 4 7 2" xfId="26842" xr:uid="{00000000-0005-0000-0000-0000277D0000}"/>
    <cellStyle name="Total 7 4 8" xfId="9669" xr:uid="{00000000-0005-0000-0000-0000287D0000}"/>
    <cellStyle name="Total 7 4 8 2" xfId="19970" xr:uid="{00000000-0005-0000-0000-0000297D0000}"/>
    <cellStyle name="Total 7 5" xfId="1653" xr:uid="{00000000-0005-0000-0000-00002A7D0000}"/>
    <cellStyle name="Total 7 5 2" xfId="2150" xr:uid="{00000000-0005-0000-0000-00002B7D0000}"/>
    <cellStyle name="Total 7 5 2 2" xfId="3495" xr:uid="{00000000-0005-0000-0000-00002C7D0000}"/>
    <cellStyle name="Total 7 5 2 2 2" xfId="7557" xr:uid="{00000000-0005-0000-0000-00002D7D0000}"/>
    <cellStyle name="Total 7 5 2 2 2 2" xfId="17218" xr:uid="{00000000-0005-0000-0000-00002E7D0000}"/>
    <cellStyle name="Total 7 5 2 2 2 2 2" xfId="32050" xr:uid="{00000000-0005-0000-0000-00002F7D0000}"/>
    <cellStyle name="Total 7 5 2 2 2 3" xfId="19054" xr:uid="{00000000-0005-0000-0000-0000307D0000}"/>
    <cellStyle name="Total 7 5 2 2 3" xfId="13832" xr:uid="{00000000-0005-0000-0000-0000317D0000}"/>
    <cellStyle name="Total 7 5 2 2 3 2" xfId="28664" xr:uid="{00000000-0005-0000-0000-0000327D0000}"/>
    <cellStyle name="Total 7 5 2 2 4" xfId="10836" xr:uid="{00000000-0005-0000-0000-0000337D0000}"/>
    <cellStyle name="Total 7 5 2 2 4 2" xfId="25668" xr:uid="{00000000-0005-0000-0000-0000347D0000}"/>
    <cellStyle name="Total 7 5 2 3" xfId="5118" xr:uid="{00000000-0005-0000-0000-0000357D0000}"/>
    <cellStyle name="Total 7 5 2 3 2" xfId="9157" xr:uid="{00000000-0005-0000-0000-0000367D0000}"/>
    <cellStyle name="Total 7 5 2 3 2 2" xfId="18085" xr:uid="{00000000-0005-0000-0000-0000377D0000}"/>
    <cellStyle name="Total 7 5 2 3 2 2 2" xfId="32917" xr:uid="{00000000-0005-0000-0000-0000387D0000}"/>
    <cellStyle name="Total 7 5 2 3 2 3" xfId="19638" xr:uid="{00000000-0005-0000-0000-0000397D0000}"/>
    <cellStyle name="Total 7 5 2 3 3" xfId="15438" xr:uid="{00000000-0005-0000-0000-00003A7D0000}"/>
    <cellStyle name="Total 7 5 2 3 3 2" xfId="30270" xr:uid="{00000000-0005-0000-0000-00003B7D0000}"/>
    <cellStyle name="Total 7 5 2 3 4" xfId="11684" xr:uid="{00000000-0005-0000-0000-00003C7D0000}"/>
    <cellStyle name="Total 7 5 2 3 4 2" xfId="26516" xr:uid="{00000000-0005-0000-0000-00003D7D0000}"/>
    <cellStyle name="Total 7 5 2 4" xfId="3108" xr:uid="{00000000-0005-0000-0000-00003E7D0000}"/>
    <cellStyle name="Total 7 5 2 4 2" xfId="7178" xr:uid="{00000000-0005-0000-0000-00003F7D0000}"/>
    <cellStyle name="Total 7 5 2 4 2 2" xfId="16975" xr:uid="{00000000-0005-0000-0000-0000407D0000}"/>
    <cellStyle name="Total 7 5 2 4 2 2 2" xfId="31807" xr:uid="{00000000-0005-0000-0000-0000417D0000}"/>
    <cellStyle name="Total 7 5 2 4 2 3" xfId="18932" xr:uid="{00000000-0005-0000-0000-0000427D0000}"/>
    <cellStyle name="Total 7 5 2 4 3" xfId="13446" xr:uid="{00000000-0005-0000-0000-0000437D0000}"/>
    <cellStyle name="Total 7 5 2 4 3 2" xfId="28278" xr:uid="{00000000-0005-0000-0000-0000447D0000}"/>
    <cellStyle name="Total 7 5 2 4 4" xfId="10632" xr:uid="{00000000-0005-0000-0000-0000457D0000}"/>
    <cellStyle name="Total 7 5 2 4 4 2" xfId="25464" xr:uid="{00000000-0005-0000-0000-0000467D0000}"/>
    <cellStyle name="Total 7 5 2 5" xfId="6270" xr:uid="{00000000-0005-0000-0000-0000477D0000}"/>
    <cellStyle name="Total 7 5 2 5 2" xfId="16455" xr:uid="{00000000-0005-0000-0000-0000487D0000}"/>
    <cellStyle name="Total 7 5 2 5 2 2" xfId="31287" xr:uid="{00000000-0005-0000-0000-0000497D0000}"/>
    <cellStyle name="Total 7 5 2 5 3" xfId="18573" xr:uid="{00000000-0005-0000-0000-00004A7D0000}"/>
    <cellStyle name="Total 7 5 2 6" xfId="12525" xr:uid="{00000000-0005-0000-0000-00004B7D0000}"/>
    <cellStyle name="Total 7 5 2 6 2" xfId="27357" xr:uid="{00000000-0005-0000-0000-00004C7D0000}"/>
    <cellStyle name="Total 7 5 2 7" xfId="10107" xr:uid="{00000000-0005-0000-0000-00004D7D0000}"/>
    <cellStyle name="Total 7 5 2 7 2" xfId="24939" xr:uid="{00000000-0005-0000-0000-00004E7D0000}"/>
    <cellStyle name="Total 7 5 3" xfId="3588" xr:uid="{00000000-0005-0000-0000-00004F7D0000}"/>
    <cellStyle name="Total 7 5 3 2" xfId="7650" xr:uid="{00000000-0005-0000-0000-0000507D0000}"/>
    <cellStyle name="Total 7 5 3 2 2" xfId="17274" xr:uid="{00000000-0005-0000-0000-0000517D0000}"/>
    <cellStyle name="Total 7 5 3 2 2 2" xfId="32106" xr:uid="{00000000-0005-0000-0000-0000527D0000}"/>
    <cellStyle name="Total 7 5 3 2 3" xfId="19094" xr:uid="{00000000-0005-0000-0000-0000537D0000}"/>
    <cellStyle name="Total 7 5 3 3" xfId="13924" xr:uid="{00000000-0005-0000-0000-0000547D0000}"/>
    <cellStyle name="Total 7 5 3 3 2" xfId="28756" xr:uid="{00000000-0005-0000-0000-0000557D0000}"/>
    <cellStyle name="Total 7 5 3 4" xfId="10891" xr:uid="{00000000-0005-0000-0000-0000567D0000}"/>
    <cellStyle name="Total 7 5 3 4 2" xfId="25723" xr:uid="{00000000-0005-0000-0000-0000577D0000}"/>
    <cellStyle name="Total 7 5 4" xfId="4698" xr:uid="{00000000-0005-0000-0000-0000587D0000}"/>
    <cellStyle name="Total 7 5 4 2" xfId="8737" xr:uid="{00000000-0005-0000-0000-0000597D0000}"/>
    <cellStyle name="Total 7 5 4 2 2" xfId="17845" xr:uid="{00000000-0005-0000-0000-00005A7D0000}"/>
    <cellStyle name="Total 7 5 4 2 2 2" xfId="32677" xr:uid="{00000000-0005-0000-0000-00005B7D0000}"/>
    <cellStyle name="Total 7 5 4 2 3" xfId="19478" xr:uid="{00000000-0005-0000-0000-00005C7D0000}"/>
    <cellStyle name="Total 7 5 4 3" xfId="15023" xr:uid="{00000000-0005-0000-0000-00005D7D0000}"/>
    <cellStyle name="Total 7 5 4 3 2" xfId="29855" xr:uid="{00000000-0005-0000-0000-00005E7D0000}"/>
    <cellStyle name="Total 7 5 4 4" xfId="11449" xr:uid="{00000000-0005-0000-0000-00005F7D0000}"/>
    <cellStyle name="Total 7 5 4 4 2" xfId="26281" xr:uid="{00000000-0005-0000-0000-0000607D0000}"/>
    <cellStyle name="Total 7 5 5" xfId="2688" xr:uid="{00000000-0005-0000-0000-0000617D0000}"/>
    <cellStyle name="Total 7 5 5 2" xfId="6784" xr:uid="{00000000-0005-0000-0000-0000627D0000}"/>
    <cellStyle name="Total 7 5 5 2 2" xfId="16740" xr:uid="{00000000-0005-0000-0000-0000637D0000}"/>
    <cellStyle name="Total 7 5 5 2 2 2" xfId="31572" xr:uid="{00000000-0005-0000-0000-0000647D0000}"/>
    <cellStyle name="Total 7 5 5 2 3" xfId="18768" xr:uid="{00000000-0005-0000-0000-0000657D0000}"/>
    <cellStyle name="Total 7 5 5 3" xfId="13026" xr:uid="{00000000-0005-0000-0000-0000667D0000}"/>
    <cellStyle name="Total 7 5 5 3 2" xfId="27858" xr:uid="{00000000-0005-0000-0000-0000677D0000}"/>
    <cellStyle name="Total 7 5 5 4" xfId="10392" xr:uid="{00000000-0005-0000-0000-0000687D0000}"/>
    <cellStyle name="Total 7 5 5 4 2" xfId="25224" xr:uid="{00000000-0005-0000-0000-0000697D0000}"/>
    <cellStyle name="Total 7 5 6" xfId="5800" xr:uid="{00000000-0005-0000-0000-00006A7D0000}"/>
    <cellStyle name="Total 7 5 6 2" xfId="16034" xr:uid="{00000000-0005-0000-0000-00006B7D0000}"/>
    <cellStyle name="Total 7 5 6 2 2" xfId="30866" xr:uid="{00000000-0005-0000-0000-00006C7D0000}"/>
    <cellStyle name="Total 7 5 6 3" xfId="18409" xr:uid="{00000000-0005-0000-0000-00006D7D0000}"/>
    <cellStyle name="Total 7 5 7" xfId="12054" xr:uid="{00000000-0005-0000-0000-00006E7D0000}"/>
    <cellStyle name="Total 7 5 7 2" xfId="26886" xr:uid="{00000000-0005-0000-0000-00006F7D0000}"/>
    <cellStyle name="Total 7 5 8" xfId="9714" xr:uid="{00000000-0005-0000-0000-0000707D0000}"/>
    <cellStyle name="Total 7 5 8 2" xfId="20014" xr:uid="{00000000-0005-0000-0000-0000717D0000}"/>
    <cellStyle name="Total 7 6" xfId="1804" xr:uid="{00000000-0005-0000-0000-0000727D0000}"/>
    <cellStyle name="Total 7 6 2" xfId="3648" xr:uid="{00000000-0005-0000-0000-0000737D0000}"/>
    <cellStyle name="Total 7 6 2 2" xfId="7707" xr:uid="{00000000-0005-0000-0000-0000747D0000}"/>
    <cellStyle name="Total 7 6 2 2 2" xfId="17299" xr:uid="{00000000-0005-0000-0000-0000757D0000}"/>
    <cellStyle name="Total 7 6 2 2 2 2" xfId="32131" xr:uid="{00000000-0005-0000-0000-0000767D0000}"/>
    <cellStyle name="Total 7 6 2 2 3" xfId="19111" xr:uid="{00000000-0005-0000-0000-0000777D0000}"/>
    <cellStyle name="Total 7 6 2 3" xfId="13983" xr:uid="{00000000-0005-0000-0000-0000787D0000}"/>
    <cellStyle name="Total 7 6 2 3 2" xfId="28815" xr:uid="{00000000-0005-0000-0000-0000797D0000}"/>
    <cellStyle name="Total 7 6 2 4" xfId="10915" xr:uid="{00000000-0005-0000-0000-00007A7D0000}"/>
    <cellStyle name="Total 7 6 2 4 2" xfId="25747" xr:uid="{00000000-0005-0000-0000-00007B7D0000}"/>
    <cellStyle name="Total 7 6 3" xfId="4782" xr:uid="{00000000-0005-0000-0000-00007C7D0000}"/>
    <cellStyle name="Total 7 6 3 2" xfId="8821" xr:uid="{00000000-0005-0000-0000-00007D7D0000}"/>
    <cellStyle name="Total 7 6 3 2 2" xfId="17893" xr:uid="{00000000-0005-0000-0000-00007E7D0000}"/>
    <cellStyle name="Total 7 6 3 2 2 2" xfId="32725" xr:uid="{00000000-0005-0000-0000-00007F7D0000}"/>
    <cellStyle name="Total 7 6 3 2 3" xfId="19510" xr:uid="{00000000-0005-0000-0000-0000807D0000}"/>
    <cellStyle name="Total 7 6 3 3" xfId="15106" xr:uid="{00000000-0005-0000-0000-0000817D0000}"/>
    <cellStyle name="Total 7 6 3 3 2" xfId="29938" xr:uid="{00000000-0005-0000-0000-0000827D0000}"/>
    <cellStyle name="Total 7 6 3 4" xfId="11496" xr:uid="{00000000-0005-0000-0000-0000837D0000}"/>
    <cellStyle name="Total 7 6 3 4 2" xfId="26328" xr:uid="{00000000-0005-0000-0000-0000847D0000}"/>
    <cellStyle name="Total 7 6 4" xfId="2772" xr:uid="{00000000-0005-0000-0000-0000857D0000}"/>
    <cellStyle name="Total 7 6 4 2" xfId="6863" xr:uid="{00000000-0005-0000-0000-0000867D0000}"/>
    <cellStyle name="Total 7 6 4 2 2" xfId="16787" xr:uid="{00000000-0005-0000-0000-0000877D0000}"/>
    <cellStyle name="Total 7 6 4 2 2 2" xfId="31619" xr:uid="{00000000-0005-0000-0000-0000887D0000}"/>
    <cellStyle name="Total 7 6 4 2 3" xfId="18801" xr:uid="{00000000-0005-0000-0000-0000897D0000}"/>
    <cellStyle name="Total 7 6 4 3" xfId="13110" xr:uid="{00000000-0005-0000-0000-00008A7D0000}"/>
    <cellStyle name="Total 7 6 4 3 2" xfId="27942" xr:uid="{00000000-0005-0000-0000-00008B7D0000}"/>
    <cellStyle name="Total 7 6 4 4" xfId="10440" xr:uid="{00000000-0005-0000-0000-00008C7D0000}"/>
    <cellStyle name="Total 7 6 4 4 2" xfId="25272" xr:uid="{00000000-0005-0000-0000-00008D7D0000}"/>
    <cellStyle name="Total 7 6 5" xfId="5936" xr:uid="{00000000-0005-0000-0000-00008E7D0000}"/>
    <cellStyle name="Total 7 6 5 2" xfId="16128" xr:uid="{00000000-0005-0000-0000-00008F7D0000}"/>
    <cellStyle name="Total 7 6 5 2 2" xfId="30960" xr:uid="{00000000-0005-0000-0000-0000907D0000}"/>
    <cellStyle name="Total 7 6 5 3" xfId="18443" xr:uid="{00000000-0005-0000-0000-0000917D0000}"/>
    <cellStyle name="Total 7 6 6" xfId="12198" xr:uid="{00000000-0005-0000-0000-0000927D0000}"/>
    <cellStyle name="Total 7 6 6 2" xfId="27030" xr:uid="{00000000-0005-0000-0000-0000937D0000}"/>
    <cellStyle name="Total 7 6 7" xfId="9794" xr:uid="{00000000-0005-0000-0000-0000947D0000}"/>
    <cellStyle name="Total 7 6 7 2" xfId="24751" xr:uid="{00000000-0005-0000-0000-0000957D0000}"/>
    <cellStyle name="Total 7 7" xfId="2162" xr:uid="{00000000-0005-0000-0000-0000967D0000}"/>
    <cellStyle name="Total 7 7 2" xfId="4107" xr:uid="{00000000-0005-0000-0000-0000977D0000}"/>
    <cellStyle name="Total 7 7 2 2" xfId="8153" xr:uid="{00000000-0005-0000-0000-0000987D0000}"/>
    <cellStyle name="Total 7 7 2 2 2" xfId="17523" xr:uid="{00000000-0005-0000-0000-0000997D0000}"/>
    <cellStyle name="Total 7 7 2 2 2 2" xfId="32355" xr:uid="{00000000-0005-0000-0000-00009A7D0000}"/>
    <cellStyle name="Total 7 7 2 2 3" xfId="19269" xr:uid="{00000000-0005-0000-0000-00009B7D0000}"/>
    <cellStyle name="Total 7 7 2 3" xfId="14439" xr:uid="{00000000-0005-0000-0000-00009C7D0000}"/>
    <cellStyle name="Total 7 7 2 3 2" xfId="29271" xr:uid="{00000000-0005-0000-0000-00009D7D0000}"/>
    <cellStyle name="Total 7 7 2 4" xfId="11140" xr:uid="{00000000-0005-0000-0000-00009E7D0000}"/>
    <cellStyle name="Total 7 7 2 4 2" xfId="25972" xr:uid="{00000000-0005-0000-0000-00009F7D0000}"/>
    <cellStyle name="Total 7 7 3" xfId="5130" xr:uid="{00000000-0005-0000-0000-0000A07D0000}"/>
    <cellStyle name="Total 7 7 3 2" xfId="9169" xr:uid="{00000000-0005-0000-0000-0000A17D0000}"/>
    <cellStyle name="Total 7 7 3 2 2" xfId="18092" xr:uid="{00000000-0005-0000-0000-0000A27D0000}"/>
    <cellStyle name="Total 7 7 3 2 2 2" xfId="32924" xr:uid="{00000000-0005-0000-0000-0000A37D0000}"/>
    <cellStyle name="Total 7 7 3 2 3" xfId="19643" xr:uid="{00000000-0005-0000-0000-0000A47D0000}"/>
    <cellStyle name="Total 7 7 3 3" xfId="15448" xr:uid="{00000000-0005-0000-0000-0000A57D0000}"/>
    <cellStyle name="Total 7 7 3 3 2" xfId="30280" xr:uid="{00000000-0005-0000-0000-0000A67D0000}"/>
    <cellStyle name="Total 7 7 3 4" xfId="11689" xr:uid="{00000000-0005-0000-0000-0000A77D0000}"/>
    <cellStyle name="Total 7 7 3 4 2" xfId="26521" xr:uid="{00000000-0005-0000-0000-0000A87D0000}"/>
    <cellStyle name="Total 7 7 4" xfId="4160" xr:uid="{00000000-0005-0000-0000-0000A97D0000}"/>
    <cellStyle name="Total 7 7 4 2" xfId="8201" xr:uid="{00000000-0005-0000-0000-0000AA7D0000}"/>
    <cellStyle name="Total 7 7 4 2 2" xfId="17548" xr:uid="{00000000-0005-0000-0000-0000AB7D0000}"/>
    <cellStyle name="Total 7 7 4 2 2 2" xfId="32380" xr:uid="{00000000-0005-0000-0000-0000AC7D0000}"/>
    <cellStyle name="Total 7 7 4 2 3" xfId="19286" xr:uid="{00000000-0005-0000-0000-0000AD7D0000}"/>
    <cellStyle name="Total 7 7 4 3" xfId="14492" xr:uid="{00000000-0005-0000-0000-0000AE7D0000}"/>
    <cellStyle name="Total 7 7 4 3 2" xfId="29324" xr:uid="{00000000-0005-0000-0000-0000AF7D0000}"/>
    <cellStyle name="Total 7 7 4 4" xfId="11168" xr:uid="{00000000-0005-0000-0000-0000B07D0000}"/>
    <cellStyle name="Total 7 7 4 4 2" xfId="26000" xr:uid="{00000000-0005-0000-0000-0000B17D0000}"/>
    <cellStyle name="Total 7 7 5" xfId="6276" xr:uid="{00000000-0005-0000-0000-0000B27D0000}"/>
    <cellStyle name="Total 7 7 5 2" xfId="16460" xr:uid="{00000000-0005-0000-0000-0000B37D0000}"/>
    <cellStyle name="Total 7 7 5 2 2" xfId="31292" xr:uid="{00000000-0005-0000-0000-0000B47D0000}"/>
    <cellStyle name="Total 7 7 5 3" xfId="18579" xr:uid="{00000000-0005-0000-0000-0000B57D0000}"/>
    <cellStyle name="Total 7 7 6" xfId="12530" xr:uid="{00000000-0005-0000-0000-0000B67D0000}"/>
    <cellStyle name="Total 7 7 6 2" xfId="27362" xr:uid="{00000000-0005-0000-0000-0000B77D0000}"/>
    <cellStyle name="Total 7 7 7" xfId="10112" xr:uid="{00000000-0005-0000-0000-0000B87D0000}"/>
    <cellStyle name="Total 7 7 7 2" xfId="24944" xr:uid="{00000000-0005-0000-0000-0000B97D0000}"/>
    <cellStyle name="Total 7 8" xfId="3197" xr:uid="{00000000-0005-0000-0000-0000BA7D0000}"/>
    <cellStyle name="Total 7 8 2" xfId="7261" xr:uid="{00000000-0005-0000-0000-0000BB7D0000}"/>
    <cellStyle name="Total 7 8 2 2" xfId="17030" xr:uid="{00000000-0005-0000-0000-0000BC7D0000}"/>
    <cellStyle name="Total 7 8 2 2 2" xfId="31862" xr:uid="{00000000-0005-0000-0000-0000BD7D0000}"/>
    <cellStyle name="Total 7 8 2 3" xfId="18959" xr:uid="{00000000-0005-0000-0000-0000BE7D0000}"/>
    <cellStyle name="Total 7 8 3" xfId="13535" xr:uid="{00000000-0005-0000-0000-0000BF7D0000}"/>
    <cellStyle name="Total 7 8 3 2" xfId="28367" xr:uid="{00000000-0005-0000-0000-0000C07D0000}"/>
    <cellStyle name="Total 7 8 4" xfId="10674" xr:uid="{00000000-0005-0000-0000-0000C17D0000}"/>
    <cellStyle name="Total 7 8 4 2" xfId="25506" xr:uid="{00000000-0005-0000-0000-0000C27D0000}"/>
    <cellStyle name="Total 7 9" xfId="3348" xr:uid="{00000000-0005-0000-0000-0000C37D0000}"/>
    <cellStyle name="Total 7 9 2" xfId="7411" xr:uid="{00000000-0005-0000-0000-0000C47D0000}"/>
    <cellStyle name="Total 7 9 2 2" xfId="17136" xr:uid="{00000000-0005-0000-0000-0000C57D0000}"/>
    <cellStyle name="Total 7 9 2 2 2" xfId="31968" xr:uid="{00000000-0005-0000-0000-0000C67D0000}"/>
    <cellStyle name="Total 7 9 2 3" xfId="19006" xr:uid="{00000000-0005-0000-0000-0000C77D0000}"/>
    <cellStyle name="Total 7 9 3" xfId="13685" xr:uid="{00000000-0005-0000-0000-0000C87D0000}"/>
    <cellStyle name="Total 7 9 3 2" xfId="28517" xr:uid="{00000000-0005-0000-0000-0000C97D0000}"/>
    <cellStyle name="Total 7 9 4" xfId="10755" xr:uid="{00000000-0005-0000-0000-0000CA7D0000}"/>
    <cellStyle name="Total 7 9 4 2" xfId="25587" xr:uid="{00000000-0005-0000-0000-0000CB7D0000}"/>
    <cellStyle name="Total 8" xfId="1280" xr:uid="{00000000-0005-0000-0000-0000CC7D0000}"/>
    <cellStyle name="Total 8 10" xfId="2347" xr:uid="{00000000-0005-0000-0000-0000CD7D0000}"/>
    <cellStyle name="Total 8 10 2" xfId="6459" xr:uid="{00000000-0005-0000-0000-0000CE7D0000}"/>
    <cellStyle name="Total 8 10 2 2" xfId="16551" xr:uid="{00000000-0005-0000-0000-0000CF7D0000}"/>
    <cellStyle name="Total 8 10 2 2 2" xfId="31383" xr:uid="{00000000-0005-0000-0000-0000D07D0000}"/>
    <cellStyle name="Total 8 10 2 3" xfId="18639" xr:uid="{00000000-0005-0000-0000-0000D17D0000}"/>
    <cellStyle name="Total 8 10 3" xfId="12687" xr:uid="{00000000-0005-0000-0000-0000D27D0000}"/>
    <cellStyle name="Total 8 10 3 2" xfId="27519" xr:uid="{00000000-0005-0000-0000-0000D37D0000}"/>
    <cellStyle name="Total 8 10 4" xfId="10202" xr:uid="{00000000-0005-0000-0000-0000D47D0000}"/>
    <cellStyle name="Total 8 10 4 2" xfId="25034" xr:uid="{00000000-0005-0000-0000-0000D57D0000}"/>
    <cellStyle name="Total 8 11" xfId="5309" xr:uid="{00000000-0005-0000-0000-0000D67D0000}"/>
    <cellStyle name="Total 8 11 2" xfId="9317" xr:uid="{00000000-0005-0000-0000-0000D77D0000}"/>
    <cellStyle name="Total 8 11 2 2" xfId="18184" xr:uid="{00000000-0005-0000-0000-0000D87D0000}"/>
    <cellStyle name="Total 8 11 2 2 2" xfId="33016" xr:uid="{00000000-0005-0000-0000-0000D97D0000}"/>
    <cellStyle name="Total 8 11 2 3" xfId="19703" xr:uid="{00000000-0005-0000-0000-0000DA7D0000}"/>
    <cellStyle name="Total 8 11 3" xfId="15625" xr:uid="{00000000-0005-0000-0000-0000DB7D0000}"/>
    <cellStyle name="Total 8 11 3 2" xfId="30457" xr:uid="{00000000-0005-0000-0000-0000DC7D0000}"/>
    <cellStyle name="Total 8 12" xfId="5467" xr:uid="{00000000-0005-0000-0000-0000DD7D0000}"/>
    <cellStyle name="Total 8 12 2" xfId="15703" xr:uid="{00000000-0005-0000-0000-0000DE7D0000}"/>
    <cellStyle name="Total 8 12 2 2" xfId="30535" xr:uid="{00000000-0005-0000-0000-0000DF7D0000}"/>
    <cellStyle name="Total 8 12 3" xfId="18280" xr:uid="{00000000-0005-0000-0000-0000E07D0000}"/>
    <cellStyle name="Total 8 13" xfId="9324" xr:uid="{00000000-0005-0000-0000-0000E17D0000}"/>
    <cellStyle name="Total 8 13 2" xfId="24630" xr:uid="{00000000-0005-0000-0000-0000E27D0000}"/>
    <cellStyle name="Total 8 14" xfId="5313" xr:uid="{00000000-0005-0000-0000-0000E37D0000}"/>
    <cellStyle name="Total 8 14 2" xfId="18187" xr:uid="{00000000-0005-0000-0000-0000E47D0000}"/>
    <cellStyle name="Total 8 2" xfId="1379" xr:uid="{00000000-0005-0000-0000-0000E57D0000}"/>
    <cellStyle name="Total 8 2 2" xfId="1883" xr:uid="{00000000-0005-0000-0000-0000E67D0000}"/>
    <cellStyle name="Total 8 2 2 2" xfId="4336" xr:uid="{00000000-0005-0000-0000-0000E77D0000}"/>
    <cellStyle name="Total 8 2 2 2 2" xfId="8375" xr:uid="{00000000-0005-0000-0000-0000E87D0000}"/>
    <cellStyle name="Total 8 2 2 2 2 2" xfId="17651" xr:uid="{00000000-0005-0000-0000-0000E97D0000}"/>
    <cellStyle name="Total 8 2 2 2 2 2 2" xfId="32483" xr:uid="{00000000-0005-0000-0000-0000EA7D0000}"/>
    <cellStyle name="Total 8 2 2 2 2 3" xfId="19350" xr:uid="{00000000-0005-0000-0000-0000EB7D0000}"/>
    <cellStyle name="Total 8 2 2 2 3" xfId="14667" xr:uid="{00000000-0005-0000-0000-0000EC7D0000}"/>
    <cellStyle name="Total 8 2 2 2 3 2" xfId="29499" xr:uid="{00000000-0005-0000-0000-0000ED7D0000}"/>
    <cellStyle name="Total 8 2 2 2 4" xfId="11261" xr:uid="{00000000-0005-0000-0000-0000EE7D0000}"/>
    <cellStyle name="Total 8 2 2 2 4 2" xfId="26093" xr:uid="{00000000-0005-0000-0000-0000EF7D0000}"/>
    <cellStyle name="Total 8 2 2 3" xfId="4861" xr:uid="{00000000-0005-0000-0000-0000F07D0000}"/>
    <cellStyle name="Total 8 2 2 3 2" xfId="8900" xr:uid="{00000000-0005-0000-0000-0000F17D0000}"/>
    <cellStyle name="Total 8 2 2 3 2 2" xfId="17941" xr:uid="{00000000-0005-0000-0000-0000F27D0000}"/>
    <cellStyle name="Total 8 2 2 3 2 2 2" xfId="32773" xr:uid="{00000000-0005-0000-0000-0000F37D0000}"/>
    <cellStyle name="Total 8 2 2 3 2 3" xfId="19543" xr:uid="{00000000-0005-0000-0000-0000F47D0000}"/>
    <cellStyle name="Total 8 2 2 3 3" xfId="15185" xr:uid="{00000000-0005-0000-0000-0000F57D0000}"/>
    <cellStyle name="Total 8 2 2 3 3 2" xfId="30017" xr:uid="{00000000-0005-0000-0000-0000F67D0000}"/>
    <cellStyle name="Total 8 2 2 3 4" xfId="11544" xr:uid="{00000000-0005-0000-0000-0000F77D0000}"/>
    <cellStyle name="Total 8 2 2 3 4 2" xfId="26376" xr:uid="{00000000-0005-0000-0000-0000F87D0000}"/>
    <cellStyle name="Total 8 2 2 4" xfId="2851" xr:uid="{00000000-0005-0000-0000-0000F97D0000}"/>
    <cellStyle name="Total 8 2 2 4 2" xfId="6942" xr:uid="{00000000-0005-0000-0000-0000FA7D0000}"/>
    <cellStyle name="Total 8 2 2 4 2 2" xfId="16835" xr:uid="{00000000-0005-0000-0000-0000FB7D0000}"/>
    <cellStyle name="Total 8 2 2 4 2 2 2" xfId="31667" xr:uid="{00000000-0005-0000-0000-0000FC7D0000}"/>
    <cellStyle name="Total 8 2 2 4 2 3" xfId="18834" xr:uid="{00000000-0005-0000-0000-0000FD7D0000}"/>
    <cellStyle name="Total 8 2 2 4 3" xfId="13189" xr:uid="{00000000-0005-0000-0000-0000FE7D0000}"/>
    <cellStyle name="Total 8 2 2 4 3 2" xfId="28021" xr:uid="{00000000-0005-0000-0000-0000FF7D0000}"/>
    <cellStyle name="Total 8 2 2 4 4" xfId="10488" xr:uid="{00000000-0005-0000-0000-0000007E0000}"/>
    <cellStyle name="Total 8 2 2 4 4 2" xfId="25320" xr:uid="{00000000-0005-0000-0000-0000017E0000}"/>
    <cellStyle name="Total 8 2 2 5" xfId="6015" xr:uid="{00000000-0005-0000-0000-0000027E0000}"/>
    <cellStyle name="Total 8 2 2 5 2" xfId="16207" xr:uid="{00000000-0005-0000-0000-0000037E0000}"/>
    <cellStyle name="Total 8 2 2 5 2 2" xfId="31039" xr:uid="{00000000-0005-0000-0000-0000047E0000}"/>
    <cellStyle name="Total 8 2 2 5 3" xfId="18476" xr:uid="{00000000-0005-0000-0000-0000057E0000}"/>
    <cellStyle name="Total 8 2 2 6" xfId="12277" xr:uid="{00000000-0005-0000-0000-0000067E0000}"/>
    <cellStyle name="Total 8 2 2 6 2" xfId="27109" xr:uid="{00000000-0005-0000-0000-0000077E0000}"/>
    <cellStyle name="Total 8 2 2 7" xfId="9873" xr:uid="{00000000-0005-0000-0000-0000087E0000}"/>
    <cellStyle name="Total 8 2 2 7 2" xfId="24799" xr:uid="{00000000-0005-0000-0000-0000097E0000}"/>
    <cellStyle name="Total 8 2 3" xfId="4131" xr:uid="{00000000-0005-0000-0000-00000A7E0000}"/>
    <cellStyle name="Total 8 2 3 2" xfId="8175" xr:uid="{00000000-0005-0000-0000-00000B7E0000}"/>
    <cellStyle name="Total 8 2 3 2 2" xfId="17534" xr:uid="{00000000-0005-0000-0000-00000C7E0000}"/>
    <cellStyle name="Total 8 2 3 2 2 2" xfId="32366" xr:uid="{00000000-0005-0000-0000-00000D7E0000}"/>
    <cellStyle name="Total 8 2 3 2 3" xfId="19278" xr:uid="{00000000-0005-0000-0000-00000E7E0000}"/>
    <cellStyle name="Total 8 2 3 3" xfId="14463" xr:uid="{00000000-0005-0000-0000-00000F7E0000}"/>
    <cellStyle name="Total 8 2 3 3 2" xfId="29295" xr:uid="{00000000-0005-0000-0000-0000107E0000}"/>
    <cellStyle name="Total 8 2 3 4" xfId="11152" xr:uid="{00000000-0005-0000-0000-0000117E0000}"/>
    <cellStyle name="Total 8 2 3 4 2" xfId="25984" xr:uid="{00000000-0005-0000-0000-0000127E0000}"/>
    <cellStyle name="Total 8 2 4" xfId="4441" xr:uid="{00000000-0005-0000-0000-0000137E0000}"/>
    <cellStyle name="Total 8 2 4 2" xfId="8480" xr:uid="{00000000-0005-0000-0000-0000147E0000}"/>
    <cellStyle name="Total 8 2 4 2 2" xfId="17701" xr:uid="{00000000-0005-0000-0000-0000157E0000}"/>
    <cellStyle name="Total 8 2 4 2 2 2" xfId="32533" xr:uid="{00000000-0005-0000-0000-0000167E0000}"/>
    <cellStyle name="Total 8 2 4 2 3" xfId="19383" xr:uid="{00000000-0005-0000-0000-0000177E0000}"/>
    <cellStyle name="Total 8 2 4 3" xfId="14770" xr:uid="{00000000-0005-0000-0000-0000187E0000}"/>
    <cellStyle name="Total 8 2 4 3 2" xfId="29602" xr:uid="{00000000-0005-0000-0000-0000197E0000}"/>
    <cellStyle name="Total 8 2 4 4" xfId="11309" xr:uid="{00000000-0005-0000-0000-00001A7E0000}"/>
    <cellStyle name="Total 8 2 4 4 2" xfId="26141" xr:uid="{00000000-0005-0000-0000-00001B7E0000}"/>
    <cellStyle name="Total 8 2 5" xfId="2431" xr:uid="{00000000-0005-0000-0000-00001C7E0000}"/>
    <cellStyle name="Total 8 2 5 2" xfId="6543" xr:uid="{00000000-0005-0000-0000-00001D7E0000}"/>
    <cellStyle name="Total 8 2 5 2 2" xfId="16599" xr:uid="{00000000-0005-0000-0000-00001E7E0000}"/>
    <cellStyle name="Total 8 2 5 2 2 2" xfId="31431" xr:uid="{00000000-0005-0000-0000-00001F7E0000}"/>
    <cellStyle name="Total 8 2 5 2 3" xfId="18671" xr:uid="{00000000-0005-0000-0000-0000207E0000}"/>
    <cellStyle name="Total 8 2 5 3" xfId="12770" xr:uid="{00000000-0005-0000-0000-0000217E0000}"/>
    <cellStyle name="Total 8 2 5 3 2" xfId="27602" xr:uid="{00000000-0005-0000-0000-0000227E0000}"/>
    <cellStyle name="Total 8 2 5 4" xfId="10249" xr:uid="{00000000-0005-0000-0000-0000237E0000}"/>
    <cellStyle name="Total 8 2 5 4 2" xfId="25081" xr:uid="{00000000-0005-0000-0000-0000247E0000}"/>
    <cellStyle name="Total 8 2 6" xfId="5556" xr:uid="{00000000-0005-0000-0000-0000257E0000}"/>
    <cellStyle name="Total 8 2 6 2" xfId="15791" xr:uid="{00000000-0005-0000-0000-0000267E0000}"/>
    <cellStyle name="Total 8 2 6 2 2" xfId="30623" xr:uid="{00000000-0005-0000-0000-0000277E0000}"/>
    <cellStyle name="Total 8 2 6 3" xfId="18313" xr:uid="{00000000-0005-0000-0000-0000287E0000}"/>
    <cellStyle name="Total 8 2 7" xfId="11806" xr:uid="{00000000-0005-0000-0000-0000297E0000}"/>
    <cellStyle name="Total 8 2 7 2" xfId="26638" xr:uid="{00000000-0005-0000-0000-00002A7E0000}"/>
    <cellStyle name="Total 8 2 8" xfId="9477" xr:uid="{00000000-0005-0000-0000-00002B7E0000}"/>
    <cellStyle name="Total 8 2 8 2" xfId="19781" xr:uid="{00000000-0005-0000-0000-00002C7E0000}"/>
    <cellStyle name="Total 8 3" xfId="1551" xr:uid="{00000000-0005-0000-0000-00002D7E0000}"/>
    <cellStyle name="Total 8 3 2" xfId="2048" xr:uid="{00000000-0005-0000-0000-00002E7E0000}"/>
    <cellStyle name="Total 8 3 2 2" xfId="3207" xr:uid="{00000000-0005-0000-0000-00002F7E0000}"/>
    <cellStyle name="Total 8 3 2 2 2" xfId="7271" xr:uid="{00000000-0005-0000-0000-0000307E0000}"/>
    <cellStyle name="Total 8 3 2 2 2 2" xfId="17038" xr:uid="{00000000-0005-0000-0000-0000317E0000}"/>
    <cellStyle name="Total 8 3 2 2 2 2 2" xfId="31870" xr:uid="{00000000-0005-0000-0000-0000327E0000}"/>
    <cellStyle name="Total 8 3 2 2 2 3" xfId="18963" xr:uid="{00000000-0005-0000-0000-0000337E0000}"/>
    <cellStyle name="Total 8 3 2 2 3" xfId="13545" xr:uid="{00000000-0005-0000-0000-0000347E0000}"/>
    <cellStyle name="Total 8 3 2 2 3 2" xfId="28377" xr:uid="{00000000-0005-0000-0000-0000357E0000}"/>
    <cellStyle name="Total 8 3 2 2 4" xfId="10682" xr:uid="{00000000-0005-0000-0000-0000367E0000}"/>
    <cellStyle name="Total 8 3 2 2 4 2" xfId="25514" xr:uid="{00000000-0005-0000-0000-0000377E0000}"/>
    <cellStyle name="Total 8 3 2 3" xfId="5016" xr:uid="{00000000-0005-0000-0000-0000387E0000}"/>
    <cellStyle name="Total 8 3 2 3 2" xfId="9055" xr:uid="{00000000-0005-0000-0000-0000397E0000}"/>
    <cellStyle name="Total 8 3 2 3 2 2" xfId="17993" xr:uid="{00000000-0005-0000-0000-00003A7E0000}"/>
    <cellStyle name="Total 8 3 2 3 2 2 2" xfId="32825" xr:uid="{00000000-0005-0000-0000-00003B7E0000}"/>
    <cellStyle name="Total 8 3 2 3 2 3" xfId="19575" xr:uid="{00000000-0005-0000-0000-00003C7E0000}"/>
    <cellStyle name="Total 8 3 2 3 3" xfId="15338" xr:uid="{00000000-0005-0000-0000-00003D7E0000}"/>
    <cellStyle name="Total 8 3 2 3 3 2" xfId="30170" xr:uid="{00000000-0005-0000-0000-00003E7E0000}"/>
    <cellStyle name="Total 8 3 2 3 4" xfId="11594" xr:uid="{00000000-0005-0000-0000-00003F7E0000}"/>
    <cellStyle name="Total 8 3 2 3 4 2" xfId="26426" xr:uid="{00000000-0005-0000-0000-0000407E0000}"/>
    <cellStyle name="Total 8 3 2 4" xfId="3006" xr:uid="{00000000-0005-0000-0000-0000417E0000}"/>
    <cellStyle name="Total 8 3 2 4 2" xfId="7086" xr:uid="{00000000-0005-0000-0000-0000427E0000}"/>
    <cellStyle name="Total 8 3 2 4 2 2" xfId="16885" xr:uid="{00000000-0005-0000-0000-0000437E0000}"/>
    <cellStyle name="Total 8 3 2 4 2 2 2" xfId="31717" xr:uid="{00000000-0005-0000-0000-0000447E0000}"/>
    <cellStyle name="Total 8 3 2 4 2 3" xfId="18867" xr:uid="{00000000-0005-0000-0000-0000457E0000}"/>
    <cellStyle name="Total 8 3 2 4 3" xfId="13344" xr:uid="{00000000-0005-0000-0000-0000467E0000}"/>
    <cellStyle name="Total 8 3 2 4 3 2" xfId="28176" xr:uid="{00000000-0005-0000-0000-0000477E0000}"/>
    <cellStyle name="Total 8 3 2 4 4" xfId="10540" xr:uid="{00000000-0005-0000-0000-0000487E0000}"/>
    <cellStyle name="Total 8 3 2 4 4 2" xfId="25372" xr:uid="{00000000-0005-0000-0000-0000497E0000}"/>
    <cellStyle name="Total 8 3 2 5" xfId="6178" xr:uid="{00000000-0005-0000-0000-00004A7E0000}"/>
    <cellStyle name="Total 8 3 2 5 2" xfId="16365" xr:uid="{00000000-0005-0000-0000-00004B7E0000}"/>
    <cellStyle name="Total 8 3 2 5 2 2" xfId="31197" xr:uid="{00000000-0005-0000-0000-00004C7E0000}"/>
    <cellStyle name="Total 8 3 2 5 3" xfId="18508" xr:uid="{00000000-0005-0000-0000-00004D7E0000}"/>
    <cellStyle name="Total 8 3 2 6" xfId="12435" xr:uid="{00000000-0005-0000-0000-00004E7E0000}"/>
    <cellStyle name="Total 8 3 2 6 2" xfId="27267" xr:uid="{00000000-0005-0000-0000-00004F7E0000}"/>
    <cellStyle name="Total 8 3 2 7" xfId="10017" xr:uid="{00000000-0005-0000-0000-0000507E0000}"/>
    <cellStyle name="Total 8 3 2 7 2" xfId="24849" xr:uid="{00000000-0005-0000-0000-0000517E0000}"/>
    <cellStyle name="Total 8 3 3" xfId="3859" xr:uid="{00000000-0005-0000-0000-0000527E0000}"/>
    <cellStyle name="Total 8 3 3 2" xfId="7911" xr:uid="{00000000-0005-0000-0000-0000537E0000}"/>
    <cellStyle name="Total 8 3 3 2 2" xfId="17396" xr:uid="{00000000-0005-0000-0000-0000547E0000}"/>
    <cellStyle name="Total 8 3 3 2 2 2" xfId="32228" xr:uid="{00000000-0005-0000-0000-0000557E0000}"/>
    <cellStyle name="Total 8 3 3 2 3" xfId="19175" xr:uid="{00000000-0005-0000-0000-0000567E0000}"/>
    <cellStyle name="Total 8 3 3 3" xfId="14194" xr:uid="{00000000-0005-0000-0000-0000577E0000}"/>
    <cellStyle name="Total 8 3 3 3 2" xfId="29026" xr:uid="{00000000-0005-0000-0000-0000587E0000}"/>
    <cellStyle name="Total 8 3 3 4" xfId="11015" xr:uid="{00000000-0005-0000-0000-0000597E0000}"/>
    <cellStyle name="Total 8 3 3 4 2" xfId="25847" xr:uid="{00000000-0005-0000-0000-00005A7E0000}"/>
    <cellStyle name="Total 8 3 4" xfId="4596" xr:uid="{00000000-0005-0000-0000-00005B7E0000}"/>
    <cellStyle name="Total 8 3 4 2" xfId="8635" xr:uid="{00000000-0005-0000-0000-00005C7E0000}"/>
    <cellStyle name="Total 8 3 4 2 2" xfId="17753" xr:uid="{00000000-0005-0000-0000-00005D7E0000}"/>
    <cellStyle name="Total 8 3 4 2 2 2" xfId="32585" xr:uid="{00000000-0005-0000-0000-00005E7E0000}"/>
    <cellStyle name="Total 8 3 4 2 3" xfId="19415" xr:uid="{00000000-0005-0000-0000-00005F7E0000}"/>
    <cellStyle name="Total 8 3 4 3" xfId="14923" xr:uid="{00000000-0005-0000-0000-0000607E0000}"/>
    <cellStyle name="Total 8 3 4 3 2" xfId="29755" xr:uid="{00000000-0005-0000-0000-0000617E0000}"/>
    <cellStyle name="Total 8 3 4 4" xfId="11359" xr:uid="{00000000-0005-0000-0000-0000627E0000}"/>
    <cellStyle name="Total 8 3 4 4 2" xfId="26191" xr:uid="{00000000-0005-0000-0000-0000637E0000}"/>
    <cellStyle name="Total 8 3 5" xfId="2586" xr:uid="{00000000-0005-0000-0000-0000647E0000}"/>
    <cellStyle name="Total 8 3 5 2" xfId="6692" xr:uid="{00000000-0005-0000-0000-0000657E0000}"/>
    <cellStyle name="Total 8 3 5 2 2" xfId="16650" xr:uid="{00000000-0005-0000-0000-0000667E0000}"/>
    <cellStyle name="Total 8 3 5 2 2 2" xfId="31482" xr:uid="{00000000-0005-0000-0000-0000677E0000}"/>
    <cellStyle name="Total 8 3 5 2 3" xfId="18703" xr:uid="{00000000-0005-0000-0000-0000687E0000}"/>
    <cellStyle name="Total 8 3 5 3" xfId="12924" xr:uid="{00000000-0005-0000-0000-0000697E0000}"/>
    <cellStyle name="Total 8 3 5 3 2" xfId="27756" xr:uid="{00000000-0005-0000-0000-00006A7E0000}"/>
    <cellStyle name="Total 8 3 5 4" xfId="10300" xr:uid="{00000000-0005-0000-0000-00006B7E0000}"/>
    <cellStyle name="Total 8 3 5 4 2" xfId="25132" xr:uid="{00000000-0005-0000-0000-00006C7E0000}"/>
    <cellStyle name="Total 8 3 6" xfId="5709" xr:uid="{00000000-0005-0000-0000-00006D7E0000}"/>
    <cellStyle name="Total 8 3 6 2" xfId="15944" xr:uid="{00000000-0005-0000-0000-00006E7E0000}"/>
    <cellStyle name="Total 8 3 6 2 2" xfId="30776" xr:uid="{00000000-0005-0000-0000-00006F7E0000}"/>
    <cellStyle name="Total 8 3 6 3" xfId="18345" xr:uid="{00000000-0005-0000-0000-0000707E0000}"/>
    <cellStyle name="Total 8 3 7" xfId="11964" xr:uid="{00000000-0005-0000-0000-0000717E0000}"/>
    <cellStyle name="Total 8 3 7 2" xfId="26796" xr:uid="{00000000-0005-0000-0000-0000727E0000}"/>
    <cellStyle name="Total 8 3 8" xfId="9622" xr:uid="{00000000-0005-0000-0000-0000737E0000}"/>
    <cellStyle name="Total 8 3 8 2" xfId="19924" xr:uid="{00000000-0005-0000-0000-0000747E0000}"/>
    <cellStyle name="Total 8 4" xfId="1604" xr:uid="{00000000-0005-0000-0000-0000757E0000}"/>
    <cellStyle name="Total 8 4 2" xfId="2101" xr:uid="{00000000-0005-0000-0000-0000767E0000}"/>
    <cellStyle name="Total 8 4 2 2" xfId="3398" xr:uid="{00000000-0005-0000-0000-0000777E0000}"/>
    <cellStyle name="Total 8 4 2 2 2" xfId="7461" xr:uid="{00000000-0005-0000-0000-0000787E0000}"/>
    <cellStyle name="Total 8 4 2 2 2 2" xfId="17160" xr:uid="{00000000-0005-0000-0000-0000797E0000}"/>
    <cellStyle name="Total 8 4 2 2 2 2 2" xfId="31992" xr:uid="{00000000-0005-0000-0000-00007A7E0000}"/>
    <cellStyle name="Total 8 4 2 2 2 3" xfId="19022" xr:uid="{00000000-0005-0000-0000-00007B7E0000}"/>
    <cellStyle name="Total 8 4 2 2 3" xfId="13735" xr:uid="{00000000-0005-0000-0000-00007C7E0000}"/>
    <cellStyle name="Total 8 4 2 2 3 2" xfId="28567" xr:uid="{00000000-0005-0000-0000-00007D7E0000}"/>
    <cellStyle name="Total 8 4 2 2 4" xfId="10779" xr:uid="{00000000-0005-0000-0000-00007E7E0000}"/>
    <cellStyle name="Total 8 4 2 2 4 2" xfId="25611" xr:uid="{00000000-0005-0000-0000-00007F7E0000}"/>
    <cellStyle name="Total 8 4 2 3" xfId="5069" xr:uid="{00000000-0005-0000-0000-0000807E0000}"/>
    <cellStyle name="Total 8 4 2 3 2" xfId="9108" xr:uid="{00000000-0005-0000-0000-0000817E0000}"/>
    <cellStyle name="Total 8 4 2 3 2 2" xfId="18041" xr:uid="{00000000-0005-0000-0000-0000827E0000}"/>
    <cellStyle name="Total 8 4 2 3 2 2 2" xfId="32873" xr:uid="{00000000-0005-0000-0000-0000837E0000}"/>
    <cellStyle name="Total 8 4 2 3 2 3" xfId="19607" xr:uid="{00000000-0005-0000-0000-0000847E0000}"/>
    <cellStyle name="Total 8 4 2 3 3" xfId="15390" xr:uid="{00000000-0005-0000-0000-0000857E0000}"/>
    <cellStyle name="Total 8 4 2 3 3 2" xfId="30222" xr:uid="{00000000-0005-0000-0000-0000867E0000}"/>
    <cellStyle name="Total 8 4 2 3 4" xfId="11641" xr:uid="{00000000-0005-0000-0000-0000877E0000}"/>
    <cellStyle name="Total 8 4 2 3 4 2" xfId="26473" xr:uid="{00000000-0005-0000-0000-0000887E0000}"/>
    <cellStyle name="Total 8 4 2 4" xfId="3059" xr:uid="{00000000-0005-0000-0000-0000897E0000}"/>
    <cellStyle name="Total 8 4 2 4 2" xfId="7134" xr:uid="{00000000-0005-0000-0000-00008A7E0000}"/>
    <cellStyle name="Total 8 4 2 4 2 2" xfId="16932" xr:uid="{00000000-0005-0000-0000-00008B7E0000}"/>
    <cellStyle name="Total 8 4 2 4 2 2 2" xfId="31764" xr:uid="{00000000-0005-0000-0000-00008C7E0000}"/>
    <cellStyle name="Total 8 4 2 4 2 3" xfId="18900" xr:uid="{00000000-0005-0000-0000-00008D7E0000}"/>
    <cellStyle name="Total 8 4 2 4 3" xfId="13397" xr:uid="{00000000-0005-0000-0000-00008E7E0000}"/>
    <cellStyle name="Total 8 4 2 4 3 2" xfId="28229" xr:uid="{00000000-0005-0000-0000-00008F7E0000}"/>
    <cellStyle name="Total 8 4 2 4 4" xfId="10588" xr:uid="{00000000-0005-0000-0000-0000907E0000}"/>
    <cellStyle name="Total 8 4 2 4 4 2" xfId="25420" xr:uid="{00000000-0005-0000-0000-0000917E0000}"/>
    <cellStyle name="Total 8 4 2 5" xfId="6226" xr:uid="{00000000-0005-0000-0000-0000927E0000}"/>
    <cellStyle name="Total 8 4 2 5 2" xfId="16412" xr:uid="{00000000-0005-0000-0000-0000937E0000}"/>
    <cellStyle name="Total 8 4 2 5 2 2" xfId="31244" xr:uid="{00000000-0005-0000-0000-0000947E0000}"/>
    <cellStyle name="Total 8 4 2 5 3" xfId="18541" xr:uid="{00000000-0005-0000-0000-0000957E0000}"/>
    <cellStyle name="Total 8 4 2 6" xfId="12482" xr:uid="{00000000-0005-0000-0000-0000967E0000}"/>
    <cellStyle name="Total 8 4 2 6 2" xfId="27314" xr:uid="{00000000-0005-0000-0000-0000977E0000}"/>
    <cellStyle name="Total 8 4 2 7" xfId="10064" xr:uid="{00000000-0005-0000-0000-0000987E0000}"/>
    <cellStyle name="Total 8 4 2 7 2" xfId="24896" xr:uid="{00000000-0005-0000-0000-0000997E0000}"/>
    <cellStyle name="Total 8 4 3" xfId="3658" xr:uid="{00000000-0005-0000-0000-00009A7E0000}"/>
    <cellStyle name="Total 8 4 3 2" xfId="7717" xr:uid="{00000000-0005-0000-0000-00009B7E0000}"/>
    <cellStyle name="Total 8 4 3 2 2" xfId="17305" xr:uid="{00000000-0005-0000-0000-00009C7E0000}"/>
    <cellStyle name="Total 8 4 3 2 2 2" xfId="32137" xr:uid="{00000000-0005-0000-0000-00009D7E0000}"/>
    <cellStyle name="Total 8 4 3 2 3" xfId="19114" xr:uid="{00000000-0005-0000-0000-00009E7E0000}"/>
    <cellStyle name="Total 8 4 3 3" xfId="13993" xr:uid="{00000000-0005-0000-0000-00009F7E0000}"/>
    <cellStyle name="Total 8 4 3 3 2" xfId="28825" xr:uid="{00000000-0005-0000-0000-0000A07E0000}"/>
    <cellStyle name="Total 8 4 3 4" xfId="10921" xr:uid="{00000000-0005-0000-0000-0000A17E0000}"/>
    <cellStyle name="Total 8 4 3 4 2" xfId="25753" xr:uid="{00000000-0005-0000-0000-0000A27E0000}"/>
    <cellStyle name="Total 8 4 4" xfId="4649" xr:uid="{00000000-0005-0000-0000-0000A37E0000}"/>
    <cellStyle name="Total 8 4 4 2" xfId="8688" xr:uid="{00000000-0005-0000-0000-0000A47E0000}"/>
    <cellStyle name="Total 8 4 4 2 2" xfId="17801" xr:uid="{00000000-0005-0000-0000-0000A57E0000}"/>
    <cellStyle name="Total 8 4 4 2 2 2" xfId="32633" xr:uid="{00000000-0005-0000-0000-0000A67E0000}"/>
    <cellStyle name="Total 8 4 4 2 3" xfId="19447" xr:uid="{00000000-0005-0000-0000-0000A77E0000}"/>
    <cellStyle name="Total 8 4 4 3" xfId="14975" xr:uid="{00000000-0005-0000-0000-0000A87E0000}"/>
    <cellStyle name="Total 8 4 4 3 2" xfId="29807" xr:uid="{00000000-0005-0000-0000-0000A97E0000}"/>
    <cellStyle name="Total 8 4 4 4" xfId="11406" xr:uid="{00000000-0005-0000-0000-0000AA7E0000}"/>
    <cellStyle name="Total 8 4 4 4 2" xfId="26238" xr:uid="{00000000-0005-0000-0000-0000AB7E0000}"/>
    <cellStyle name="Total 8 4 5" xfId="2639" xr:uid="{00000000-0005-0000-0000-0000AC7E0000}"/>
    <cellStyle name="Total 8 4 5 2" xfId="6740" xr:uid="{00000000-0005-0000-0000-0000AD7E0000}"/>
    <cellStyle name="Total 8 4 5 2 2" xfId="16697" xr:uid="{00000000-0005-0000-0000-0000AE7E0000}"/>
    <cellStyle name="Total 8 4 5 2 2 2" xfId="31529" xr:uid="{00000000-0005-0000-0000-0000AF7E0000}"/>
    <cellStyle name="Total 8 4 5 2 3" xfId="18736" xr:uid="{00000000-0005-0000-0000-0000B07E0000}"/>
    <cellStyle name="Total 8 4 5 3" xfId="12977" xr:uid="{00000000-0005-0000-0000-0000B17E0000}"/>
    <cellStyle name="Total 8 4 5 3 2" xfId="27809" xr:uid="{00000000-0005-0000-0000-0000B27E0000}"/>
    <cellStyle name="Total 8 4 5 4" xfId="10348" xr:uid="{00000000-0005-0000-0000-0000B37E0000}"/>
    <cellStyle name="Total 8 4 5 4 2" xfId="25180" xr:uid="{00000000-0005-0000-0000-0000B47E0000}"/>
    <cellStyle name="Total 8 4 6" xfId="5756" xr:uid="{00000000-0005-0000-0000-0000B57E0000}"/>
    <cellStyle name="Total 8 4 6 2" xfId="15991" xr:uid="{00000000-0005-0000-0000-0000B67E0000}"/>
    <cellStyle name="Total 8 4 6 2 2" xfId="30823" xr:uid="{00000000-0005-0000-0000-0000B77E0000}"/>
    <cellStyle name="Total 8 4 6 3" xfId="18377" xr:uid="{00000000-0005-0000-0000-0000B87E0000}"/>
    <cellStyle name="Total 8 4 7" xfId="12011" xr:uid="{00000000-0005-0000-0000-0000B97E0000}"/>
    <cellStyle name="Total 8 4 7 2" xfId="26843" xr:uid="{00000000-0005-0000-0000-0000BA7E0000}"/>
    <cellStyle name="Total 8 4 8" xfId="9670" xr:uid="{00000000-0005-0000-0000-0000BB7E0000}"/>
    <cellStyle name="Total 8 4 8 2" xfId="19971" xr:uid="{00000000-0005-0000-0000-0000BC7E0000}"/>
    <cellStyle name="Total 8 5" xfId="1654" xr:uid="{00000000-0005-0000-0000-0000BD7E0000}"/>
    <cellStyle name="Total 8 5 2" xfId="2151" xr:uid="{00000000-0005-0000-0000-0000BE7E0000}"/>
    <cellStyle name="Total 8 5 2 2" xfId="3653" xr:uid="{00000000-0005-0000-0000-0000BF7E0000}"/>
    <cellStyle name="Total 8 5 2 2 2" xfId="7712" xr:uid="{00000000-0005-0000-0000-0000C07E0000}"/>
    <cellStyle name="Total 8 5 2 2 2 2" xfId="17302" xr:uid="{00000000-0005-0000-0000-0000C17E0000}"/>
    <cellStyle name="Total 8 5 2 2 2 2 2" xfId="32134" xr:uid="{00000000-0005-0000-0000-0000C27E0000}"/>
    <cellStyle name="Total 8 5 2 2 2 3" xfId="19113" xr:uid="{00000000-0005-0000-0000-0000C37E0000}"/>
    <cellStyle name="Total 8 5 2 2 3" xfId="13988" xr:uid="{00000000-0005-0000-0000-0000C47E0000}"/>
    <cellStyle name="Total 8 5 2 2 3 2" xfId="28820" xr:uid="{00000000-0005-0000-0000-0000C57E0000}"/>
    <cellStyle name="Total 8 5 2 2 4" xfId="10918" xr:uid="{00000000-0005-0000-0000-0000C67E0000}"/>
    <cellStyle name="Total 8 5 2 2 4 2" xfId="25750" xr:uid="{00000000-0005-0000-0000-0000C77E0000}"/>
    <cellStyle name="Total 8 5 2 3" xfId="5119" xr:uid="{00000000-0005-0000-0000-0000C87E0000}"/>
    <cellStyle name="Total 8 5 2 3 2" xfId="9158" xr:uid="{00000000-0005-0000-0000-0000C97E0000}"/>
    <cellStyle name="Total 8 5 2 3 2 2" xfId="18086" xr:uid="{00000000-0005-0000-0000-0000CA7E0000}"/>
    <cellStyle name="Total 8 5 2 3 2 2 2" xfId="32918" xr:uid="{00000000-0005-0000-0000-0000CB7E0000}"/>
    <cellStyle name="Total 8 5 2 3 2 3" xfId="19639" xr:uid="{00000000-0005-0000-0000-0000CC7E0000}"/>
    <cellStyle name="Total 8 5 2 3 3" xfId="15439" xr:uid="{00000000-0005-0000-0000-0000CD7E0000}"/>
    <cellStyle name="Total 8 5 2 3 3 2" xfId="30271" xr:uid="{00000000-0005-0000-0000-0000CE7E0000}"/>
    <cellStyle name="Total 8 5 2 3 4" xfId="11685" xr:uid="{00000000-0005-0000-0000-0000CF7E0000}"/>
    <cellStyle name="Total 8 5 2 3 4 2" xfId="26517" xr:uid="{00000000-0005-0000-0000-0000D07E0000}"/>
    <cellStyle name="Total 8 5 2 4" xfId="3109" xr:uid="{00000000-0005-0000-0000-0000D17E0000}"/>
    <cellStyle name="Total 8 5 2 4 2" xfId="7179" xr:uid="{00000000-0005-0000-0000-0000D27E0000}"/>
    <cellStyle name="Total 8 5 2 4 2 2" xfId="16976" xr:uid="{00000000-0005-0000-0000-0000D37E0000}"/>
    <cellStyle name="Total 8 5 2 4 2 2 2" xfId="31808" xr:uid="{00000000-0005-0000-0000-0000D47E0000}"/>
    <cellStyle name="Total 8 5 2 4 2 3" xfId="18933" xr:uid="{00000000-0005-0000-0000-0000D57E0000}"/>
    <cellStyle name="Total 8 5 2 4 3" xfId="13447" xr:uid="{00000000-0005-0000-0000-0000D67E0000}"/>
    <cellStyle name="Total 8 5 2 4 3 2" xfId="28279" xr:uid="{00000000-0005-0000-0000-0000D77E0000}"/>
    <cellStyle name="Total 8 5 2 4 4" xfId="10633" xr:uid="{00000000-0005-0000-0000-0000D87E0000}"/>
    <cellStyle name="Total 8 5 2 4 4 2" xfId="25465" xr:uid="{00000000-0005-0000-0000-0000D97E0000}"/>
    <cellStyle name="Total 8 5 2 5" xfId="6271" xr:uid="{00000000-0005-0000-0000-0000DA7E0000}"/>
    <cellStyle name="Total 8 5 2 5 2" xfId="16456" xr:uid="{00000000-0005-0000-0000-0000DB7E0000}"/>
    <cellStyle name="Total 8 5 2 5 2 2" xfId="31288" xr:uid="{00000000-0005-0000-0000-0000DC7E0000}"/>
    <cellStyle name="Total 8 5 2 5 3" xfId="18574" xr:uid="{00000000-0005-0000-0000-0000DD7E0000}"/>
    <cellStyle name="Total 8 5 2 6" xfId="12526" xr:uid="{00000000-0005-0000-0000-0000DE7E0000}"/>
    <cellStyle name="Total 8 5 2 6 2" xfId="27358" xr:uid="{00000000-0005-0000-0000-0000DF7E0000}"/>
    <cellStyle name="Total 8 5 2 7" xfId="10108" xr:uid="{00000000-0005-0000-0000-0000E07E0000}"/>
    <cellStyle name="Total 8 5 2 7 2" xfId="24940" xr:uid="{00000000-0005-0000-0000-0000E17E0000}"/>
    <cellStyle name="Total 8 5 3" xfId="3117" xr:uid="{00000000-0005-0000-0000-0000E27E0000}"/>
    <cellStyle name="Total 8 5 3 2" xfId="7182" xr:uid="{00000000-0005-0000-0000-0000E37E0000}"/>
    <cellStyle name="Total 8 5 3 2 2" xfId="16978" xr:uid="{00000000-0005-0000-0000-0000E47E0000}"/>
    <cellStyle name="Total 8 5 3 2 2 2" xfId="31810" xr:uid="{00000000-0005-0000-0000-0000E57E0000}"/>
    <cellStyle name="Total 8 5 3 2 3" xfId="18936" xr:uid="{00000000-0005-0000-0000-0000E67E0000}"/>
    <cellStyle name="Total 8 5 3 3" xfId="13455" xr:uid="{00000000-0005-0000-0000-0000E77E0000}"/>
    <cellStyle name="Total 8 5 3 3 2" xfId="28287" xr:uid="{00000000-0005-0000-0000-0000E87E0000}"/>
    <cellStyle name="Total 8 5 3 4" xfId="10636" xr:uid="{00000000-0005-0000-0000-0000E97E0000}"/>
    <cellStyle name="Total 8 5 3 4 2" xfId="25468" xr:uid="{00000000-0005-0000-0000-0000EA7E0000}"/>
    <cellStyle name="Total 8 5 4" xfId="4699" xr:uid="{00000000-0005-0000-0000-0000EB7E0000}"/>
    <cellStyle name="Total 8 5 4 2" xfId="8738" xr:uid="{00000000-0005-0000-0000-0000EC7E0000}"/>
    <cellStyle name="Total 8 5 4 2 2" xfId="17846" xr:uid="{00000000-0005-0000-0000-0000ED7E0000}"/>
    <cellStyle name="Total 8 5 4 2 2 2" xfId="32678" xr:uid="{00000000-0005-0000-0000-0000EE7E0000}"/>
    <cellStyle name="Total 8 5 4 2 3" xfId="19479" xr:uid="{00000000-0005-0000-0000-0000EF7E0000}"/>
    <cellStyle name="Total 8 5 4 3" xfId="15024" xr:uid="{00000000-0005-0000-0000-0000F07E0000}"/>
    <cellStyle name="Total 8 5 4 3 2" xfId="29856" xr:uid="{00000000-0005-0000-0000-0000F17E0000}"/>
    <cellStyle name="Total 8 5 4 4" xfId="11450" xr:uid="{00000000-0005-0000-0000-0000F27E0000}"/>
    <cellStyle name="Total 8 5 4 4 2" xfId="26282" xr:uid="{00000000-0005-0000-0000-0000F37E0000}"/>
    <cellStyle name="Total 8 5 5" xfId="2689" xr:uid="{00000000-0005-0000-0000-0000F47E0000}"/>
    <cellStyle name="Total 8 5 5 2" xfId="6785" xr:uid="{00000000-0005-0000-0000-0000F57E0000}"/>
    <cellStyle name="Total 8 5 5 2 2" xfId="16741" xr:uid="{00000000-0005-0000-0000-0000F67E0000}"/>
    <cellStyle name="Total 8 5 5 2 2 2" xfId="31573" xr:uid="{00000000-0005-0000-0000-0000F77E0000}"/>
    <cellStyle name="Total 8 5 5 2 3" xfId="18769" xr:uid="{00000000-0005-0000-0000-0000F87E0000}"/>
    <cellStyle name="Total 8 5 5 3" xfId="13027" xr:uid="{00000000-0005-0000-0000-0000F97E0000}"/>
    <cellStyle name="Total 8 5 5 3 2" xfId="27859" xr:uid="{00000000-0005-0000-0000-0000FA7E0000}"/>
    <cellStyle name="Total 8 5 5 4" xfId="10393" xr:uid="{00000000-0005-0000-0000-0000FB7E0000}"/>
    <cellStyle name="Total 8 5 5 4 2" xfId="25225" xr:uid="{00000000-0005-0000-0000-0000FC7E0000}"/>
    <cellStyle name="Total 8 5 6" xfId="5801" xr:uid="{00000000-0005-0000-0000-0000FD7E0000}"/>
    <cellStyle name="Total 8 5 6 2" xfId="16035" xr:uid="{00000000-0005-0000-0000-0000FE7E0000}"/>
    <cellStyle name="Total 8 5 6 2 2" xfId="30867" xr:uid="{00000000-0005-0000-0000-0000FF7E0000}"/>
    <cellStyle name="Total 8 5 6 3" xfId="18410" xr:uid="{00000000-0005-0000-0000-0000007F0000}"/>
    <cellStyle name="Total 8 5 7" xfId="12055" xr:uid="{00000000-0005-0000-0000-0000017F0000}"/>
    <cellStyle name="Total 8 5 7 2" xfId="26887" xr:uid="{00000000-0005-0000-0000-0000027F0000}"/>
    <cellStyle name="Total 8 5 8" xfId="9715" xr:uid="{00000000-0005-0000-0000-0000037F0000}"/>
    <cellStyle name="Total 8 5 8 2" xfId="20015" xr:uid="{00000000-0005-0000-0000-0000047F0000}"/>
    <cellStyle name="Total 8 6" xfId="1805" xr:uid="{00000000-0005-0000-0000-0000057F0000}"/>
    <cellStyle name="Total 8 6 2" xfId="3478" xr:uid="{00000000-0005-0000-0000-0000067F0000}"/>
    <cellStyle name="Total 8 6 2 2" xfId="7540" xr:uid="{00000000-0005-0000-0000-0000077F0000}"/>
    <cellStyle name="Total 8 6 2 2 2" xfId="17208" xr:uid="{00000000-0005-0000-0000-0000087F0000}"/>
    <cellStyle name="Total 8 6 2 2 2 2" xfId="32040" xr:uid="{00000000-0005-0000-0000-0000097F0000}"/>
    <cellStyle name="Total 8 6 2 2 3" xfId="19046" xr:uid="{00000000-0005-0000-0000-00000A7F0000}"/>
    <cellStyle name="Total 8 6 2 3" xfId="13815" xr:uid="{00000000-0005-0000-0000-00000B7F0000}"/>
    <cellStyle name="Total 8 6 2 3 2" xfId="28647" xr:uid="{00000000-0005-0000-0000-00000C7F0000}"/>
    <cellStyle name="Total 8 6 2 4" xfId="10826" xr:uid="{00000000-0005-0000-0000-00000D7F0000}"/>
    <cellStyle name="Total 8 6 2 4 2" xfId="25658" xr:uid="{00000000-0005-0000-0000-00000E7F0000}"/>
    <cellStyle name="Total 8 6 3" xfId="4783" xr:uid="{00000000-0005-0000-0000-00000F7F0000}"/>
    <cellStyle name="Total 8 6 3 2" xfId="8822" xr:uid="{00000000-0005-0000-0000-0000107F0000}"/>
    <cellStyle name="Total 8 6 3 2 2" xfId="17894" xr:uid="{00000000-0005-0000-0000-0000117F0000}"/>
    <cellStyle name="Total 8 6 3 2 2 2" xfId="32726" xr:uid="{00000000-0005-0000-0000-0000127F0000}"/>
    <cellStyle name="Total 8 6 3 2 3" xfId="19511" xr:uid="{00000000-0005-0000-0000-0000137F0000}"/>
    <cellStyle name="Total 8 6 3 3" xfId="15107" xr:uid="{00000000-0005-0000-0000-0000147F0000}"/>
    <cellStyle name="Total 8 6 3 3 2" xfId="29939" xr:uid="{00000000-0005-0000-0000-0000157F0000}"/>
    <cellStyle name="Total 8 6 3 4" xfId="11497" xr:uid="{00000000-0005-0000-0000-0000167F0000}"/>
    <cellStyle name="Total 8 6 3 4 2" xfId="26329" xr:uid="{00000000-0005-0000-0000-0000177F0000}"/>
    <cellStyle name="Total 8 6 4" xfId="2773" xr:uid="{00000000-0005-0000-0000-0000187F0000}"/>
    <cellStyle name="Total 8 6 4 2" xfId="6864" xr:uid="{00000000-0005-0000-0000-0000197F0000}"/>
    <cellStyle name="Total 8 6 4 2 2" xfId="16788" xr:uid="{00000000-0005-0000-0000-00001A7F0000}"/>
    <cellStyle name="Total 8 6 4 2 2 2" xfId="31620" xr:uid="{00000000-0005-0000-0000-00001B7F0000}"/>
    <cellStyle name="Total 8 6 4 2 3" xfId="18802" xr:uid="{00000000-0005-0000-0000-00001C7F0000}"/>
    <cellStyle name="Total 8 6 4 3" xfId="13111" xr:uid="{00000000-0005-0000-0000-00001D7F0000}"/>
    <cellStyle name="Total 8 6 4 3 2" xfId="27943" xr:uid="{00000000-0005-0000-0000-00001E7F0000}"/>
    <cellStyle name="Total 8 6 4 4" xfId="10441" xr:uid="{00000000-0005-0000-0000-00001F7F0000}"/>
    <cellStyle name="Total 8 6 4 4 2" xfId="25273" xr:uid="{00000000-0005-0000-0000-0000207F0000}"/>
    <cellStyle name="Total 8 6 5" xfId="5937" xr:uid="{00000000-0005-0000-0000-0000217F0000}"/>
    <cellStyle name="Total 8 6 5 2" xfId="16129" xr:uid="{00000000-0005-0000-0000-0000227F0000}"/>
    <cellStyle name="Total 8 6 5 2 2" xfId="30961" xr:uid="{00000000-0005-0000-0000-0000237F0000}"/>
    <cellStyle name="Total 8 6 5 3" xfId="18444" xr:uid="{00000000-0005-0000-0000-0000247F0000}"/>
    <cellStyle name="Total 8 6 6" xfId="12199" xr:uid="{00000000-0005-0000-0000-0000257F0000}"/>
    <cellStyle name="Total 8 6 6 2" xfId="27031" xr:uid="{00000000-0005-0000-0000-0000267F0000}"/>
    <cellStyle name="Total 8 6 7" xfId="9795" xr:uid="{00000000-0005-0000-0000-0000277F0000}"/>
    <cellStyle name="Total 8 6 7 2" xfId="24752" xr:uid="{00000000-0005-0000-0000-0000287F0000}"/>
    <cellStyle name="Total 8 7" xfId="2161" xr:uid="{00000000-0005-0000-0000-0000297F0000}"/>
    <cellStyle name="Total 8 7 2" xfId="3633" xr:uid="{00000000-0005-0000-0000-00002A7F0000}"/>
    <cellStyle name="Total 8 7 2 2" xfId="7692" xr:uid="{00000000-0005-0000-0000-00002B7F0000}"/>
    <cellStyle name="Total 8 7 2 2 2" xfId="17291" xr:uid="{00000000-0005-0000-0000-00002C7F0000}"/>
    <cellStyle name="Total 8 7 2 2 2 2" xfId="32123" xr:uid="{00000000-0005-0000-0000-00002D7F0000}"/>
    <cellStyle name="Total 8 7 2 2 3" xfId="19105" xr:uid="{00000000-0005-0000-0000-00002E7F0000}"/>
    <cellStyle name="Total 8 7 2 3" xfId="13968" xr:uid="{00000000-0005-0000-0000-00002F7F0000}"/>
    <cellStyle name="Total 8 7 2 3 2" xfId="28800" xr:uid="{00000000-0005-0000-0000-0000307F0000}"/>
    <cellStyle name="Total 8 7 2 4" xfId="10907" xr:uid="{00000000-0005-0000-0000-0000317F0000}"/>
    <cellStyle name="Total 8 7 2 4 2" xfId="25739" xr:uid="{00000000-0005-0000-0000-0000327F0000}"/>
    <cellStyle name="Total 8 7 3" xfId="5129" xr:uid="{00000000-0005-0000-0000-0000337F0000}"/>
    <cellStyle name="Total 8 7 3 2" xfId="9168" xr:uid="{00000000-0005-0000-0000-0000347F0000}"/>
    <cellStyle name="Total 8 7 3 2 2" xfId="18091" xr:uid="{00000000-0005-0000-0000-0000357F0000}"/>
    <cellStyle name="Total 8 7 3 2 2 2" xfId="32923" xr:uid="{00000000-0005-0000-0000-0000367F0000}"/>
    <cellStyle name="Total 8 7 3 2 3" xfId="19642" xr:uid="{00000000-0005-0000-0000-0000377F0000}"/>
    <cellStyle name="Total 8 7 3 3" xfId="15447" xr:uid="{00000000-0005-0000-0000-0000387F0000}"/>
    <cellStyle name="Total 8 7 3 3 2" xfId="30279" xr:uid="{00000000-0005-0000-0000-0000397F0000}"/>
    <cellStyle name="Total 8 7 3 4" xfId="11688" xr:uid="{00000000-0005-0000-0000-00003A7F0000}"/>
    <cellStyle name="Total 8 7 3 4 2" xfId="26520" xr:uid="{00000000-0005-0000-0000-00003B7F0000}"/>
    <cellStyle name="Total 8 7 4" xfId="4159" xr:uid="{00000000-0005-0000-0000-00003C7F0000}"/>
    <cellStyle name="Total 8 7 4 2" xfId="8200" xr:uid="{00000000-0005-0000-0000-00003D7F0000}"/>
    <cellStyle name="Total 8 7 4 2 2" xfId="17547" xr:uid="{00000000-0005-0000-0000-00003E7F0000}"/>
    <cellStyle name="Total 8 7 4 2 2 2" xfId="32379" xr:uid="{00000000-0005-0000-0000-00003F7F0000}"/>
    <cellStyle name="Total 8 7 4 2 3" xfId="19285" xr:uid="{00000000-0005-0000-0000-0000407F0000}"/>
    <cellStyle name="Total 8 7 4 3" xfId="14491" xr:uid="{00000000-0005-0000-0000-0000417F0000}"/>
    <cellStyle name="Total 8 7 4 3 2" xfId="29323" xr:uid="{00000000-0005-0000-0000-0000427F0000}"/>
    <cellStyle name="Total 8 7 4 4" xfId="11167" xr:uid="{00000000-0005-0000-0000-0000437F0000}"/>
    <cellStyle name="Total 8 7 4 4 2" xfId="25999" xr:uid="{00000000-0005-0000-0000-0000447F0000}"/>
    <cellStyle name="Total 8 7 5" xfId="6275" xr:uid="{00000000-0005-0000-0000-0000457F0000}"/>
    <cellStyle name="Total 8 7 5 2" xfId="16459" xr:uid="{00000000-0005-0000-0000-0000467F0000}"/>
    <cellStyle name="Total 8 7 5 2 2" xfId="31291" xr:uid="{00000000-0005-0000-0000-0000477F0000}"/>
    <cellStyle name="Total 8 7 5 3" xfId="18578" xr:uid="{00000000-0005-0000-0000-0000487F0000}"/>
    <cellStyle name="Total 8 7 6" xfId="12529" xr:uid="{00000000-0005-0000-0000-0000497F0000}"/>
    <cellStyle name="Total 8 7 6 2" xfId="27361" xr:uid="{00000000-0005-0000-0000-00004A7F0000}"/>
    <cellStyle name="Total 8 7 7" xfId="10111" xr:uid="{00000000-0005-0000-0000-00004B7F0000}"/>
    <cellStyle name="Total 8 7 7 2" xfId="24943" xr:uid="{00000000-0005-0000-0000-00004C7F0000}"/>
    <cellStyle name="Total 8 8" xfId="3320" xr:uid="{00000000-0005-0000-0000-00004D7F0000}"/>
    <cellStyle name="Total 8 8 2" xfId="7383" xr:uid="{00000000-0005-0000-0000-00004E7F0000}"/>
    <cellStyle name="Total 8 8 2 2" xfId="17117" xr:uid="{00000000-0005-0000-0000-00004F7F0000}"/>
    <cellStyle name="Total 8 8 2 2 2" xfId="31949" xr:uid="{00000000-0005-0000-0000-0000507F0000}"/>
    <cellStyle name="Total 8 8 2 3" xfId="18997" xr:uid="{00000000-0005-0000-0000-0000517F0000}"/>
    <cellStyle name="Total 8 8 3" xfId="13657" xr:uid="{00000000-0005-0000-0000-0000527F0000}"/>
    <cellStyle name="Total 8 8 3 2" xfId="28489" xr:uid="{00000000-0005-0000-0000-0000537F0000}"/>
    <cellStyle name="Total 8 8 4" xfId="10738" xr:uid="{00000000-0005-0000-0000-0000547F0000}"/>
    <cellStyle name="Total 8 8 4 2" xfId="25570" xr:uid="{00000000-0005-0000-0000-0000557F0000}"/>
    <cellStyle name="Total 8 9" xfId="4311" xr:uid="{00000000-0005-0000-0000-0000567F0000}"/>
    <cellStyle name="Total 8 9 2" xfId="8350" xr:uid="{00000000-0005-0000-0000-0000577F0000}"/>
    <cellStyle name="Total 8 9 2 2" xfId="17629" xr:uid="{00000000-0005-0000-0000-0000587F0000}"/>
    <cellStyle name="Total 8 9 2 2 2" xfId="32461" xr:uid="{00000000-0005-0000-0000-0000597F0000}"/>
    <cellStyle name="Total 8 9 2 3" xfId="19332" xr:uid="{00000000-0005-0000-0000-00005A7F0000}"/>
    <cellStyle name="Total 8 9 3" xfId="14642" xr:uid="{00000000-0005-0000-0000-00005B7F0000}"/>
    <cellStyle name="Total 8 9 3 2" xfId="29474" xr:uid="{00000000-0005-0000-0000-00005C7F0000}"/>
    <cellStyle name="Total 8 9 4" xfId="11239" xr:uid="{00000000-0005-0000-0000-00005D7F0000}"/>
    <cellStyle name="Total 8 9 4 2" xfId="26071" xr:uid="{00000000-0005-0000-0000-00005E7F0000}"/>
    <cellStyle name="Total 9" xfId="1281" xr:uid="{00000000-0005-0000-0000-00005F7F0000}"/>
    <cellStyle name="Total 9 10" xfId="2348" xr:uid="{00000000-0005-0000-0000-0000607F0000}"/>
    <cellStyle name="Total 9 10 2" xfId="6460" xr:uid="{00000000-0005-0000-0000-0000617F0000}"/>
    <cellStyle name="Total 9 10 2 2" xfId="16552" xr:uid="{00000000-0005-0000-0000-0000627F0000}"/>
    <cellStyle name="Total 9 10 2 2 2" xfId="31384" xr:uid="{00000000-0005-0000-0000-0000637F0000}"/>
    <cellStyle name="Total 9 10 2 3" xfId="18640" xr:uid="{00000000-0005-0000-0000-0000647F0000}"/>
    <cellStyle name="Total 9 10 3" xfId="12688" xr:uid="{00000000-0005-0000-0000-0000657F0000}"/>
    <cellStyle name="Total 9 10 3 2" xfId="27520" xr:uid="{00000000-0005-0000-0000-0000667F0000}"/>
    <cellStyle name="Total 9 10 4" xfId="10203" xr:uid="{00000000-0005-0000-0000-0000677F0000}"/>
    <cellStyle name="Total 9 10 4 2" xfId="25035" xr:uid="{00000000-0005-0000-0000-0000687F0000}"/>
    <cellStyle name="Total 9 11" xfId="5310" xr:uid="{00000000-0005-0000-0000-0000697F0000}"/>
    <cellStyle name="Total 9 11 2" xfId="9318" xr:uid="{00000000-0005-0000-0000-00006A7F0000}"/>
    <cellStyle name="Total 9 11 2 2" xfId="18185" xr:uid="{00000000-0005-0000-0000-00006B7F0000}"/>
    <cellStyle name="Total 9 11 2 2 2" xfId="33017" xr:uid="{00000000-0005-0000-0000-00006C7F0000}"/>
    <cellStyle name="Total 9 11 2 3" xfId="19704" xr:uid="{00000000-0005-0000-0000-00006D7F0000}"/>
    <cellStyle name="Total 9 11 3" xfId="15626" xr:uid="{00000000-0005-0000-0000-00006E7F0000}"/>
    <cellStyle name="Total 9 11 3 2" xfId="30458" xr:uid="{00000000-0005-0000-0000-00006F7F0000}"/>
    <cellStyle name="Total 9 12" xfId="5468" xr:uid="{00000000-0005-0000-0000-0000707F0000}"/>
    <cellStyle name="Total 9 12 2" xfId="15704" xr:uid="{00000000-0005-0000-0000-0000717F0000}"/>
    <cellStyle name="Total 9 12 2 2" xfId="30536" xr:uid="{00000000-0005-0000-0000-0000727F0000}"/>
    <cellStyle name="Total 9 12 3" xfId="18281" xr:uid="{00000000-0005-0000-0000-0000737F0000}"/>
    <cellStyle name="Total 9 13" xfId="9323" xr:uid="{00000000-0005-0000-0000-0000747F0000}"/>
    <cellStyle name="Total 9 13 2" xfId="24629" xr:uid="{00000000-0005-0000-0000-0000757F0000}"/>
    <cellStyle name="Total 9 14" xfId="5312" xr:uid="{00000000-0005-0000-0000-0000767F0000}"/>
    <cellStyle name="Total 9 14 2" xfId="18186" xr:uid="{00000000-0005-0000-0000-0000777F0000}"/>
    <cellStyle name="Total 9 2" xfId="1380" xr:uid="{00000000-0005-0000-0000-0000787F0000}"/>
    <cellStyle name="Total 9 2 2" xfId="1884" xr:uid="{00000000-0005-0000-0000-0000797F0000}"/>
    <cellStyle name="Total 9 2 2 2" xfId="4340" xr:uid="{00000000-0005-0000-0000-00007A7F0000}"/>
    <cellStyle name="Total 9 2 2 2 2" xfId="8379" xr:uid="{00000000-0005-0000-0000-00007B7F0000}"/>
    <cellStyle name="Total 9 2 2 2 2 2" xfId="17653" xr:uid="{00000000-0005-0000-0000-00007C7F0000}"/>
    <cellStyle name="Total 9 2 2 2 2 2 2" xfId="32485" xr:uid="{00000000-0005-0000-0000-00007D7F0000}"/>
    <cellStyle name="Total 9 2 2 2 2 3" xfId="19352" xr:uid="{00000000-0005-0000-0000-00007E7F0000}"/>
    <cellStyle name="Total 9 2 2 2 3" xfId="14671" xr:uid="{00000000-0005-0000-0000-00007F7F0000}"/>
    <cellStyle name="Total 9 2 2 2 3 2" xfId="29503" xr:uid="{00000000-0005-0000-0000-0000807F0000}"/>
    <cellStyle name="Total 9 2 2 2 4" xfId="11263" xr:uid="{00000000-0005-0000-0000-0000817F0000}"/>
    <cellStyle name="Total 9 2 2 2 4 2" xfId="26095" xr:uid="{00000000-0005-0000-0000-0000827F0000}"/>
    <cellStyle name="Total 9 2 2 3" xfId="4862" xr:uid="{00000000-0005-0000-0000-0000837F0000}"/>
    <cellStyle name="Total 9 2 2 3 2" xfId="8901" xr:uid="{00000000-0005-0000-0000-0000847F0000}"/>
    <cellStyle name="Total 9 2 2 3 2 2" xfId="17942" xr:uid="{00000000-0005-0000-0000-0000857F0000}"/>
    <cellStyle name="Total 9 2 2 3 2 2 2" xfId="32774" xr:uid="{00000000-0005-0000-0000-0000867F0000}"/>
    <cellStyle name="Total 9 2 2 3 2 3" xfId="19544" xr:uid="{00000000-0005-0000-0000-0000877F0000}"/>
    <cellStyle name="Total 9 2 2 3 3" xfId="15186" xr:uid="{00000000-0005-0000-0000-0000887F0000}"/>
    <cellStyle name="Total 9 2 2 3 3 2" xfId="30018" xr:uid="{00000000-0005-0000-0000-0000897F0000}"/>
    <cellStyle name="Total 9 2 2 3 4" xfId="11545" xr:uid="{00000000-0005-0000-0000-00008A7F0000}"/>
    <cellStyle name="Total 9 2 2 3 4 2" xfId="26377" xr:uid="{00000000-0005-0000-0000-00008B7F0000}"/>
    <cellStyle name="Total 9 2 2 4" xfId="2852" xr:uid="{00000000-0005-0000-0000-00008C7F0000}"/>
    <cellStyle name="Total 9 2 2 4 2" xfId="6943" xr:uid="{00000000-0005-0000-0000-00008D7F0000}"/>
    <cellStyle name="Total 9 2 2 4 2 2" xfId="16836" xr:uid="{00000000-0005-0000-0000-00008E7F0000}"/>
    <cellStyle name="Total 9 2 2 4 2 2 2" xfId="31668" xr:uid="{00000000-0005-0000-0000-00008F7F0000}"/>
    <cellStyle name="Total 9 2 2 4 2 3" xfId="18835" xr:uid="{00000000-0005-0000-0000-0000907F0000}"/>
    <cellStyle name="Total 9 2 2 4 3" xfId="13190" xr:uid="{00000000-0005-0000-0000-0000917F0000}"/>
    <cellStyle name="Total 9 2 2 4 3 2" xfId="28022" xr:uid="{00000000-0005-0000-0000-0000927F0000}"/>
    <cellStyle name="Total 9 2 2 4 4" xfId="10489" xr:uid="{00000000-0005-0000-0000-0000937F0000}"/>
    <cellStyle name="Total 9 2 2 4 4 2" xfId="25321" xr:uid="{00000000-0005-0000-0000-0000947F0000}"/>
    <cellStyle name="Total 9 2 2 5" xfId="6016" xr:uid="{00000000-0005-0000-0000-0000957F0000}"/>
    <cellStyle name="Total 9 2 2 5 2" xfId="16208" xr:uid="{00000000-0005-0000-0000-0000967F0000}"/>
    <cellStyle name="Total 9 2 2 5 2 2" xfId="31040" xr:uid="{00000000-0005-0000-0000-0000977F0000}"/>
    <cellStyle name="Total 9 2 2 5 3" xfId="18477" xr:uid="{00000000-0005-0000-0000-0000987F0000}"/>
    <cellStyle name="Total 9 2 2 6" xfId="12278" xr:uid="{00000000-0005-0000-0000-0000997F0000}"/>
    <cellStyle name="Total 9 2 2 6 2" xfId="27110" xr:uid="{00000000-0005-0000-0000-00009A7F0000}"/>
    <cellStyle name="Total 9 2 2 7" xfId="9874" xr:uid="{00000000-0005-0000-0000-00009B7F0000}"/>
    <cellStyle name="Total 9 2 2 7 2" xfId="24800" xr:uid="{00000000-0005-0000-0000-00009C7F0000}"/>
    <cellStyle name="Total 9 2 3" xfId="3461" xr:uid="{00000000-0005-0000-0000-00009D7F0000}"/>
    <cellStyle name="Total 9 2 3 2" xfId="7524" xr:uid="{00000000-0005-0000-0000-00009E7F0000}"/>
    <cellStyle name="Total 9 2 3 2 2" xfId="17200" xr:uid="{00000000-0005-0000-0000-00009F7F0000}"/>
    <cellStyle name="Total 9 2 3 2 2 2" xfId="32032" xr:uid="{00000000-0005-0000-0000-0000A07F0000}"/>
    <cellStyle name="Total 9 2 3 2 3" xfId="19042" xr:uid="{00000000-0005-0000-0000-0000A17F0000}"/>
    <cellStyle name="Total 9 2 3 3" xfId="13798" xr:uid="{00000000-0005-0000-0000-0000A27F0000}"/>
    <cellStyle name="Total 9 2 3 3 2" xfId="28630" xr:uid="{00000000-0005-0000-0000-0000A37F0000}"/>
    <cellStyle name="Total 9 2 3 4" xfId="10819" xr:uid="{00000000-0005-0000-0000-0000A47F0000}"/>
    <cellStyle name="Total 9 2 3 4 2" xfId="25651" xr:uid="{00000000-0005-0000-0000-0000A57F0000}"/>
    <cellStyle name="Total 9 2 4" xfId="4442" xr:uid="{00000000-0005-0000-0000-0000A67F0000}"/>
    <cellStyle name="Total 9 2 4 2" xfId="8481" xr:uid="{00000000-0005-0000-0000-0000A77F0000}"/>
    <cellStyle name="Total 9 2 4 2 2" xfId="17702" xr:uid="{00000000-0005-0000-0000-0000A87F0000}"/>
    <cellStyle name="Total 9 2 4 2 2 2" xfId="32534" xr:uid="{00000000-0005-0000-0000-0000A97F0000}"/>
    <cellStyle name="Total 9 2 4 2 3" xfId="19384" xr:uid="{00000000-0005-0000-0000-0000AA7F0000}"/>
    <cellStyle name="Total 9 2 4 3" xfId="14771" xr:uid="{00000000-0005-0000-0000-0000AB7F0000}"/>
    <cellStyle name="Total 9 2 4 3 2" xfId="29603" xr:uid="{00000000-0005-0000-0000-0000AC7F0000}"/>
    <cellStyle name="Total 9 2 4 4" xfId="11310" xr:uid="{00000000-0005-0000-0000-0000AD7F0000}"/>
    <cellStyle name="Total 9 2 4 4 2" xfId="26142" xr:uid="{00000000-0005-0000-0000-0000AE7F0000}"/>
    <cellStyle name="Total 9 2 5" xfId="2432" xr:uid="{00000000-0005-0000-0000-0000AF7F0000}"/>
    <cellStyle name="Total 9 2 5 2" xfId="6544" xr:uid="{00000000-0005-0000-0000-0000B07F0000}"/>
    <cellStyle name="Total 9 2 5 2 2" xfId="16600" xr:uid="{00000000-0005-0000-0000-0000B17F0000}"/>
    <cellStyle name="Total 9 2 5 2 2 2" xfId="31432" xr:uid="{00000000-0005-0000-0000-0000B27F0000}"/>
    <cellStyle name="Total 9 2 5 2 3" xfId="18672" xr:uid="{00000000-0005-0000-0000-0000B37F0000}"/>
    <cellStyle name="Total 9 2 5 3" xfId="12771" xr:uid="{00000000-0005-0000-0000-0000B47F0000}"/>
    <cellStyle name="Total 9 2 5 3 2" xfId="27603" xr:uid="{00000000-0005-0000-0000-0000B57F0000}"/>
    <cellStyle name="Total 9 2 5 4" xfId="10250" xr:uid="{00000000-0005-0000-0000-0000B67F0000}"/>
    <cellStyle name="Total 9 2 5 4 2" xfId="25082" xr:uid="{00000000-0005-0000-0000-0000B77F0000}"/>
    <cellStyle name="Total 9 2 6" xfId="5557" xr:uid="{00000000-0005-0000-0000-0000B87F0000}"/>
    <cellStyle name="Total 9 2 6 2" xfId="15792" xr:uid="{00000000-0005-0000-0000-0000B97F0000}"/>
    <cellStyle name="Total 9 2 6 2 2" xfId="30624" xr:uid="{00000000-0005-0000-0000-0000BA7F0000}"/>
    <cellStyle name="Total 9 2 6 3" xfId="18314" xr:uid="{00000000-0005-0000-0000-0000BB7F0000}"/>
    <cellStyle name="Total 9 2 7" xfId="11807" xr:uid="{00000000-0005-0000-0000-0000BC7F0000}"/>
    <cellStyle name="Total 9 2 7 2" xfId="26639" xr:uid="{00000000-0005-0000-0000-0000BD7F0000}"/>
    <cellStyle name="Total 9 2 8" xfId="9478" xr:uid="{00000000-0005-0000-0000-0000BE7F0000}"/>
    <cellStyle name="Total 9 2 8 2" xfId="19782" xr:uid="{00000000-0005-0000-0000-0000BF7F0000}"/>
    <cellStyle name="Total 9 3" xfId="1552" xr:uid="{00000000-0005-0000-0000-0000C07F0000}"/>
    <cellStyle name="Total 9 3 2" xfId="2049" xr:uid="{00000000-0005-0000-0000-0000C17F0000}"/>
    <cellStyle name="Total 9 3 2 2" xfId="3393" xr:uid="{00000000-0005-0000-0000-0000C27F0000}"/>
    <cellStyle name="Total 9 3 2 2 2" xfId="7456" xr:uid="{00000000-0005-0000-0000-0000C37F0000}"/>
    <cellStyle name="Total 9 3 2 2 2 2" xfId="17159" xr:uid="{00000000-0005-0000-0000-0000C47F0000}"/>
    <cellStyle name="Total 9 3 2 2 2 2 2" xfId="31991" xr:uid="{00000000-0005-0000-0000-0000C57F0000}"/>
    <cellStyle name="Total 9 3 2 2 2 3" xfId="19021" xr:uid="{00000000-0005-0000-0000-0000C67F0000}"/>
    <cellStyle name="Total 9 3 2 2 3" xfId="13730" xr:uid="{00000000-0005-0000-0000-0000C77F0000}"/>
    <cellStyle name="Total 9 3 2 2 3 2" xfId="28562" xr:uid="{00000000-0005-0000-0000-0000C87F0000}"/>
    <cellStyle name="Total 9 3 2 2 4" xfId="10778" xr:uid="{00000000-0005-0000-0000-0000C97F0000}"/>
    <cellStyle name="Total 9 3 2 2 4 2" xfId="25610" xr:uid="{00000000-0005-0000-0000-0000CA7F0000}"/>
    <cellStyle name="Total 9 3 2 3" xfId="5017" xr:uid="{00000000-0005-0000-0000-0000CB7F0000}"/>
    <cellStyle name="Total 9 3 2 3 2" xfId="9056" xr:uid="{00000000-0005-0000-0000-0000CC7F0000}"/>
    <cellStyle name="Total 9 3 2 3 2 2" xfId="17994" xr:uid="{00000000-0005-0000-0000-0000CD7F0000}"/>
    <cellStyle name="Total 9 3 2 3 2 2 2" xfId="32826" xr:uid="{00000000-0005-0000-0000-0000CE7F0000}"/>
    <cellStyle name="Total 9 3 2 3 2 3" xfId="19576" xr:uid="{00000000-0005-0000-0000-0000CF7F0000}"/>
    <cellStyle name="Total 9 3 2 3 3" xfId="15339" xr:uid="{00000000-0005-0000-0000-0000D07F0000}"/>
    <cellStyle name="Total 9 3 2 3 3 2" xfId="30171" xr:uid="{00000000-0005-0000-0000-0000D17F0000}"/>
    <cellStyle name="Total 9 3 2 3 4" xfId="11595" xr:uid="{00000000-0005-0000-0000-0000D27F0000}"/>
    <cellStyle name="Total 9 3 2 3 4 2" xfId="26427" xr:uid="{00000000-0005-0000-0000-0000D37F0000}"/>
    <cellStyle name="Total 9 3 2 4" xfId="3007" xr:uid="{00000000-0005-0000-0000-0000D47F0000}"/>
    <cellStyle name="Total 9 3 2 4 2" xfId="7087" xr:uid="{00000000-0005-0000-0000-0000D57F0000}"/>
    <cellStyle name="Total 9 3 2 4 2 2" xfId="16886" xr:uid="{00000000-0005-0000-0000-0000D67F0000}"/>
    <cellStyle name="Total 9 3 2 4 2 2 2" xfId="31718" xr:uid="{00000000-0005-0000-0000-0000D77F0000}"/>
    <cellStyle name="Total 9 3 2 4 2 3" xfId="18868" xr:uid="{00000000-0005-0000-0000-0000D87F0000}"/>
    <cellStyle name="Total 9 3 2 4 3" xfId="13345" xr:uid="{00000000-0005-0000-0000-0000D97F0000}"/>
    <cellStyle name="Total 9 3 2 4 3 2" xfId="28177" xr:uid="{00000000-0005-0000-0000-0000DA7F0000}"/>
    <cellStyle name="Total 9 3 2 4 4" xfId="10541" xr:uid="{00000000-0005-0000-0000-0000DB7F0000}"/>
    <cellStyle name="Total 9 3 2 4 4 2" xfId="25373" xr:uid="{00000000-0005-0000-0000-0000DC7F0000}"/>
    <cellStyle name="Total 9 3 2 5" xfId="6179" xr:uid="{00000000-0005-0000-0000-0000DD7F0000}"/>
    <cellStyle name="Total 9 3 2 5 2" xfId="16366" xr:uid="{00000000-0005-0000-0000-0000DE7F0000}"/>
    <cellStyle name="Total 9 3 2 5 2 2" xfId="31198" xr:uid="{00000000-0005-0000-0000-0000DF7F0000}"/>
    <cellStyle name="Total 9 3 2 5 3" xfId="18509" xr:uid="{00000000-0005-0000-0000-0000E07F0000}"/>
    <cellStyle name="Total 9 3 2 6" xfId="12436" xr:uid="{00000000-0005-0000-0000-0000E17F0000}"/>
    <cellStyle name="Total 9 3 2 6 2" xfId="27268" xr:uid="{00000000-0005-0000-0000-0000E27F0000}"/>
    <cellStyle name="Total 9 3 2 7" xfId="10018" xr:uid="{00000000-0005-0000-0000-0000E37F0000}"/>
    <cellStyle name="Total 9 3 2 7 2" xfId="24850" xr:uid="{00000000-0005-0000-0000-0000E47F0000}"/>
    <cellStyle name="Total 9 3 3" xfId="4304" xr:uid="{00000000-0005-0000-0000-0000E57F0000}"/>
    <cellStyle name="Total 9 3 3 2" xfId="8343" xr:uid="{00000000-0005-0000-0000-0000E67F0000}"/>
    <cellStyle name="Total 9 3 3 2 2" xfId="17622" xr:uid="{00000000-0005-0000-0000-0000E77F0000}"/>
    <cellStyle name="Total 9 3 3 2 2 2" xfId="32454" xr:uid="{00000000-0005-0000-0000-0000E87F0000}"/>
    <cellStyle name="Total 9 3 3 2 3" xfId="19328" xr:uid="{00000000-0005-0000-0000-0000E97F0000}"/>
    <cellStyle name="Total 9 3 3 3" xfId="14635" xr:uid="{00000000-0005-0000-0000-0000EA7F0000}"/>
    <cellStyle name="Total 9 3 3 3 2" xfId="29467" xr:uid="{00000000-0005-0000-0000-0000EB7F0000}"/>
    <cellStyle name="Total 9 3 3 4" xfId="11234" xr:uid="{00000000-0005-0000-0000-0000EC7F0000}"/>
    <cellStyle name="Total 9 3 3 4 2" xfId="26066" xr:uid="{00000000-0005-0000-0000-0000ED7F0000}"/>
    <cellStyle name="Total 9 3 4" xfId="4597" xr:uid="{00000000-0005-0000-0000-0000EE7F0000}"/>
    <cellStyle name="Total 9 3 4 2" xfId="8636" xr:uid="{00000000-0005-0000-0000-0000EF7F0000}"/>
    <cellStyle name="Total 9 3 4 2 2" xfId="17754" xr:uid="{00000000-0005-0000-0000-0000F07F0000}"/>
    <cellStyle name="Total 9 3 4 2 2 2" xfId="32586" xr:uid="{00000000-0005-0000-0000-0000F17F0000}"/>
    <cellStyle name="Total 9 3 4 2 3" xfId="19416" xr:uid="{00000000-0005-0000-0000-0000F27F0000}"/>
    <cellStyle name="Total 9 3 4 3" xfId="14924" xr:uid="{00000000-0005-0000-0000-0000F37F0000}"/>
    <cellStyle name="Total 9 3 4 3 2" xfId="29756" xr:uid="{00000000-0005-0000-0000-0000F47F0000}"/>
    <cellStyle name="Total 9 3 4 4" xfId="11360" xr:uid="{00000000-0005-0000-0000-0000F57F0000}"/>
    <cellStyle name="Total 9 3 4 4 2" xfId="26192" xr:uid="{00000000-0005-0000-0000-0000F67F0000}"/>
    <cellStyle name="Total 9 3 5" xfId="2587" xr:uid="{00000000-0005-0000-0000-0000F77F0000}"/>
    <cellStyle name="Total 9 3 5 2" xfId="6693" xr:uid="{00000000-0005-0000-0000-0000F87F0000}"/>
    <cellStyle name="Total 9 3 5 2 2" xfId="16651" xr:uid="{00000000-0005-0000-0000-0000F97F0000}"/>
    <cellStyle name="Total 9 3 5 2 2 2" xfId="31483" xr:uid="{00000000-0005-0000-0000-0000FA7F0000}"/>
    <cellStyle name="Total 9 3 5 2 3" xfId="18704" xr:uid="{00000000-0005-0000-0000-0000FB7F0000}"/>
    <cellStyle name="Total 9 3 5 3" xfId="12925" xr:uid="{00000000-0005-0000-0000-0000FC7F0000}"/>
    <cellStyle name="Total 9 3 5 3 2" xfId="27757" xr:uid="{00000000-0005-0000-0000-0000FD7F0000}"/>
    <cellStyle name="Total 9 3 5 4" xfId="10301" xr:uid="{00000000-0005-0000-0000-0000FE7F0000}"/>
    <cellStyle name="Total 9 3 5 4 2" xfId="25133" xr:uid="{00000000-0005-0000-0000-0000FF7F0000}"/>
    <cellStyle name="Total 9 3 6" xfId="5710" xr:uid="{00000000-0005-0000-0000-000000800000}"/>
    <cellStyle name="Total 9 3 6 2" xfId="15945" xr:uid="{00000000-0005-0000-0000-000001800000}"/>
    <cellStyle name="Total 9 3 6 2 2" xfId="30777" xr:uid="{00000000-0005-0000-0000-000002800000}"/>
    <cellStyle name="Total 9 3 6 3" xfId="18346" xr:uid="{00000000-0005-0000-0000-000003800000}"/>
    <cellStyle name="Total 9 3 7" xfId="11965" xr:uid="{00000000-0005-0000-0000-000004800000}"/>
    <cellStyle name="Total 9 3 7 2" xfId="26797" xr:uid="{00000000-0005-0000-0000-000005800000}"/>
    <cellStyle name="Total 9 3 8" xfId="9623" xr:uid="{00000000-0005-0000-0000-000006800000}"/>
    <cellStyle name="Total 9 3 8 2" xfId="19925" xr:uid="{00000000-0005-0000-0000-000007800000}"/>
    <cellStyle name="Total 9 4" xfId="1605" xr:uid="{00000000-0005-0000-0000-000008800000}"/>
    <cellStyle name="Total 9 4 2" xfId="2102" xr:uid="{00000000-0005-0000-0000-000009800000}"/>
    <cellStyle name="Total 9 4 2 2" xfId="3439" xr:uid="{00000000-0005-0000-0000-00000A800000}"/>
    <cellStyle name="Total 9 4 2 2 2" xfId="7502" xr:uid="{00000000-0005-0000-0000-00000B800000}"/>
    <cellStyle name="Total 9 4 2 2 2 2" xfId="17190" xr:uid="{00000000-0005-0000-0000-00000C800000}"/>
    <cellStyle name="Total 9 4 2 2 2 2 2" xfId="32022" xr:uid="{00000000-0005-0000-0000-00000D800000}"/>
    <cellStyle name="Total 9 4 2 2 2 3" xfId="19036" xr:uid="{00000000-0005-0000-0000-00000E800000}"/>
    <cellStyle name="Total 9 4 2 2 3" xfId="13776" xr:uid="{00000000-0005-0000-0000-00000F800000}"/>
    <cellStyle name="Total 9 4 2 2 3 2" xfId="28608" xr:uid="{00000000-0005-0000-0000-000010800000}"/>
    <cellStyle name="Total 9 4 2 2 4" xfId="10809" xr:uid="{00000000-0005-0000-0000-000011800000}"/>
    <cellStyle name="Total 9 4 2 2 4 2" xfId="25641" xr:uid="{00000000-0005-0000-0000-000012800000}"/>
    <cellStyle name="Total 9 4 2 3" xfId="5070" xr:uid="{00000000-0005-0000-0000-000013800000}"/>
    <cellStyle name="Total 9 4 2 3 2" xfId="9109" xr:uid="{00000000-0005-0000-0000-000014800000}"/>
    <cellStyle name="Total 9 4 2 3 2 2" xfId="18042" xr:uid="{00000000-0005-0000-0000-000015800000}"/>
    <cellStyle name="Total 9 4 2 3 2 2 2" xfId="32874" xr:uid="{00000000-0005-0000-0000-000016800000}"/>
    <cellStyle name="Total 9 4 2 3 2 3" xfId="19608" xr:uid="{00000000-0005-0000-0000-000017800000}"/>
    <cellStyle name="Total 9 4 2 3 3" xfId="15391" xr:uid="{00000000-0005-0000-0000-000018800000}"/>
    <cellStyle name="Total 9 4 2 3 3 2" xfId="30223" xr:uid="{00000000-0005-0000-0000-000019800000}"/>
    <cellStyle name="Total 9 4 2 3 4" xfId="11642" xr:uid="{00000000-0005-0000-0000-00001A800000}"/>
    <cellStyle name="Total 9 4 2 3 4 2" xfId="26474" xr:uid="{00000000-0005-0000-0000-00001B800000}"/>
    <cellStyle name="Total 9 4 2 4" xfId="3060" xr:uid="{00000000-0005-0000-0000-00001C800000}"/>
    <cellStyle name="Total 9 4 2 4 2" xfId="7135" xr:uid="{00000000-0005-0000-0000-00001D800000}"/>
    <cellStyle name="Total 9 4 2 4 2 2" xfId="16933" xr:uid="{00000000-0005-0000-0000-00001E800000}"/>
    <cellStyle name="Total 9 4 2 4 2 2 2" xfId="31765" xr:uid="{00000000-0005-0000-0000-00001F800000}"/>
    <cellStyle name="Total 9 4 2 4 2 3" xfId="18901" xr:uid="{00000000-0005-0000-0000-000020800000}"/>
    <cellStyle name="Total 9 4 2 4 3" xfId="13398" xr:uid="{00000000-0005-0000-0000-000021800000}"/>
    <cellStyle name="Total 9 4 2 4 3 2" xfId="28230" xr:uid="{00000000-0005-0000-0000-000022800000}"/>
    <cellStyle name="Total 9 4 2 4 4" xfId="10589" xr:uid="{00000000-0005-0000-0000-000023800000}"/>
    <cellStyle name="Total 9 4 2 4 4 2" xfId="25421" xr:uid="{00000000-0005-0000-0000-000024800000}"/>
    <cellStyle name="Total 9 4 2 5" xfId="6227" xr:uid="{00000000-0005-0000-0000-000025800000}"/>
    <cellStyle name="Total 9 4 2 5 2" xfId="16413" xr:uid="{00000000-0005-0000-0000-000026800000}"/>
    <cellStyle name="Total 9 4 2 5 2 2" xfId="31245" xr:uid="{00000000-0005-0000-0000-000027800000}"/>
    <cellStyle name="Total 9 4 2 5 3" xfId="18542" xr:uid="{00000000-0005-0000-0000-000028800000}"/>
    <cellStyle name="Total 9 4 2 6" xfId="12483" xr:uid="{00000000-0005-0000-0000-000029800000}"/>
    <cellStyle name="Total 9 4 2 6 2" xfId="27315" xr:uid="{00000000-0005-0000-0000-00002A800000}"/>
    <cellStyle name="Total 9 4 2 7" xfId="10065" xr:uid="{00000000-0005-0000-0000-00002B800000}"/>
    <cellStyle name="Total 9 4 2 7 2" xfId="24897" xr:uid="{00000000-0005-0000-0000-00002C800000}"/>
    <cellStyle name="Total 9 4 3" xfId="4323" xr:uid="{00000000-0005-0000-0000-00002D800000}"/>
    <cellStyle name="Total 9 4 3 2" xfId="8362" xr:uid="{00000000-0005-0000-0000-00002E800000}"/>
    <cellStyle name="Total 9 4 3 2 2" xfId="17640" xr:uid="{00000000-0005-0000-0000-00002F800000}"/>
    <cellStyle name="Total 9 4 3 2 2 2" xfId="32472" xr:uid="{00000000-0005-0000-0000-000030800000}"/>
    <cellStyle name="Total 9 4 3 2 3" xfId="19342" xr:uid="{00000000-0005-0000-0000-000031800000}"/>
    <cellStyle name="Total 9 4 3 3" xfId="14654" xr:uid="{00000000-0005-0000-0000-000032800000}"/>
    <cellStyle name="Total 9 4 3 3 2" xfId="29486" xr:uid="{00000000-0005-0000-0000-000033800000}"/>
    <cellStyle name="Total 9 4 3 4" xfId="11250" xr:uid="{00000000-0005-0000-0000-000034800000}"/>
    <cellStyle name="Total 9 4 3 4 2" xfId="26082" xr:uid="{00000000-0005-0000-0000-000035800000}"/>
    <cellStyle name="Total 9 4 4" xfId="4650" xr:uid="{00000000-0005-0000-0000-000036800000}"/>
    <cellStyle name="Total 9 4 4 2" xfId="8689" xr:uid="{00000000-0005-0000-0000-000037800000}"/>
    <cellStyle name="Total 9 4 4 2 2" xfId="17802" xr:uid="{00000000-0005-0000-0000-000038800000}"/>
    <cellStyle name="Total 9 4 4 2 2 2" xfId="32634" xr:uid="{00000000-0005-0000-0000-000039800000}"/>
    <cellStyle name="Total 9 4 4 2 3" xfId="19448" xr:uid="{00000000-0005-0000-0000-00003A800000}"/>
    <cellStyle name="Total 9 4 4 3" xfId="14976" xr:uid="{00000000-0005-0000-0000-00003B800000}"/>
    <cellStyle name="Total 9 4 4 3 2" xfId="29808" xr:uid="{00000000-0005-0000-0000-00003C800000}"/>
    <cellStyle name="Total 9 4 4 4" xfId="11407" xr:uid="{00000000-0005-0000-0000-00003D800000}"/>
    <cellStyle name="Total 9 4 4 4 2" xfId="26239" xr:uid="{00000000-0005-0000-0000-00003E800000}"/>
    <cellStyle name="Total 9 4 5" xfId="2640" xr:uid="{00000000-0005-0000-0000-00003F800000}"/>
    <cellStyle name="Total 9 4 5 2" xfId="6741" xr:uid="{00000000-0005-0000-0000-000040800000}"/>
    <cellStyle name="Total 9 4 5 2 2" xfId="16698" xr:uid="{00000000-0005-0000-0000-000041800000}"/>
    <cellStyle name="Total 9 4 5 2 2 2" xfId="31530" xr:uid="{00000000-0005-0000-0000-000042800000}"/>
    <cellStyle name="Total 9 4 5 2 3" xfId="18737" xr:uid="{00000000-0005-0000-0000-000043800000}"/>
    <cellStyle name="Total 9 4 5 3" xfId="12978" xr:uid="{00000000-0005-0000-0000-000044800000}"/>
    <cellStyle name="Total 9 4 5 3 2" xfId="27810" xr:uid="{00000000-0005-0000-0000-000045800000}"/>
    <cellStyle name="Total 9 4 5 4" xfId="10349" xr:uid="{00000000-0005-0000-0000-000046800000}"/>
    <cellStyle name="Total 9 4 5 4 2" xfId="25181" xr:uid="{00000000-0005-0000-0000-000047800000}"/>
    <cellStyle name="Total 9 4 6" xfId="5757" xr:uid="{00000000-0005-0000-0000-000048800000}"/>
    <cellStyle name="Total 9 4 6 2" xfId="15992" xr:uid="{00000000-0005-0000-0000-000049800000}"/>
    <cellStyle name="Total 9 4 6 2 2" xfId="30824" xr:uid="{00000000-0005-0000-0000-00004A800000}"/>
    <cellStyle name="Total 9 4 6 3" xfId="18378" xr:uid="{00000000-0005-0000-0000-00004B800000}"/>
    <cellStyle name="Total 9 4 7" xfId="12012" xr:uid="{00000000-0005-0000-0000-00004C800000}"/>
    <cellStyle name="Total 9 4 7 2" xfId="26844" xr:uid="{00000000-0005-0000-0000-00004D800000}"/>
    <cellStyle name="Total 9 4 8" xfId="9671" xr:uid="{00000000-0005-0000-0000-00004E800000}"/>
    <cellStyle name="Total 9 4 8 2" xfId="19972" xr:uid="{00000000-0005-0000-0000-00004F800000}"/>
    <cellStyle name="Total 9 5" xfId="1655" xr:uid="{00000000-0005-0000-0000-000050800000}"/>
    <cellStyle name="Total 9 5 2" xfId="2152" xr:uid="{00000000-0005-0000-0000-000051800000}"/>
    <cellStyle name="Total 9 5 2 2" xfId="3537" xr:uid="{00000000-0005-0000-0000-000052800000}"/>
    <cellStyle name="Total 9 5 2 2 2" xfId="7599" xr:uid="{00000000-0005-0000-0000-000053800000}"/>
    <cellStyle name="Total 9 5 2 2 2 2" xfId="17243" xr:uid="{00000000-0005-0000-0000-000054800000}"/>
    <cellStyle name="Total 9 5 2 2 2 2 2" xfId="32075" xr:uid="{00000000-0005-0000-0000-000055800000}"/>
    <cellStyle name="Total 9 5 2 2 2 3" xfId="19070" xr:uid="{00000000-0005-0000-0000-000056800000}"/>
    <cellStyle name="Total 9 5 2 2 3" xfId="13874" xr:uid="{00000000-0005-0000-0000-000057800000}"/>
    <cellStyle name="Total 9 5 2 2 3 2" xfId="28706" xr:uid="{00000000-0005-0000-0000-000058800000}"/>
    <cellStyle name="Total 9 5 2 2 4" xfId="10861" xr:uid="{00000000-0005-0000-0000-000059800000}"/>
    <cellStyle name="Total 9 5 2 2 4 2" xfId="25693" xr:uid="{00000000-0005-0000-0000-00005A800000}"/>
    <cellStyle name="Total 9 5 2 3" xfId="5120" xr:uid="{00000000-0005-0000-0000-00005B800000}"/>
    <cellStyle name="Total 9 5 2 3 2" xfId="9159" xr:uid="{00000000-0005-0000-0000-00005C800000}"/>
    <cellStyle name="Total 9 5 2 3 2 2" xfId="18087" xr:uid="{00000000-0005-0000-0000-00005D800000}"/>
    <cellStyle name="Total 9 5 2 3 2 2 2" xfId="32919" xr:uid="{00000000-0005-0000-0000-00005E800000}"/>
    <cellStyle name="Total 9 5 2 3 2 3" xfId="19640" xr:uid="{00000000-0005-0000-0000-00005F800000}"/>
    <cellStyle name="Total 9 5 2 3 3" xfId="15440" xr:uid="{00000000-0005-0000-0000-000060800000}"/>
    <cellStyle name="Total 9 5 2 3 3 2" xfId="30272" xr:uid="{00000000-0005-0000-0000-000061800000}"/>
    <cellStyle name="Total 9 5 2 3 4" xfId="11686" xr:uid="{00000000-0005-0000-0000-000062800000}"/>
    <cellStyle name="Total 9 5 2 3 4 2" xfId="26518" xr:uid="{00000000-0005-0000-0000-000063800000}"/>
    <cellStyle name="Total 9 5 2 4" xfId="3110" xr:uid="{00000000-0005-0000-0000-000064800000}"/>
    <cellStyle name="Total 9 5 2 4 2" xfId="7180" xr:uid="{00000000-0005-0000-0000-000065800000}"/>
    <cellStyle name="Total 9 5 2 4 2 2" xfId="16977" xr:uid="{00000000-0005-0000-0000-000066800000}"/>
    <cellStyle name="Total 9 5 2 4 2 2 2" xfId="31809" xr:uid="{00000000-0005-0000-0000-000067800000}"/>
    <cellStyle name="Total 9 5 2 4 2 3" xfId="18934" xr:uid="{00000000-0005-0000-0000-000068800000}"/>
    <cellStyle name="Total 9 5 2 4 3" xfId="13448" xr:uid="{00000000-0005-0000-0000-000069800000}"/>
    <cellStyle name="Total 9 5 2 4 3 2" xfId="28280" xr:uid="{00000000-0005-0000-0000-00006A800000}"/>
    <cellStyle name="Total 9 5 2 4 4" xfId="10634" xr:uid="{00000000-0005-0000-0000-00006B800000}"/>
    <cellStyle name="Total 9 5 2 4 4 2" xfId="25466" xr:uid="{00000000-0005-0000-0000-00006C800000}"/>
    <cellStyle name="Total 9 5 2 5" xfId="6272" xr:uid="{00000000-0005-0000-0000-00006D800000}"/>
    <cellStyle name="Total 9 5 2 5 2" xfId="16457" xr:uid="{00000000-0005-0000-0000-00006E800000}"/>
    <cellStyle name="Total 9 5 2 5 2 2" xfId="31289" xr:uid="{00000000-0005-0000-0000-00006F800000}"/>
    <cellStyle name="Total 9 5 2 5 3" xfId="18575" xr:uid="{00000000-0005-0000-0000-000070800000}"/>
    <cellStyle name="Total 9 5 2 6" xfId="12527" xr:uid="{00000000-0005-0000-0000-000071800000}"/>
    <cellStyle name="Total 9 5 2 6 2" xfId="27359" xr:uid="{00000000-0005-0000-0000-000072800000}"/>
    <cellStyle name="Total 9 5 2 7" xfId="10109" xr:uid="{00000000-0005-0000-0000-000073800000}"/>
    <cellStyle name="Total 9 5 2 7 2" xfId="24941" xr:uid="{00000000-0005-0000-0000-000074800000}"/>
    <cellStyle name="Total 9 5 3" xfId="4103" xr:uid="{00000000-0005-0000-0000-000075800000}"/>
    <cellStyle name="Total 9 5 3 2" xfId="8149" xr:uid="{00000000-0005-0000-0000-000076800000}"/>
    <cellStyle name="Total 9 5 3 2 2" xfId="17520" xr:uid="{00000000-0005-0000-0000-000077800000}"/>
    <cellStyle name="Total 9 5 3 2 2 2" xfId="32352" xr:uid="{00000000-0005-0000-0000-000078800000}"/>
    <cellStyle name="Total 9 5 3 2 3" xfId="19267" xr:uid="{00000000-0005-0000-0000-000079800000}"/>
    <cellStyle name="Total 9 5 3 3" xfId="14435" xr:uid="{00000000-0005-0000-0000-00007A800000}"/>
    <cellStyle name="Total 9 5 3 3 2" xfId="29267" xr:uid="{00000000-0005-0000-0000-00007B800000}"/>
    <cellStyle name="Total 9 5 3 4" xfId="11137" xr:uid="{00000000-0005-0000-0000-00007C800000}"/>
    <cellStyle name="Total 9 5 3 4 2" xfId="25969" xr:uid="{00000000-0005-0000-0000-00007D800000}"/>
    <cellStyle name="Total 9 5 4" xfId="4700" xr:uid="{00000000-0005-0000-0000-00007E800000}"/>
    <cellStyle name="Total 9 5 4 2" xfId="8739" xr:uid="{00000000-0005-0000-0000-00007F800000}"/>
    <cellStyle name="Total 9 5 4 2 2" xfId="17847" xr:uid="{00000000-0005-0000-0000-000080800000}"/>
    <cellStyle name="Total 9 5 4 2 2 2" xfId="32679" xr:uid="{00000000-0005-0000-0000-000081800000}"/>
    <cellStyle name="Total 9 5 4 2 3" xfId="19480" xr:uid="{00000000-0005-0000-0000-000082800000}"/>
    <cellStyle name="Total 9 5 4 3" xfId="15025" xr:uid="{00000000-0005-0000-0000-000083800000}"/>
    <cellStyle name="Total 9 5 4 3 2" xfId="29857" xr:uid="{00000000-0005-0000-0000-000084800000}"/>
    <cellStyle name="Total 9 5 4 4" xfId="11451" xr:uid="{00000000-0005-0000-0000-000085800000}"/>
    <cellStyle name="Total 9 5 4 4 2" xfId="26283" xr:uid="{00000000-0005-0000-0000-000086800000}"/>
    <cellStyle name="Total 9 5 5" xfId="2690" xr:uid="{00000000-0005-0000-0000-000087800000}"/>
    <cellStyle name="Total 9 5 5 2" xfId="6786" xr:uid="{00000000-0005-0000-0000-000088800000}"/>
    <cellStyle name="Total 9 5 5 2 2" xfId="16742" xr:uid="{00000000-0005-0000-0000-000089800000}"/>
    <cellStyle name="Total 9 5 5 2 2 2" xfId="31574" xr:uid="{00000000-0005-0000-0000-00008A800000}"/>
    <cellStyle name="Total 9 5 5 2 3" xfId="18770" xr:uid="{00000000-0005-0000-0000-00008B800000}"/>
    <cellStyle name="Total 9 5 5 3" xfId="13028" xr:uid="{00000000-0005-0000-0000-00008C800000}"/>
    <cellStyle name="Total 9 5 5 3 2" xfId="27860" xr:uid="{00000000-0005-0000-0000-00008D800000}"/>
    <cellStyle name="Total 9 5 5 4" xfId="10394" xr:uid="{00000000-0005-0000-0000-00008E800000}"/>
    <cellStyle name="Total 9 5 5 4 2" xfId="25226" xr:uid="{00000000-0005-0000-0000-00008F800000}"/>
    <cellStyle name="Total 9 5 6" xfId="5802" xr:uid="{00000000-0005-0000-0000-000090800000}"/>
    <cellStyle name="Total 9 5 6 2" xfId="16036" xr:uid="{00000000-0005-0000-0000-000091800000}"/>
    <cellStyle name="Total 9 5 6 2 2" xfId="30868" xr:uid="{00000000-0005-0000-0000-000092800000}"/>
    <cellStyle name="Total 9 5 6 3" xfId="18411" xr:uid="{00000000-0005-0000-0000-000093800000}"/>
    <cellStyle name="Total 9 5 7" xfId="12056" xr:uid="{00000000-0005-0000-0000-000094800000}"/>
    <cellStyle name="Total 9 5 7 2" xfId="26888" xr:uid="{00000000-0005-0000-0000-000095800000}"/>
    <cellStyle name="Total 9 5 8" xfId="9716" xr:uid="{00000000-0005-0000-0000-000096800000}"/>
    <cellStyle name="Total 9 5 8 2" xfId="20016" xr:uid="{00000000-0005-0000-0000-000097800000}"/>
    <cellStyle name="Total 9 6" xfId="1806" xr:uid="{00000000-0005-0000-0000-000098800000}"/>
    <cellStyle name="Total 9 6 2" xfId="3759" xr:uid="{00000000-0005-0000-0000-000099800000}"/>
    <cellStyle name="Total 9 6 2 2" xfId="7815" xr:uid="{00000000-0005-0000-0000-00009A800000}"/>
    <cellStyle name="Total 9 6 2 2 2" xfId="17351" xr:uid="{00000000-0005-0000-0000-00009B800000}"/>
    <cellStyle name="Total 9 6 2 2 2 2" xfId="32183" xr:uid="{00000000-0005-0000-0000-00009C800000}"/>
    <cellStyle name="Total 9 6 2 2 3" xfId="19145" xr:uid="{00000000-0005-0000-0000-00009D800000}"/>
    <cellStyle name="Total 9 6 2 3" xfId="14094" xr:uid="{00000000-0005-0000-0000-00009E800000}"/>
    <cellStyle name="Total 9 6 2 3 2" xfId="28926" xr:uid="{00000000-0005-0000-0000-00009F800000}"/>
    <cellStyle name="Total 9 6 2 4" xfId="10967" xr:uid="{00000000-0005-0000-0000-0000A0800000}"/>
    <cellStyle name="Total 9 6 2 4 2" xfId="25799" xr:uid="{00000000-0005-0000-0000-0000A1800000}"/>
    <cellStyle name="Total 9 6 3" xfId="4784" xr:uid="{00000000-0005-0000-0000-0000A2800000}"/>
    <cellStyle name="Total 9 6 3 2" xfId="8823" xr:uid="{00000000-0005-0000-0000-0000A3800000}"/>
    <cellStyle name="Total 9 6 3 2 2" xfId="17895" xr:uid="{00000000-0005-0000-0000-0000A4800000}"/>
    <cellStyle name="Total 9 6 3 2 2 2" xfId="32727" xr:uid="{00000000-0005-0000-0000-0000A5800000}"/>
    <cellStyle name="Total 9 6 3 2 3" xfId="19512" xr:uid="{00000000-0005-0000-0000-0000A6800000}"/>
    <cellStyle name="Total 9 6 3 3" xfId="15108" xr:uid="{00000000-0005-0000-0000-0000A7800000}"/>
    <cellStyle name="Total 9 6 3 3 2" xfId="29940" xr:uid="{00000000-0005-0000-0000-0000A8800000}"/>
    <cellStyle name="Total 9 6 3 4" xfId="11498" xr:uid="{00000000-0005-0000-0000-0000A9800000}"/>
    <cellStyle name="Total 9 6 3 4 2" xfId="26330" xr:uid="{00000000-0005-0000-0000-0000AA800000}"/>
    <cellStyle name="Total 9 6 4" xfId="2774" xr:uid="{00000000-0005-0000-0000-0000AB800000}"/>
    <cellStyle name="Total 9 6 4 2" xfId="6865" xr:uid="{00000000-0005-0000-0000-0000AC800000}"/>
    <cellStyle name="Total 9 6 4 2 2" xfId="16789" xr:uid="{00000000-0005-0000-0000-0000AD800000}"/>
    <cellStyle name="Total 9 6 4 2 2 2" xfId="31621" xr:uid="{00000000-0005-0000-0000-0000AE800000}"/>
    <cellStyle name="Total 9 6 4 2 3" xfId="18803" xr:uid="{00000000-0005-0000-0000-0000AF800000}"/>
    <cellStyle name="Total 9 6 4 3" xfId="13112" xr:uid="{00000000-0005-0000-0000-0000B0800000}"/>
    <cellStyle name="Total 9 6 4 3 2" xfId="27944" xr:uid="{00000000-0005-0000-0000-0000B1800000}"/>
    <cellStyle name="Total 9 6 4 4" xfId="10442" xr:uid="{00000000-0005-0000-0000-0000B2800000}"/>
    <cellStyle name="Total 9 6 4 4 2" xfId="25274" xr:uid="{00000000-0005-0000-0000-0000B3800000}"/>
    <cellStyle name="Total 9 6 5" xfId="5938" xr:uid="{00000000-0005-0000-0000-0000B4800000}"/>
    <cellStyle name="Total 9 6 5 2" xfId="16130" xr:uid="{00000000-0005-0000-0000-0000B5800000}"/>
    <cellStyle name="Total 9 6 5 2 2" xfId="30962" xr:uid="{00000000-0005-0000-0000-0000B6800000}"/>
    <cellStyle name="Total 9 6 5 3" xfId="18445" xr:uid="{00000000-0005-0000-0000-0000B7800000}"/>
    <cellStyle name="Total 9 6 6" xfId="12200" xr:uid="{00000000-0005-0000-0000-0000B8800000}"/>
    <cellStyle name="Total 9 6 6 2" xfId="27032" xr:uid="{00000000-0005-0000-0000-0000B9800000}"/>
    <cellStyle name="Total 9 6 7" xfId="9796" xr:uid="{00000000-0005-0000-0000-0000BA800000}"/>
    <cellStyle name="Total 9 6 7 2" xfId="24753" xr:uid="{00000000-0005-0000-0000-0000BB800000}"/>
    <cellStyle name="Total 9 7" xfId="2160" xr:uid="{00000000-0005-0000-0000-0000BC800000}"/>
    <cellStyle name="Total 9 7 2" xfId="3959" xr:uid="{00000000-0005-0000-0000-0000BD800000}"/>
    <cellStyle name="Total 9 7 2 2" xfId="8009" xr:uid="{00000000-0005-0000-0000-0000BE800000}"/>
    <cellStyle name="Total 9 7 2 2 2" xfId="17450" xr:uid="{00000000-0005-0000-0000-0000BF800000}"/>
    <cellStyle name="Total 9 7 2 2 2 2" xfId="32282" xr:uid="{00000000-0005-0000-0000-0000C0800000}"/>
    <cellStyle name="Total 9 7 2 2 3" xfId="19216" xr:uid="{00000000-0005-0000-0000-0000C1800000}"/>
    <cellStyle name="Total 9 7 2 3" xfId="14292" xr:uid="{00000000-0005-0000-0000-0000C2800000}"/>
    <cellStyle name="Total 9 7 2 3 2" xfId="29124" xr:uid="{00000000-0005-0000-0000-0000C3800000}"/>
    <cellStyle name="Total 9 7 2 4" xfId="11065" xr:uid="{00000000-0005-0000-0000-0000C4800000}"/>
    <cellStyle name="Total 9 7 2 4 2" xfId="25897" xr:uid="{00000000-0005-0000-0000-0000C5800000}"/>
    <cellStyle name="Total 9 7 3" xfId="5128" xr:uid="{00000000-0005-0000-0000-0000C6800000}"/>
    <cellStyle name="Total 9 7 3 2" xfId="9167" xr:uid="{00000000-0005-0000-0000-0000C7800000}"/>
    <cellStyle name="Total 9 7 3 2 2" xfId="18090" xr:uid="{00000000-0005-0000-0000-0000C8800000}"/>
    <cellStyle name="Total 9 7 3 2 2 2" xfId="32922" xr:uid="{00000000-0005-0000-0000-0000C9800000}"/>
    <cellStyle name="Total 9 7 3 2 3" xfId="19641" xr:uid="{00000000-0005-0000-0000-0000CA800000}"/>
    <cellStyle name="Total 9 7 3 3" xfId="15446" xr:uid="{00000000-0005-0000-0000-0000CB800000}"/>
    <cellStyle name="Total 9 7 3 3 2" xfId="30278" xr:uid="{00000000-0005-0000-0000-0000CC800000}"/>
    <cellStyle name="Total 9 7 3 4" xfId="11687" xr:uid="{00000000-0005-0000-0000-0000CD800000}"/>
    <cellStyle name="Total 9 7 3 4 2" xfId="26519" xr:uid="{00000000-0005-0000-0000-0000CE800000}"/>
    <cellStyle name="Total 9 7 4" xfId="4158" xr:uid="{00000000-0005-0000-0000-0000CF800000}"/>
    <cellStyle name="Total 9 7 4 2" xfId="8199" xr:uid="{00000000-0005-0000-0000-0000D0800000}"/>
    <cellStyle name="Total 9 7 4 2 2" xfId="17546" xr:uid="{00000000-0005-0000-0000-0000D1800000}"/>
    <cellStyle name="Total 9 7 4 2 2 2" xfId="32378" xr:uid="{00000000-0005-0000-0000-0000D2800000}"/>
    <cellStyle name="Total 9 7 4 2 3" xfId="19284" xr:uid="{00000000-0005-0000-0000-0000D3800000}"/>
    <cellStyle name="Total 9 7 4 3" xfId="14490" xr:uid="{00000000-0005-0000-0000-0000D4800000}"/>
    <cellStyle name="Total 9 7 4 3 2" xfId="29322" xr:uid="{00000000-0005-0000-0000-0000D5800000}"/>
    <cellStyle name="Total 9 7 4 4" xfId="11166" xr:uid="{00000000-0005-0000-0000-0000D6800000}"/>
    <cellStyle name="Total 9 7 4 4 2" xfId="25998" xr:uid="{00000000-0005-0000-0000-0000D7800000}"/>
    <cellStyle name="Total 9 7 5" xfId="6274" xr:uid="{00000000-0005-0000-0000-0000D8800000}"/>
    <cellStyle name="Total 9 7 5 2" xfId="16458" xr:uid="{00000000-0005-0000-0000-0000D9800000}"/>
    <cellStyle name="Total 9 7 5 2 2" xfId="31290" xr:uid="{00000000-0005-0000-0000-0000DA800000}"/>
    <cellStyle name="Total 9 7 5 3" xfId="18577" xr:uid="{00000000-0005-0000-0000-0000DB800000}"/>
    <cellStyle name="Total 9 7 6" xfId="12528" xr:uid="{00000000-0005-0000-0000-0000DC800000}"/>
    <cellStyle name="Total 9 7 6 2" xfId="27360" xr:uid="{00000000-0005-0000-0000-0000DD800000}"/>
    <cellStyle name="Total 9 7 7" xfId="10110" xr:uid="{00000000-0005-0000-0000-0000DE800000}"/>
    <cellStyle name="Total 9 7 7 2" xfId="24942" xr:uid="{00000000-0005-0000-0000-0000DF800000}"/>
    <cellStyle name="Total 9 8" xfId="3620" xr:uid="{00000000-0005-0000-0000-0000E0800000}"/>
    <cellStyle name="Total 9 8 2" xfId="7680" xr:uid="{00000000-0005-0000-0000-0000E1800000}"/>
    <cellStyle name="Total 9 8 2 2" xfId="17283" xr:uid="{00000000-0005-0000-0000-0000E2800000}"/>
    <cellStyle name="Total 9 8 2 2 2" xfId="32115" xr:uid="{00000000-0005-0000-0000-0000E3800000}"/>
    <cellStyle name="Total 9 8 2 3" xfId="19101" xr:uid="{00000000-0005-0000-0000-0000E4800000}"/>
    <cellStyle name="Total 9 8 3" xfId="13955" xr:uid="{00000000-0005-0000-0000-0000E5800000}"/>
    <cellStyle name="Total 9 8 3 2" xfId="28787" xr:uid="{00000000-0005-0000-0000-0000E6800000}"/>
    <cellStyle name="Total 9 8 4" xfId="10900" xr:uid="{00000000-0005-0000-0000-0000E7800000}"/>
    <cellStyle name="Total 9 8 4 2" xfId="25732" xr:uid="{00000000-0005-0000-0000-0000E8800000}"/>
    <cellStyle name="Total 9 9" xfId="4282" xr:uid="{00000000-0005-0000-0000-0000E9800000}"/>
    <cellStyle name="Total 9 9 2" xfId="8321" xr:uid="{00000000-0005-0000-0000-0000EA800000}"/>
    <cellStyle name="Total 9 9 2 2" xfId="17604" xr:uid="{00000000-0005-0000-0000-0000EB800000}"/>
    <cellStyle name="Total 9 9 2 2 2" xfId="32436" xr:uid="{00000000-0005-0000-0000-0000EC800000}"/>
    <cellStyle name="Total 9 9 2 3" xfId="19320" xr:uid="{00000000-0005-0000-0000-0000ED800000}"/>
    <cellStyle name="Total 9 9 3" xfId="14614" xr:uid="{00000000-0005-0000-0000-0000EE800000}"/>
    <cellStyle name="Total 9 9 3 2" xfId="29446" xr:uid="{00000000-0005-0000-0000-0000EF800000}"/>
    <cellStyle name="Total 9 9 4" xfId="11221" xr:uid="{00000000-0005-0000-0000-0000F0800000}"/>
    <cellStyle name="Total 9 9 4 2" xfId="26053" xr:uid="{00000000-0005-0000-0000-0000F1800000}"/>
    <cellStyle name="Warning Text 2" xfId="1283" xr:uid="{00000000-0005-0000-0000-0000F2800000}"/>
    <cellStyle name="Warning Text 2 2" xfId="1284" xr:uid="{00000000-0005-0000-0000-0000F3800000}"/>
    <cellStyle name="Warning Text 2 3" xfId="1285" xr:uid="{00000000-0005-0000-0000-0000F4800000}"/>
    <cellStyle name="Warning Text 2 4" xfId="1286" xr:uid="{00000000-0005-0000-0000-0000F5800000}"/>
    <cellStyle name="Warning Text 2 5" xfId="1287" xr:uid="{00000000-0005-0000-0000-0000F6800000}"/>
    <cellStyle name="Warning Text 2 6" xfId="1288" xr:uid="{00000000-0005-0000-0000-0000F7800000}"/>
    <cellStyle name="Warning Text 2 7" xfId="1289" xr:uid="{00000000-0005-0000-0000-0000F8800000}"/>
    <cellStyle name="Warning Text 2 8" xfId="1290" xr:uid="{00000000-0005-0000-0000-0000F9800000}"/>
    <cellStyle name="Warning Text 3" xfId="1291" xr:uid="{00000000-0005-0000-0000-0000FA800000}"/>
    <cellStyle name="Warning Text 4" xfId="1292" xr:uid="{00000000-0005-0000-0000-0000FB800000}"/>
    <cellStyle name="Warning Text 5" xfId="1293" xr:uid="{00000000-0005-0000-0000-0000FC800000}"/>
    <cellStyle name="Warning Text 6" xfId="1294" xr:uid="{00000000-0005-0000-0000-0000FD800000}"/>
    <cellStyle name="Warning Text 7" xfId="1295" xr:uid="{00000000-0005-0000-0000-0000FE800000}"/>
    <cellStyle name="Warning Text 8" xfId="1296" xr:uid="{00000000-0005-0000-0000-0000FF800000}"/>
    <cellStyle name="Warning Text 9" xfId="1282" xr:uid="{00000000-0005-0000-0000-000000810000}"/>
  </cellStyles>
  <dxfs count="0"/>
  <tableStyles count="0" defaultTableStyle="TableStyleMedium2" defaultPivotStyle="PivotStyleLight16"/>
  <colors>
    <mruColors>
      <color rgb="FFD8C6E6"/>
      <color rgb="FFECBEFE"/>
      <color rgb="FF77BA4E"/>
      <color rgb="FFFF9933"/>
      <color rgb="FF67B73B"/>
      <color rgb="FFFF9999"/>
      <color rgb="FFBCDBAD"/>
      <color rgb="FF3D6DC3"/>
      <color rgb="FF6DC13F"/>
      <color rgb="FF6ABD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worksheet" Target="worksheets/sheet26.xml"/><Relationship Id="rId39" Type="http://purl.oclc.org/ooxml/officeDocument/relationships/sharedStrings" Target="sharedStrings.xml"/><Relationship Id="rId21" Type="http://purl.oclc.org/ooxml/officeDocument/relationships/worksheet" Target="worksheets/sheet21.xml"/><Relationship Id="rId34" Type="http://purl.oclc.org/ooxml/officeDocument/relationships/worksheet" Target="worksheets/sheet34.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worksheet" Target="worksheets/sheet29.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worksheet" Target="worksheets/sheet32.xml"/><Relationship Id="rId37" Type="http://purl.oclc.org/ooxml/officeDocument/relationships/theme" Target="theme/theme1.xml"/><Relationship Id="rId40" Type="http://purl.oclc.org/ooxml/officeDocument/relationships/calcChain" Target="calcChain.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externalLink" Target="externalLinks/externalLink2.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worksheet" Target="worksheets/sheet31.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worksheet" Target="worksheets/sheet30.xml"/><Relationship Id="rId35" Type="http://purl.oclc.org/ooxml/officeDocument/relationships/externalLink" Target="externalLinks/externalLink1.xml"/><Relationship Id="rId8" Type="http://purl.oclc.org/ooxml/officeDocument/relationships/worksheet" Target="worksheets/sheet8.xml"/><Relationship Id="rId3" Type="http://purl.oclc.org/ooxml/officeDocument/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purl.oclc.org/ooxml/officeDocument/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purl.oclc.org/ooxml/officeDocument/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r>
              <a:rPr lang="en-US"/>
              <a:t>Figure 2. Net Returns/Acre by Crop      </a:t>
            </a:r>
          </a:p>
          <a:p>
            <a:pPr>
              <a:defRPr/>
            </a:pPr>
            <a:r>
              <a:rPr lang="en-US"/>
              <a:t>Whole</a:t>
            </a:r>
            <a:r>
              <a:rPr lang="en-US" baseline="0%"/>
              <a:t> Farm Returns = $176/Acre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manualLayout>
          <c:layoutTarget val="inner"/>
          <c:xMode val="edge"/>
          <c:yMode val="edge"/>
          <c:x val="0.16885392464955334"/>
          <c:y val="0.27214437367303607"/>
          <c:w val="0.79505638925179201"/>
          <c:h val="0.62934918167076248"/>
        </c:manualLayout>
      </c:layout>
      <c:barChart>
        <c:barDir val="bar"/>
        <c:grouping val="clustered"/>
        <c:varyColors val="0"/>
        <c:ser>
          <c:idx val="0"/>
          <c:order val="0"/>
          <c:tx>
            <c:strRef>
              <c:f>'Graphs$Charts'!$C$4</c:f>
              <c:strCache>
                <c:ptCount val="1"/>
                <c:pt idx="0">
                  <c:v>Net Returns/Acre</c:v>
                </c:pt>
              </c:strCache>
            </c:strRef>
          </c:tx>
          <c:spPr>
            <a:solidFill>
              <a:schemeClr val="accent1"/>
            </a:solidFill>
            <a:ln>
              <a:noFill/>
            </a:ln>
            <a:effectLst/>
          </c:spPr>
          <c:invertIfNegative val="0"/>
          <c:cat>
            <c:strRef>
              <c:f>'Graphs$Charts'!$B$5:$B$10</c:f>
              <c:strCache>
                <c:ptCount val="6"/>
                <c:pt idx="0">
                  <c:v>Irr. Water Reduction: Set-aside</c:v>
                </c:pt>
                <c:pt idx="1">
                  <c:v>Alfalfa Hay Prod.*</c:v>
                </c:pt>
                <c:pt idx="2">
                  <c:v>Cotton</c:v>
                </c:pt>
                <c:pt idx="3">
                  <c:v>Durum Wheat</c:v>
                </c:pt>
                <c:pt idx="4">
                  <c:v>Spring Barley</c:v>
                </c:pt>
                <c:pt idx="5">
                  <c:v>Silage Corn*</c:v>
                </c:pt>
              </c:strCache>
            </c:strRef>
          </c:cat>
          <c:val>
            <c:numRef>
              <c:f>'Graphs$Charts'!$C$5:$C$10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AE5-3C49-A00E-961FBF556752}"/>
            </c:ext>
          </c:extLst>
        </c:ser>
        <c:dLbls>
          <c:showLegendKey val="0"/>
          <c:showVal val="0"/>
          <c:showCatName val="0"/>
          <c:showSerName val="0"/>
          <c:showPercent val="0"/>
          <c:showBubbleSize val="0"/>
        </c:dLbls>
        <c:gapWidth val="182"/>
        <c:axId val="1428522063"/>
        <c:axId val="1514999007"/>
      </c:barChart>
      <c:catAx>
        <c:axId val="1428522063"/>
        <c:scaling>
          <c:orientation val="maxMin"/>
        </c:scaling>
        <c:delete val="0"/>
        <c:axPos val="l"/>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514999007"/>
        <c:crossesAt val="0"/>
        <c:auto val="0"/>
        <c:lblAlgn val="ctr"/>
        <c:lblOffset val="100"/>
        <c:noMultiLvlLbl val="0"/>
      </c:catAx>
      <c:valAx>
        <c:axId val="1514999007"/>
        <c:scaling>
          <c:orientation val="minMax"/>
          <c:max val="750"/>
          <c:min val="-250"/>
        </c:scaling>
        <c:delete val="0"/>
        <c:axPos val="t"/>
        <c:majorGridlines>
          <c:spPr>
            <a:ln w="9525" cap="flat" cmpd="sng" algn="ctr">
              <a:solidFill>
                <a:schemeClr val="tx1">
                  <a:lumMod val="15%"/>
                  <a:lumOff val="85%"/>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28522063"/>
        <c:crossesAt val="1"/>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r>
              <a:rPr lang="en-US"/>
              <a:t>Figure 1. Acres by Crop for Representative 1,500 Acre Farm in AZ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manualLayout>
          <c:layoutTarget val="inner"/>
          <c:xMode val="edge"/>
          <c:yMode val="edge"/>
          <c:x val="0.16885392464955334"/>
          <c:y val="0.27214437367303607"/>
          <c:w val="0.79505638925179201"/>
          <c:h val="0.62934918167076248"/>
        </c:manualLayout>
      </c:layout>
      <c:barChart>
        <c:barDir val="bar"/>
        <c:grouping val="clustered"/>
        <c:varyColors val="0"/>
        <c:ser>
          <c:idx val="0"/>
          <c:order val="0"/>
          <c:tx>
            <c:strRef>
              <c:f>'Graphs$Charts'!$C$4</c:f>
              <c:strCache>
                <c:ptCount val="1"/>
                <c:pt idx="0">
                  <c:v>Net Returns/Acre</c:v>
                </c:pt>
              </c:strCache>
            </c:strRef>
          </c:tx>
          <c:spPr>
            <a:solidFill>
              <a:schemeClr val="accent1"/>
            </a:solidFill>
            <a:ln>
              <a:noFill/>
            </a:ln>
            <a:effectLst/>
          </c:spPr>
          <c:invertIfNegative val="0"/>
          <c:cat>
            <c:strRef>
              <c:f>'Graphs$Charts'!$B$13:$B$18</c:f>
              <c:strCache>
                <c:ptCount val="6"/>
                <c:pt idx="0">
                  <c:v>Irr. Water Reduction: Set-aside</c:v>
                </c:pt>
                <c:pt idx="1">
                  <c:v>Alfalfa Hay Prod.*</c:v>
                </c:pt>
                <c:pt idx="2">
                  <c:v>Cotton</c:v>
                </c:pt>
                <c:pt idx="3">
                  <c:v>Durum Wheat</c:v>
                </c:pt>
                <c:pt idx="4">
                  <c:v>Spring Barley</c:v>
                </c:pt>
                <c:pt idx="5">
                  <c:v>Silage Corn*</c:v>
                </c:pt>
              </c:strCache>
            </c:strRef>
          </c:cat>
          <c:val>
            <c:numRef>
              <c:f>'Graphs$Charts'!$C$13:$C$18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FB5-3341-AF80-6250636CE636}"/>
            </c:ext>
          </c:extLst>
        </c:ser>
        <c:dLbls>
          <c:showLegendKey val="0"/>
          <c:showVal val="0"/>
          <c:showCatName val="0"/>
          <c:showSerName val="0"/>
          <c:showPercent val="0"/>
          <c:showBubbleSize val="0"/>
        </c:dLbls>
        <c:gapWidth val="182"/>
        <c:axId val="1428522063"/>
        <c:axId val="1514999007"/>
      </c:barChart>
      <c:catAx>
        <c:axId val="1428522063"/>
        <c:scaling>
          <c:orientation val="maxMin"/>
        </c:scaling>
        <c:delete val="0"/>
        <c:axPos val="l"/>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514999007"/>
        <c:crossesAt val="0"/>
        <c:auto val="0"/>
        <c:lblAlgn val="ctr"/>
        <c:lblOffset val="100"/>
        <c:noMultiLvlLbl val="0"/>
      </c:catAx>
      <c:valAx>
        <c:axId val="1514999007"/>
        <c:scaling>
          <c:orientation val="minMax"/>
          <c:max val="550"/>
          <c:min val="0"/>
        </c:scaling>
        <c:delete val="0"/>
        <c:axPos val="t"/>
        <c:majorGridlines>
          <c:spPr>
            <a:ln w="9525" cap="flat" cmpd="sng" algn="ctr">
              <a:solidFill>
                <a:schemeClr val="tx1">
                  <a:lumMod val="15%"/>
                  <a:lumOff val="85%"/>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28522063"/>
        <c:crossesAt val="1"/>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r>
              <a:rPr lang="en-US"/>
              <a:t>Figure 3. Breakeven Price of Guayule </a:t>
            </a:r>
            <a:r>
              <a:rPr lang="en-US" sz="1400" b="0" i="0" u="none" strike="noStrike" baseline="0%">
                <a:effectLst/>
              </a:rPr>
              <a:t>to Replace 10% of Current </a:t>
            </a:r>
            <a:r>
              <a:rPr lang="en-US"/>
              <a:t> </a:t>
            </a:r>
          </a:p>
          <a:p>
            <a:pPr>
              <a:defRPr/>
            </a:pPr>
            <a:r>
              <a:rPr lang="en-US"/>
              <a:t>Crops and Maintain $176/Acre Whole Farm Net Returns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manualLayout>
          <c:layoutTarget val="inner"/>
          <c:xMode val="edge"/>
          <c:yMode val="edge"/>
          <c:x val="0.16885392464955334"/>
          <c:y val="0.27214437367303607"/>
          <c:w val="0.79505638925179201"/>
          <c:h val="0.62934918167076248"/>
        </c:manualLayout>
      </c:layout>
      <c:barChart>
        <c:barDir val="bar"/>
        <c:grouping val="clustered"/>
        <c:varyColors val="0"/>
        <c:ser>
          <c:idx val="0"/>
          <c:order val="0"/>
          <c:tx>
            <c:strRef>
              <c:f>'Graphs$Charts'!$C$4</c:f>
              <c:strCache>
                <c:ptCount val="1"/>
                <c:pt idx="0">
                  <c:v>Net Returns/Acre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cat>
            <c:strRef>
              <c:f>'Graphs$Charts'!$B$21:$B$26</c:f>
              <c:strCache>
                <c:ptCount val="6"/>
                <c:pt idx="0">
                  <c:v>Irr. Water Reduction: Set-aside</c:v>
                </c:pt>
                <c:pt idx="1">
                  <c:v>Alfalfa Hay Prod.*</c:v>
                </c:pt>
                <c:pt idx="2">
                  <c:v>Cotton</c:v>
                </c:pt>
                <c:pt idx="3">
                  <c:v>Durum Wheat</c:v>
                </c:pt>
                <c:pt idx="4">
                  <c:v>Barley + 1/3 Wheat</c:v>
                </c:pt>
                <c:pt idx="5">
                  <c:v>Silage Corn* &amp; Barley</c:v>
                </c:pt>
              </c:strCache>
            </c:strRef>
          </c:cat>
          <c:val>
            <c:numRef>
              <c:f>'Graphs$Charts'!$C$21:$C$26</c:f>
              <c:numCache>
                <c:formatCode>_("$"* #,##0.0000_);_("$"* \(#,##0.0000\);_("$"* "-"??_);_(@_)</c:formatCode>
                <c:ptCount val="6"/>
                <c:pt idx="0" formatCode="_(&quot;$&quot;* #,##0.000_);_(&quot;$&quot;* \(#,##0.000\);_(&quot;$&quot;* &quot;-&quot;??_);_(@_)">
                  <c:v>0</c:v>
                </c:pt>
                <c:pt idx="1">
                  <c:v>0.151</c:v>
                </c:pt>
                <c:pt idx="2">
                  <c:v>0.11550000000000001</c:v>
                </c:pt>
                <c:pt idx="3">
                  <c:v>8.6999999999999994E-2</c:v>
                </c:pt>
                <c:pt idx="4">
                  <c:v>8.5800000000000001E-2</c:v>
                </c:pt>
                <c:pt idx="5">
                  <c:v>0.09</c:v>
                </c:pt>
              </c:numCache>
            </c:numRef>
          </c:val>
          <c:extLst>
            <c:ext xmlns:c16="http://schemas.microsoft.com/office/drawing/2014/chart" uri="{C3380CC4-5D6E-409C-BE32-E72D297353CC}">
              <c16:uniqueId val="{00000000-A084-B843-BE78-6D966734BCDA}"/>
            </c:ext>
          </c:extLst>
        </c:ser>
        <c:dLbls>
          <c:showLegendKey val="0"/>
          <c:showVal val="0"/>
          <c:showCatName val="0"/>
          <c:showSerName val="0"/>
          <c:showPercent val="0"/>
          <c:showBubbleSize val="0"/>
        </c:dLbls>
        <c:gapWidth val="182"/>
        <c:axId val="1428522063"/>
        <c:axId val="1514999007"/>
      </c:barChart>
      <c:catAx>
        <c:axId val="1428522063"/>
        <c:scaling>
          <c:orientation val="maxMin"/>
        </c:scaling>
        <c:delete val="0"/>
        <c:axPos val="l"/>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514999007"/>
        <c:crossesAt val="0"/>
        <c:auto val="0"/>
        <c:lblAlgn val="ctr"/>
        <c:lblOffset val="100"/>
        <c:noMultiLvlLbl val="0"/>
      </c:catAx>
      <c:valAx>
        <c:axId val="1514999007"/>
        <c:scaling>
          <c:orientation val="minMax"/>
          <c:max val="0.16000000000000003"/>
          <c:min val="5.000000000000001E-2"/>
        </c:scaling>
        <c:delete val="0"/>
        <c:axPos val="t"/>
        <c:majorGridlines>
          <c:spPr>
            <a:ln w="9525" cap="flat" cmpd="sng" algn="ctr">
              <a:solidFill>
                <a:schemeClr val="tx1">
                  <a:lumMod val="15%"/>
                  <a:lumOff val="85%"/>
                </a:schemeClr>
              </a:solidFill>
              <a:round/>
            </a:ln>
            <a:effectLst/>
          </c:spPr>
        </c:majorGridlines>
        <c:numFmt formatCode="_(&quot;$&quot;* #,##0.000_);_(&quot;$&quot;* \(#,##0.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28522063"/>
        <c:crossesAt val="1"/>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PubDataTables_Gauyule!$M$65</c:f>
              <c:strCache>
                <c:ptCount val="1"/>
                <c:pt idx="0">
                  <c:v>Guayule</c:v>
                </c:pt>
              </c:strCache>
            </c:strRef>
          </c:tx>
          <c:spPr>
            <a:ln w="28575" cap="rnd">
              <a:solidFill>
                <a:schemeClr val="accent1"/>
              </a:solidFill>
              <a:round/>
            </a:ln>
            <a:effectLst/>
          </c:spPr>
          <c:marker>
            <c:symbol val="none"/>
          </c:marker>
          <c:cat>
            <c:strRef>
              <c:f>PubDataTables_Gauyule!$L$66:$L$68</c:f>
              <c:strCache>
                <c:ptCount val="3"/>
                <c:pt idx="0">
                  <c:v>100% Adoption</c:v>
                </c:pt>
                <c:pt idx="1">
                  <c:v>50% Adoption</c:v>
                </c:pt>
                <c:pt idx="2">
                  <c:v>20% Adoption</c:v>
                </c:pt>
              </c:strCache>
            </c:strRef>
          </c:cat>
          <c:val>
            <c:numRef>
              <c:f>PubDataTables_Gauyule!$M$66:$M$68</c:f>
              <c:numCache>
                <c:formatCode>"$"#,##0.0000</c:formatCode>
                <c:ptCount val="3"/>
                <c:pt idx="0">
                  <c:v>8.3400000000000002E-2</c:v>
                </c:pt>
                <c:pt idx="1">
                  <c:v>8.4900000000000003E-2</c:v>
                </c:pt>
                <c:pt idx="2">
                  <c:v>8.9800000000000005E-2</c:v>
                </c:pt>
              </c:numCache>
            </c:numRef>
          </c:val>
          <c:smooth val="0"/>
          <c:extLst>
            <c:ext xmlns:c16="http://schemas.microsoft.com/office/drawing/2014/chart" uri="{C3380CC4-5D6E-409C-BE32-E72D297353CC}">
              <c16:uniqueId val="{00000000-F992-7748-861A-30C47DE74A20}"/>
            </c:ext>
          </c:extLst>
        </c:ser>
        <c:ser>
          <c:idx val="1"/>
          <c:order val="1"/>
          <c:tx>
            <c:strRef>
              <c:f>PubDataTables_Gauyule!$N$65</c:f>
              <c:strCache>
                <c:ptCount val="1"/>
                <c:pt idx="0">
                  <c:v>Guar</c:v>
                </c:pt>
              </c:strCache>
            </c:strRef>
          </c:tx>
          <c:spPr>
            <a:ln w="28575" cap="rnd">
              <a:solidFill>
                <a:schemeClr val="accent2"/>
              </a:solidFill>
              <a:round/>
            </a:ln>
            <a:effectLst/>
          </c:spPr>
          <c:marker>
            <c:symbol val="none"/>
          </c:marker>
          <c:cat>
            <c:strRef>
              <c:f>PubDataTables_Gauyule!$L$66:$L$68</c:f>
              <c:strCache>
                <c:ptCount val="3"/>
                <c:pt idx="0">
                  <c:v>100% Adoption</c:v>
                </c:pt>
                <c:pt idx="1">
                  <c:v>50% Adoption</c:v>
                </c:pt>
                <c:pt idx="2">
                  <c:v>20% Adoption</c:v>
                </c:pt>
              </c:strCache>
            </c:strRef>
          </c:cat>
          <c:val>
            <c:numRef>
              <c:f>PubDataTables_Gauyule!$N$66:$N$68</c:f>
              <c:numCache>
                <c:formatCode>"$"#,##0.0000</c:formatCode>
                <c:ptCount val="3"/>
                <c:pt idx="0">
                  <c:v>0.28420000000000001</c:v>
                </c:pt>
                <c:pt idx="1">
                  <c:v>0.2833</c:v>
                </c:pt>
                <c:pt idx="2">
                  <c:v>0.28089999999999998</c:v>
                </c:pt>
              </c:numCache>
            </c:numRef>
          </c:val>
          <c:smooth val="0"/>
          <c:extLst>
            <c:ext xmlns:c16="http://schemas.microsoft.com/office/drawing/2014/chart" uri="{C3380CC4-5D6E-409C-BE32-E72D297353CC}">
              <c16:uniqueId val="{00000001-F992-7748-861A-30C47DE74A20}"/>
            </c:ext>
          </c:extLst>
        </c:ser>
        <c:dLbls>
          <c:showLegendKey val="0"/>
          <c:showVal val="0"/>
          <c:showCatName val="0"/>
          <c:showSerName val="0"/>
          <c:showPercent val="0"/>
          <c:showBubbleSize val="0"/>
        </c:dLbls>
        <c:smooth val="0"/>
        <c:axId val="98530512"/>
        <c:axId val="98532160"/>
      </c:lineChart>
      <c:catAx>
        <c:axId val="9853051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1" i="0" u="none" strike="noStrike" kern="1200" baseline="0%">
                <a:solidFill>
                  <a:schemeClr val="tx1">
                    <a:lumMod val="65%"/>
                    <a:lumOff val="35%"/>
                  </a:schemeClr>
                </a:solidFill>
                <a:latin typeface="+mn-lt"/>
                <a:ea typeface="+mn-ea"/>
                <a:cs typeface="+mn-cs"/>
              </a:defRPr>
            </a:pPr>
            <a:endParaRPr lang="en-US"/>
          </a:p>
        </c:txPr>
        <c:crossAx val="98532160"/>
        <c:crosses val="autoZero"/>
        <c:auto val="1"/>
        <c:lblAlgn val="ctr"/>
        <c:lblOffset val="100"/>
        <c:noMultiLvlLbl val="0"/>
      </c:catAx>
      <c:valAx>
        <c:axId val="98532160"/>
        <c:scaling>
          <c:orientation val="minMax"/>
        </c:scaling>
        <c:delete val="0"/>
        <c:axPos val="l"/>
        <c:majorGridlines>
          <c:spPr>
            <a:ln w="9525" cap="flat" cmpd="sng" algn="ctr">
              <a:solidFill>
                <a:schemeClr val="tx1">
                  <a:lumMod val="15%"/>
                  <a:lumOff val="85%"/>
                </a:schemeClr>
              </a:solidFill>
              <a:round/>
            </a:ln>
            <a:effectLst/>
          </c:spPr>
        </c:majorGridlines>
        <c:numFmt formatCode="&quot;$&quot;#,##0.0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
                    <a:lumOff val="35%"/>
                  </a:schemeClr>
                </a:solidFill>
                <a:latin typeface="+mn-lt"/>
                <a:ea typeface="+mn-ea"/>
                <a:cs typeface="+mn-cs"/>
              </a:defRPr>
            </a:pPr>
            <a:endParaRPr lang="en-US"/>
          </a:p>
        </c:txPr>
        <c:crossAx val="9853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16">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purl.oclc.org/ooxml/drawingml/main" id="216">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purl.oclc.org/ooxml/drawingml/main" id="216">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purl.oclc.org/ooxml/officeDocument/relationships/image" Target="../media/image1.pn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s>
</file>

<file path=xl/drawings/_rels/drawing5.xml.rels><?xml version="1.0" encoding="UTF-8" standalone="yes"?>
<Relationships xmlns="http://schemas.openxmlformats.org/package/2006/relationships"><Relationship Id="rId2" Type="http://purl.oclc.org/ooxml/officeDocument/relationships/chart" Target="../charts/chart4.xml"/><Relationship Id="rId1" Type="http://purl.oclc.org/ooxml/officeDocument/relationships/image" Target="../media/image2.emf"/></Relationships>
</file>

<file path=xl/drawings/drawing1.xml><?xml version="1.0" encoding="utf-8"?>
<xdr:wsDr xmlns:xdr="http://purl.oclc.org/ooxml/drawingml/spreadsheetDrawing" xmlns:a="http://purl.oclc.org/ooxml/drawingml/main">
  <xdr:twoCellAnchor editAs="oneCell">
    <xdr:from>
      <xdr:col>7</xdr:col>
      <xdr:colOff>774700</xdr:colOff>
      <xdr:row>97</xdr:row>
      <xdr:rowOff>0</xdr:rowOff>
    </xdr:from>
    <xdr:to>
      <xdr:col>8</xdr:col>
      <xdr:colOff>5310</xdr:colOff>
      <xdr:row>141</xdr:row>
      <xdr:rowOff>234373</xdr:rowOff>
    </xdr:to>
    <xdr:pic>
      <xdr:nvPicPr>
        <xdr:cNvPr id="2" name="Picture 17">
          <a:extLst>
            <a:ext uri="{FF2B5EF4-FFF2-40B4-BE49-F238E27FC236}">
              <a16:creationId xmlns:a16="http://schemas.microsoft.com/office/drawing/2014/main" id="{6285DC74-DBF7-8D45-ACC9-5AF848016C3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188200" y="15036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3" name="Picture 39">
          <a:extLst>
            <a:ext uri="{FF2B5EF4-FFF2-40B4-BE49-F238E27FC236}">
              <a16:creationId xmlns:a16="http://schemas.microsoft.com/office/drawing/2014/main" id="{87E5CA48-A842-8748-B3FE-831A4DD2B4D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4" name="Picture 40">
          <a:extLst>
            <a:ext uri="{FF2B5EF4-FFF2-40B4-BE49-F238E27FC236}">
              <a16:creationId xmlns:a16="http://schemas.microsoft.com/office/drawing/2014/main" id="{A3685484-ED1C-954C-B28A-84A89096112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5" name="Picture 41">
          <a:extLst>
            <a:ext uri="{FF2B5EF4-FFF2-40B4-BE49-F238E27FC236}">
              <a16:creationId xmlns:a16="http://schemas.microsoft.com/office/drawing/2014/main" id="{A1BBBA55-B46E-054B-8919-C26BA217AE5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6" name="Picture 42">
          <a:extLst>
            <a:ext uri="{FF2B5EF4-FFF2-40B4-BE49-F238E27FC236}">
              <a16:creationId xmlns:a16="http://schemas.microsoft.com/office/drawing/2014/main" id="{30F689A8-065A-F040-979E-48D96167AE8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7" name="Picture 62">
          <a:extLst>
            <a:ext uri="{FF2B5EF4-FFF2-40B4-BE49-F238E27FC236}">
              <a16:creationId xmlns:a16="http://schemas.microsoft.com/office/drawing/2014/main" id="{D8567714-B097-9C42-8DF6-414C2FC95DE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8" name="Picture 63">
          <a:extLst>
            <a:ext uri="{FF2B5EF4-FFF2-40B4-BE49-F238E27FC236}">
              <a16:creationId xmlns:a16="http://schemas.microsoft.com/office/drawing/2014/main" id="{2D23BD34-AB1B-0946-B1C8-A38F29C1775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9" name="Picture 64">
          <a:extLst>
            <a:ext uri="{FF2B5EF4-FFF2-40B4-BE49-F238E27FC236}">
              <a16:creationId xmlns:a16="http://schemas.microsoft.com/office/drawing/2014/main" id="{8EE5BF43-8176-EF44-87DD-6F6D63F19E8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0" name="Picture 65">
          <a:extLst>
            <a:ext uri="{FF2B5EF4-FFF2-40B4-BE49-F238E27FC236}">
              <a16:creationId xmlns:a16="http://schemas.microsoft.com/office/drawing/2014/main" id="{3807BE79-5C52-E049-86B1-CA2A9BED198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1" name="Picture 85">
          <a:extLst>
            <a:ext uri="{FF2B5EF4-FFF2-40B4-BE49-F238E27FC236}">
              <a16:creationId xmlns:a16="http://schemas.microsoft.com/office/drawing/2014/main" id="{9568CE0C-CE26-5140-BDB2-D11544010A6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12" name="Picture 86">
          <a:extLst>
            <a:ext uri="{FF2B5EF4-FFF2-40B4-BE49-F238E27FC236}">
              <a16:creationId xmlns:a16="http://schemas.microsoft.com/office/drawing/2014/main" id="{7A2CFAA3-B01F-1240-8F36-669CF8BC450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3" name="Picture 87">
          <a:extLst>
            <a:ext uri="{FF2B5EF4-FFF2-40B4-BE49-F238E27FC236}">
              <a16:creationId xmlns:a16="http://schemas.microsoft.com/office/drawing/2014/main" id="{F0922EC5-9802-484F-A621-E1342AA6E60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4" name="Picture 88">
          <a:extLst>
            <a:ext uri="{FF2B5EF4-FFF2-40B4-BE49-F238E27FC236}">
              <a16:creationId xmlns:a16="http://schemas.microsoft.com/office/drawing/2014/main" id="{C5091570-164B-F040-96C4-BD2EA44A1A8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5" name="Picture 108">
          <a:extLst>
            <a:ext uri="{FF2B5EF4-FFF2-40B4-BE49-F238E27FC236}">
              <a16:creationId xmlns:a16="http://schemas.microsoft.com/office/drawing/2014/main" id="{95481E85-D0A3-434D-AA03-CFBC669D961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16" name="Picture 109">
          <a:extLst>
            <a:ext uri="{FF2B5EF4-FFF2-40B4-BE49-F238E27FC236}">
              <a16:creationId xmlns:a16="http://schemas.microsoft.com/office/drawing/2014/main" id="{1516ECFD-8F3E-654E-A853-9EB052083E5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7" name="Picture 110">
          <a:extLst>
            <a:ext uri="{FF2B5EF4-FFF2-40B4-BE49-F238E27FC236}">
              <a16:creationId xmlns:a16="http://schemas.microsoft.com/office/drawing/2014/main" id="{507D7464-902B-6942-BF25-1690741D652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8" name="Picture 111">
          <a:extLst>
            <a:ext uri="{FF2B5EF4-FFF2-40B4-BE49-F238E27FC236}">
              <a16:creationId xmlns:a16="http://schemas.microsoft.com/office/drawing/2014/main" id="{D5CA2908-14CA-3D43-BF5D-A070F0A8FBB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19" name="Picture 131">
          <a:extLst>
            <a:ext uri="{FF2B5EF4-FFF2-40B4-BE49-F238E27FC236}">
              <a16:creationId xmlns:a16="http://schemas.microsoft.com/office/drawing/2014/main" id="{EAE37968-589D-D04B-A1A3-C36DC30EFE8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20" name="Picture 132">
          <a:extLst>
            <a:ext uri="{FF2B5EF4-FFF2-40B4-BE49-F238E27FC236}">
              <a16:creationId xmlns:a16="http://schemas.microsoft.com/office/drawing/2014/main" id="{E072413D-B80C-554B-86FE-8BC3A58918B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1" name="Picture 133">
          <a:extLst>
            <a:ext uri="{FF2B5EF4-FFF2-40B4-BE49-F238E27FC236}">
              <a16:creationId xmlns:a16="http://schemas.microsoft.com/office/drawing/2014/main" id="{977583DD-DBD0-E949-8CE4-25438F19524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2" name="Picture 134">
          <a:extLst>
            <a:ext uri="{FF2B5EF4-FFF2-40B4-BE49-F238E27FC236}">
              <a16:creationId xmlns:a16="http://schemas.microsoft.com/office/drawing/2014/main" id="{DB6D990E-BCE0-314A-AC17-6EF8BC3D35F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3" name="Picture 154">
          <a:extLst>
            <a:ext uri="{FF2B5EF4-FFF2-40B4-BE49-F238E27FC236}">
              <a16:creationId xmlns:a16="http://schemas.microsoft.com/office/drawing/2014/main" id="{6D97E8BD-1BFE-5448-97E8-5814335BEB6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24" name="Picture 155">
          <a:extLst>
            <a:ext uri="{FF2B5EF4-FFF2-40B4-BE49-F238E27FC236}">
              <a16:creationId xmlns:a16="http://schemas.microsoft.com/office/drawing/2014/main" id="{A0218B23-E5F0-E144-868F-488CABFC96D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5" name="Picture 156">
          <a:extLst>
            <a:ext uri="{FF2B5EF4-FFF2-40B4-BE49-F238E27FC236}">
              <a16:creationId xmlns:a16="http://schemas.microsoft.com/office/drawing/2014/main" id="{3CB09840-41D8-4348-91FC-8D96A2DA32C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6" name="Picture 157">
          <a:extLst>
            <a:ext uri="{FF2B5EF4-FFF2-40B4-BE49-F238E27FC236}">
              <a16:creationId xmlns:a16="http://schemas.microsoft.com/office/drawing/2014/main" id="{F7A5B9F4-2ACA-A142-8E4C-3549FEFA4A2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7" name="Picture 177">
          <a:extLst>
            <a:ext uri="{FF2B5EF4-FFF2-40B4-BE49-F238E27FC236}">
              <a16:creationId xmlns:a16="http://schemas.microsoft.com/office/drawing/2014/main" id="{3746F004-8295-7B4A-98EB-88FBE51F6EE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28" name="Picture 178">
          <a:extLst>
            <a:ext uri="{FF2B5EF4-FFF2-40B4-BE49-F238E27FC236}">
              <a16:creationId xmlns:a16="http://schemas.microsoft.com/office/drawing/2014/main" id="{60ABDFAE-3907-5E4C-A4AD-11F04F60F30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29" name="Picture 179">
          <a:extLst>
            <a:ext uri="{FF2B5EF4-FFF2-40B4-BE49-F238E27FC236}">
              <a16:creationId xmlns:a16="http://schemas.microsoft.com/office/drawing/2014/main" id="{340D6807-21B0-D547-A685-23197407AA4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30" name="Picture 180">
          <a:extLst>
            <a:ext uri="{FF2B5EF4-FFF2-40B4-BE49-F238E27FC236}">
              <a16:creationId xmlns:a16="http://schemas.microsoft.com/office/drawing/2014/main" id="{23ADE60F-BAC9-FD4C-9C77-BEBD9837337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31" name="Picture 200">
          <a:extLst>
            <a:ext uri="{FF2B5EF4-FFF2-40B4-BE49-F238E27FC236}">
              <a16:creationId xmlns:a16="http://schemas.microsoft.com/office/drawing/2014/main" id="{02F3AB04-B2A8-5140-AF1E-5209C3559D8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927100</xdr:colOff>
      <xdr:row>103</xdr:row>
      <xdr:rowOff>0</xdr:rowOff>
    </xdr:from>
    <xdr:to>
      <xdr:col>8</xdr:col>
      <xdr:colOff>5310</xdr:colOff>
      <xdr:row>141</xdr:row>
      <xdr:rowOff>234373</xdr:rowOff>
    </xdr:to>
    <xdr:pic>
      <xdr:nvPicPr>
        <xdr:cNvPr id="32" name="Picture 201">
          <a:extLst>
            <a:ext uri="{FF2B5EF4-FFF2-40B4-BE49-F238E27FC236}">
              <a16:creationId xmlns:a16="http://schemas.microsoft.com/office/drawing/2014/main" id="{F10394A0-E753-A942-B140-F614DA2CCC5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33" name="Picture 202">
          <a:extLst>
            <a:ext uri="{FF2B5EF4-FFF2-40B4-BE49-F238E27FC236}">
              <a16:creationId xmlns:a16="http://schemas.microsoft.com/office/drawing/2014/main" id="{A6C8C8C7-AA2B-DC49-9520-51DF78EC386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editAs="oneCell">
    <xdr:from>
      <xdr:col>7</xdr:col>
      <xdr:colOff>914400</xdr:colOff>
      <xdr:row>103</xdr:row>
      <xdr:rowOff>0</xdr:rowOff>
    </xdr:from>
    <xdr:to>
      <xdr:col>8</xdr:col>
      <xdr:colOff>5310</xdr:colOff>
      <xdr:row>141</xdr:row>
      <xdr:rowOff>234373</xdr:rowOff>
    </xdr:to>
    <xdr:pic>
      <xdr:nvPicPr>
        <xdr:cNvPr id="34" name="Picture 203">
          <a:extLst>
            <a:ext uri="{FF2B5EF4-FFF2-40B4-BE49-F238E27FC236}">
              <a16:creationId xmlns:a16="http://schemas.microsoft.com/office/drawing/2014/main" id="{7B6FF8DB-BD1D-7D42-8263-792FBDD4A6C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oneCellAnchor>
    <xdr:from>
      <xdr:col>7</xdr:col>
      <xdr:colOff>774700</xdr:colOff>
      <xdr:row>97</xdr:row>
      <xdr:rowOff>0</xdr:rowOff>
    </xdr:from>
    <xdr:ext cx="0" cy="228600"/>
    <xdr:pic>
      <xdr:nvPicPr>
        <xdr:cNvPr id="35" name="Picture 17">
          <a:extLst>
            <a:ext uri="{FF2B5EF4-FFF2-40B4-BE49-F238E27FC236}">
              <a16:creationId xmlns:a16="http://schemas.microsoft.com/office/drawing/2014/main" id="{0D97284D-713B-234D-83B6-9FB5017443B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188200" y="15036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36" name="Picture 39">
          <a:extLst>
            <a:ext uri="{FF2B5EF4-FFF2-40B4-BE49-F238E27FC236}">
              <a16:creationId xmlns:a16="http://schemas.microsoft.com/office/drawing/2014/main" id="{C1751E31-16D1-7344-9AC6-B62773A46CF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37" name="Picture 40">
          <a:extLst>
            <a:ext uri="{FF2B5EF4-FFF2-40B4-BE49-F238E27FC236}">
              <a16:creationId xmlns:a16="http://schemas.microsoft.com/office/drawing/2014/main" id="{8C0564C5-CD4A-BC49-9279-30DCC48002C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38" name="Picture 41">
          <a:extLst>
            <a:ext uri="{FF2B5EF4-FFF2-40B4-BE49-F238E27FC236}">
              <a16:creationId xmlns:a16="http://schemas.microsoft.com/office/drawing/2014/main" id="{B22C2A57-6EE9-2841-9A63-E49DCEFA52D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39" name="Picture 42">
          <a:extLst>
            <a:ext uri="{FF2B5EF4-FFF2-40B4-BE49-F238E27FC236}">
              <a16:creationId xmlns:a16="http://schemas.microsoft.com/office/drawing/2014/main" id="{A1E73F63-1C4A-F146-8733-CB25C2BC27A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0" name="Picture 62">
          <a:extLst>
            <a:ext uri="{FF2B5EF4-FFF2-40B4-BE49-F238E27FC236}">
              <a16:creationId xmlns:a16="http://schemas.microsoft.com/office/drawing/2014/main" id="{B5F95EC8-154D-CE4F-9056-856C80991FC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41" name="Picture 63">
          <a:extLst>
            <a:ext uri="{FF2B5EF4-FFF2-40B4-BE49-F238E27FC236}">
              <a16:creationId xmlns:a16="http://schemas.microsoft.com/office/drawing/2014/main" id="{54F349DE-7728-7642-8674-FC9CA6B5A0C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2" name="Picture 64">
          <a:extLst>
            <a:ext uri="{FF2B5EF4-FFF2-40B4-BE49-F238E27FC236}">
              <a16:creationId xmlns:a16="http://schemas.microsoft.com/office/drawing/2014/main" id="{06BE4B88-F03A-5643-8383-10CBF0811BF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3" name="Picture 65">
          <a:extLst>
            <a:ext uri="{FF2B5EF4-FFF2-40B4-BE49-F238E27FC236}">
              <a16:creationId xmlns:a16="http://schemas.microsoft.com/office/drawing/2014/main" id="{CC7CDF51-5C05-7846-878C-F1F3F7C85BB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4" name="Picture 85">
          <a:extLst>
            <a:ext uri="{FF2B5EF4-FFF2-40B4-BE49-F238E27FC236}">
              <a16:creationId xmlns:a16="http://schemas.microsoft.com/office/drawing/2014/main" id="{2D8796F3-FF56-C549-A9DB-429F040808D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45" name="Picture 86">
          <a:extLst>
            <a:ext uri="{FF2B5EF4-FFF2-40B4-BE49-F238E27FC236}">
              <a16:creationId xmlns:a16="http://schemas.microsoft.com/office/drawing/2014/main" id="{3A69E1D8-419D-5B48-99FF-EDF866E91BC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6" name="Picture 87">
          <a:extLst>
            <a:ext uri="{FF2B5EF4-FFF2-40B4-BE49-F238E27FC236}">
              <a16:creationId xmlns:a16="http://schemas.microsoft.com/office/drawing/2014/main" id="{1D9414CF-2D08-8849-95DC-43D55F1CF3A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7" name="Picture 88">
          <a:extLst>
            <a:ext uri="{FF2B5EF4-FFF2-40B4-BE49-F238E27FC236}">
              <a16:creationId xmlns:a16="http://schemas.microsoft.com/office/drawing/2014/main" id="{F23FA1A0-E026-A341-94C3-06C54804BAD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48" name="Picture 108">
          <a:extLst>
            <a:ext uri="{FF2B5EF4-FFF2-40B4-BE49-F238E27FC236}">
              <a16:creationId xmlns:a16="http://schemas.microsoft.com/office/drawing/2014/main" id="{D3F277C3-A254-384F-96DE-8FF40864408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49" name="Picture 109">
          <a:extLst>
            <a:ext uri="{FF2B5EF4-FFF2-40B4-BE49-F238E27FC236}">
              <a16:creationId xmlns:a16="http://schemas.microsoft.com/office/drawing/2014/main" id="{E0213E16-B52B-2B45-8A02-C248D1A4F12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0" name="Picture 110">
          <a:extLst>
            <a:ext uri="{FF2B5EF4-FFF2-40B4-BE49-F238E27FC236}">
              <a16:creationId xmlns:a16="http://schemas.microsoft.com/office/drawing/2014/main" id="{16C77528-7176-E641-BA17-F66274305AA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1" name="Picture 111">
          <a:extLst>
            <a:ext uri="{FF2B5EF4-FFF2-40B4-BE49-F238E27FC236}">
              <a16:creationId xmlns:a16="http://schemas.microsoft.com/office/drawing/2014/main" id="{A1D77E1D-C2F4-894B-9DC4-77DB1D80FC2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2" name="Picture 131">
          <a:extLst>
            <a:ext uri="{FF2B5EF4-FFF2-40B4-BE49-F238E27FC236}">
              <a16:creationId xmlns:a16="http://schemas.microsoft.com/office/drawing/2014/main" id="{EEA25A61-7DE3-F642-980E-A48CB4C31CE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53" name="Picture 132">
          <a:extLst>
            <a:ext uri="{FF2B5EF4-FFF2-40B4-BE49-F238E27FC236}">
              <a16:creationId xmlns:a16="http://schemas.microsoft.com/office/drawing/2014/main" id="{2413A505-ADF5-AA4F-9821-C87060C7E02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4" name="Picture 133">
          <a:extLst>
            <a:ext uri="{FF2B5EF4-FFF2-40B4-BE49-F238E27FC236}">
              <a16:creationId xmlns:a16="http://schemas.microsoft.com/office/drawing/2014/main" id="{16D14B84-B923-9540-B23B-38AD6273DA2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5" name="Picture 134">
          <a:extLst>
            <a:ext uri="{FF2B5EF4-FFF2-40B4-BE49-F238E27FC236}">
              <a16:creationId xmlns:a16="http://schemas.microsoft.com/office/drawing/2014/main" id="{B47A5077-8D49-C441-B34B-4A8882FA032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6" name="Picture 154">
          <a:extLst>
            <a:ext uri="{FF2B5EF4-FFF2-40B4-BE49-F238E27FC236}">
              <a16:creationId xmlns:a16="http://schemas.microsoft.com/office/drawing/2014/main" id="{E7D92052-4665-DD44-AEEA-427F0468DBA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57" name="Picture 155">
          <a:extLst>
            <a:ext uri="{FF2B5EF4-FFF2-40B4-BE49-F238E27FC236}">
              <a16:creationId xmlns:a16="http://schemas.microsoft.com/office/drawing/2014/main" id="{4BA1EA54-D8EE-314C-B223-15BB6B6AA00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8" name="Picture 156">
          <a:extLst>
            <a:ext uri="{FF2B5EF4-FFF2-40B4-BE49-F238E27FC236}">
              <a16:creationId xmlns:a16="http://schemas.microsoft.com/office/drawing/2014/main" id="{CEF99AF3-F1A6-3548-91B5-6397333BE99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59" name="Picture 157">
          <a:extLst>
            <a:ext uri="{FF2B5EF4-FFF2-40B4-BE49-F238E27FC236}">
              <a16:creationId xmlns:a16="http://schemas.microsoft.com/office/drawing/2014/main" id="{45394E08-2F57-7844-A6CE-7F23D0B463F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0" name="Picture 177">
          <a:extLst>
            <a:ext uri="{FF2B5EF4-FFF2-40B4-BE49-F238E27FC236}">
              <a16:creationId xmlns:a16="http://schemas.microsoft.com/office/drawing/2014/main" id="{685A6BBE-CEE3-1141-81AF-7D7A34C6C61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61" name="Picture 178">
          <a:extLst>
            <a:ext uri="{FF2B5EF4-FFF2-40B4-BE49-F238E27FC236}">
              <a16:creationId xmlns:a16="http://schemas.microsoft.com/office/drawing/2014/main" id="{56A7F6C7-73EA-8245-997C-BB8B1F8A6D5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2" name="Picture 179">
          <a:extLst>
            <a:ext uri="{FF2B5EF4-FFF2-40B4-BE49-F238E27FC236}">
              <a16:creationId xmlns:a16="http://schemas.microsoft.com/office/drawing/2014/main" id="{CB9AD2B8-8172-2D4F-BCCF-423BD33B050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3" name="Picture 180">
          <a:extLst>
            <a:ext uri="{FF2B5EF4-FFF2-40B4-BE49-F238E27FC236}">
              <a16:creationId xmlns:a16="http://schemas.microsoft.com/office/drawing/2014/main" id="{EE5CB1AF-21DD-E34A-BEB1-D40E70D0C33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4" name="Picture 200">
          <a:extLst>
            <a:ext uri="{FF2B5EF4-FFF2-40B4-BE49-F238E27FC236}">
              <a16:creationId xmlns:a16="http://schemas.microsoft.com/office/drawing/2014/main" id="{3907618D-FE14-7047-AE32-9ABB447D063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927100</xdr:colOff>
      <xdr:row>103</xdr:row>
      <xdr:rowOff>0</xdr:rowOff>
    </xdr:from>
    <xdr:ext cx="0" cy="228600"/>
    <xdr:pic>
      <xdr:nvPicPr>
        <xdr:cNvPr id="65" name="Picture 201">
          <a:extLst>
            <a:ext uri="{FF2B5EF4-FFF2-40B4-BE49-F238E27FC236}">
              <a16:creationId xmlns:a16="http://schemas.microsoft.com/office/drawing/2014/main" id="{EAAA4E72-CB49-494D-AE09-98D622B1B4E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6" name="Picture 202">
          <a:extLst>
            <a:ext uri="{FF2B5EF4-FFF2-40B4-BE49-F238E27FC236}">
              <a16:creationId xmlns:a16="http://schemas.microsoft.com/office/drawing/2014/main" id="{E54BB889-59F7-444B-A811-90D75976261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oneCellAnchor>
    <xdr:from>
      <xdr:col>7</xdr:col>
      <xdr:colOff>914400</xdr:colOff>
      <xdr:row>103</xdr:row>
      <xdr:rowOff>0</xdr:rowOff>
    </xdr:from>
    <xdr:ext cx="0" cy="228600"/>
    <xdr:pic>
      <xdr:nvPicPr>
        <xdr:cNvPr id="67" name="Picture 203">
          <a:extLst>
            <a:ext uri="{FF2B5EF4-FFF2-40B4-BE49-F238E27FC236}">
              <a16:creationId xmlns:a16="http://schemas.microsoft.com/office/drawing/2014/main" id="{FA4F88B4-96D2-7C40-81F6-167F7B3F6C0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7239000" y="16179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oneCellAnchor>
</xdr:wsDr>
</file>

<file path=xl/drawings/drawing2.xml><?xml version="1.0" encoding="utf-8"?>
<xdr:wsDr xmlns:xdr="http://purl.oclc.org/ooxml/drawingml/spreadsheetDrawing" xmlns:a="http://purl.oclc.org/ooxml/drawingml/main">
  <xdr:twoCellAnchor>
    <xdr:from>
      <xdr:col>5</xdr:col>
      <xdr:colOff>158750</xdr:colOff>
      <xdr:row>0</xdr:row>
      <xdr:rowOff>44450</xdr:rowOff>
    </xdr:from>
    <xdr:to>
      <xdr:col>13</xdr:col>
      <xdr:colOff>635000</xdr:colOff>
      <xdr:row>15</xdr:row>
      <xdr:rowOff>177800</xdr:rowOff>
    </xdr:to>
    <xdr:graphicFrame macro="">
      <xdr:nvGraphicFramePr>
        <xdr:cNvPr id="2" name="Chart 1">
          <a:extLst>
            <a:ext uri="{FF2B5EF4-FFF2-40B4-BE49-F238E27FC236}">
              <a16:creationId xmlns:a16="http://schemas.microsoft.com/office/drawing/2014/main" id="{4C31D507-F811-5E42-B101-051EAF47FC7C}"/>
            </a:ext>
          </a:extLst>
        </xdr:cNvPr>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5</xdr:col>
      <xdr:colOff>0</xdr:colOff>
      <xdr:row>18</xdr:row>
      <xdr:rowOff>0</xdr:rowOff>
    </xdr:from>
    <xdr:to>
      <xdr:col>13</xdr:col>
      <xdr:colOff>476250</xdr:colOff>
      <xdr:row>33</xdr:row>
      <xdr:rowOff>133350</xdr:rowOff>
    </xdr:to>
    <xdr:graphicFrame macro="">
      <xdr:nvGraphicFramePr>
        <xdr:cNvPr id="3" name="Chart 2">
          <a:extLst>
            <a:ext uri="{FF2B5EF4-FFF2-40B4-BE49-F238E27FC236}">
              <a16:creationId xmlns:a16="http://schemas.microsoft.com/office/drawing/2014/main" id="{6EB7F0B7-B738-B247-A6F9-E73497E391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0</xdr:colOff>
      <xdr:row>35</xdr:row>
      <xdr:rowOff>0</xdr:rowOff>
    </xdr:from>
    <xdr:to>
      <xdr:col>13</xdr:col>
      <xdr:colOff>476250</xdr:colOff>
      <xdr:row>50</xdr:row>
      <xdr:rowOff>133350</xdr:rowOff>
    </xdr:to>
    <xdr:graphicFrame macro="">
      <xdr:nvGraphicFramePr>
        <xdr:cNvPr id="4" name="Chart 3">
          <a:extLst>
            <a:ext uri="{FF2B5EF4-FFF2-40B4-BE49-F238E27FC236}">
              <a16:creationId xmlns:a16="http://schemas.microsoft.com/office/drawing/2014/main" id="{C210B032-5BDD-7242-8AD8-F7C30AEF46A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oneCellAnchor>
    <xdr:from>
      <xdr:col>7</xdr:col>
      <xdr:colOff>508000</xdr:colOff>
      <xdr:row>14</xdr:row>
      <xdr:rowOff>76200</xdr:rowOff>
    </xdr:from>
    <xdr:ext cx="3455113" cy="264560"/>
    <xdr:sp macro="" textlink="">
      <xdr:nvSpPr>
        <xdr:cNvPr id="5" name="TextBox 4">
          <a:extLst>
            <a:ext uri="{FF2B5EF4-FFF2-40B4-BE49-F238E27FC236}">
              <a16:creationId xmlns:a16="http://schemas.microsoft.com/office/drawing/2014/main" id="{C2F1741A-3AD9-5D41-9919-DB237D58F786}"/>
            </a:ext>
          </a:extLst>
        </xdr:cNvPr>
        <xdr:cNvSpPr txBox="1"/>
      </xdr:nvSpPr>
      <xdr:spPr>
        <a:xfrm>
          <a:off x="6286500" y="2743200"/>
          <a:ext cx="34551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*Crops used in local dairy</a:t>
          </a:r>
          <a:r>
            <a:rPr lang="en-US" sz="1100" baseline="0%"/>
            <a:t> industry as a maiin feed source</a:t>
          </a:r>
          <a:endParaRPr lang="en-US" sz="1100"/>
        </a:p>
      </xdr:txBody>
    </xdr:sp>
    <xdr:clientData/>
  </xdr:oneCellAnchor>
</xdr:wsDr>
</file>

<file path=xl/drawings/drawing3.xml><?xml version="1.0" encoding="utf-8"?>
<c:userShapes xmlns:c="http://purl.oclc.org/ooxml/drawingml/chart">
  <cdr:relSizeAnchor xmlns:cdr="http://purl.oclc.org/ooxml/drawingml/chartDrawing">
    <cdr:from>
      <cdr:x>0.31211</cdr:x>
      <cdr:y>0.89597</cdr:y>
    </cdr:from>
    <cdr:to>
      <cdr:x>0.79553</cdr:x>
      <cdr:y>0.98442</cdr:y>
    </cdr:to>
    <cdr:sp macro="" textlink="">
      <cdr:nvSpPr>
        <cdr:cNvPr id="2" name="TextBox 4">
          <a:extLst xmlns:a="http://purl.oclc.org/ooxml/drawingml/main">
            <a:ext uri="{FF2B5EF4-FFF2-40B4-BE49-F238E27FC236}">
              <a16:creationId xmlns:a16="http://schemas.microsoft.com/office/drawing/2014/main" id="{C2F1741A-3AD9-5D41-9919-DB237D58F786}"/>
            </a:ext>
          </a:extLst>
        </cdr:cNvPr>
        <cdr:cNvSpPr txBox="1"/>
      </cdr:nvSpPr>
      <cdr:spPr>
        <a:xfrm xmlns:a="http://purl.oclc.org/ooxml/drawingml/main">
          <a:off x="2209800" y="2679700"/>
          <a:ext cx="3422732" cy="264560"/>
        </a:xfrm>
        <a:prstGeom xmlns:a="http://purl.oclc.org/ooxml/drawingml/main" prst="rect">
          <a:avLst/>
        </a:prstGeom>
        <a:noFill xmlns:a="http://purl.oclc.org/ooxml/drawingml/main"/>
      </cdr:spPr>
      <cdr:style>
        <a:lnRef xmlns:a="http://purl.oclc.org/ooxml/drawingml/main" idx="0">
          <a:scrgbClr r="0%" g="0%" b="0%"/>
        </a:lnRef>
        <a:fillRef xmlns:a="http://purl.oclc.org/ooxml/drawingml/main" idx="0">
          <a:scrgbClr r="0%" g="0%" b="0%"/>
        </a:fillRef>
        <a:effectRef xmlns:a="http://purl.oclc.org/ooxml/drawingml/main" idx="0">
          <a:scrgbClr r="0%" g="0%" b="0%"/>
        </a:effectRef>
        <a:fontRef xmlns:a="http://purl.oclc.org/ooxml/drawingml/main" idx="minor">
          <a:schemeClr val="tx1"/>
        </a:fontRef>
      </cdr:style>
      <cdr:txBody>
        <a:bodyPr xmlns:a="http://purl.oclc.org/ooxml/drawingml/main" wrap="none" rtlCol="0" anchor="t">
          <a:spAutoFit/>
        </a:bodyPr>
        <a:lstStyle xmlns:a="http://purl.oclc.org/ooxml/drawingml/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purl.oclc.org/ooxml/drawingml/main">
          <a:r>
            <a:rPr lang="en-US" sz="1100"/>
            <a:t>*Crops used in local dairy</a:t>
          </a:r>
          <a:r>
            <a:rPr lang="en-US" sz="1100" baseline="0%"/>
            <a:t> industry as a main feed source</a:t>
          </a:r>
          <a:endParaRPr lang="en-US" sz="1100"/>
        </a:p>
      </cdr:txBody>
    </cdr:sp>
  </cdr:relSizeAnchor>
</c:userShapes>
</file>

<file path=xl/drawings/drawing4.xml><?xml version="1.0" encoding="utf-8"?>
<c:userShapes xmlns:c="http://purl.oclc.org/ooxml/drawingml/chart">
  <cdr:relSizeAnchor xmlns:cdr="http://purl.oclc.org/ooxml/drawingml/chartDrawing">
    <cdr:from>
      <cdr:x>0.2852</cdr:x>
      <cdr:y>0.88747</cdr:y>
    </cdr:from>
    <cdr:to>
      <cdr:x>0.76862</cdr:x>
      <cdr:y>0.97593</cdr:y>
    </cdr:to>
    <cdr:sp macro="" textlink="">
      <cdr:nvSpPr>
        <cdr:cNvPr id="2" name="TextBox 4">
          <a:extLst xmlns:a="http://purl.oclc.org/ooxml/drawingml/main">
            <a:ext uri="{FF2B5EF4-FFF2-40B4-BE49-F238E27FC236}">
              <a16:creationId xmlns:a16="http://schemas.microsoft.com/office/drawing/2014/main" id="{CE1AF0CE-FB4B-A043-B4D6-D33C4C795F69}"/>
            </a:ext>
          </a:extLst>
        </cdr:cNvPr>
        <cdr:cNvSpPr txBox="1"/>
      </cdr:nvSpPr>
      <cdr:spPr>
        <a:xfrm xmlns:a="http://purl.oclc.org/ooxml/drawingml/main">
          <a:off x="2019300" y="2654300"/>
          <a:ext cx="3422732" cy="264560"/>
        </a:xfrm>
        <a:prstGeom xmlns:a="http://purl.oclc.org/ooxml/drawingml/main" prst="rect">
          <a:avLst/>
        </a:prstGeom>
        <a:noFill xmlns:a="http://purl.oclc.org/ooxml/drawingml/main"/>
      </cdr:spPr>
      <cdr:style>
        <a:lnRef xmlns:a="http://purl.oclc.org/ooxml/drawingml/main" idx="0">
          <a:scrgbClr r="0%" g="0%" b="0%"/>
        </a:lnRef>
        <a:fillRef xmlns:a="http://purl.oclc.org/ooxml/drawingml/main" idx="0">
          <a:scrgbClr r="0%" g="0%" b="0%"/>
        </a:fillRef>
        <a:effectRef xmlns:a="http://purl.oclc.org/ooxml/drawingml/main" idx="0">
          <a:scrgbClr r="0%" g="0%" b="0%"/>
        </a:effectRef>
        <a:fontRef xmlns:a="http://purl.oclc.org/ooxml/drawingml/main" idx="minor">
          <a:schemeClr val="tx1"/>
        </a:fontRef>
      </cdr:style>
      <cdr:txBody>
        <a:bodyPr xmlns:a="http://purl.oclc.org/ooxml/drawingml/main" wrap="none" rtlCol="0" anchor="t">
          <a:spAutoFit/>
        </a:bodyPr>
        <a:lstStyle xmlns:a="http://purl.oclc.org/ooxml/drawingml/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purl.oclc.org/ooxml/drawingml/main">
          <a:r>
            <a:rPr lang="en-US" sz="1100"/>
            <a:t>*Crops used in local dairy</a:t>
          </a:r>
          <a:r>
            <a:rPr lang="en-US" sz="1100" baseline="0%"/>
            <a:t> industry as a main feed source</a:t>
          </a:r>
          <a:endParaRPr lang="en-US" sz="1100"/>
        </a:p>
      </cdr:txBody>
    </cdr:sp>
  </cdr:relSizeAnchor>
</c:userShapes>
</file>

<file path=xl/drawings/drawing5.xml><?xml version="1.0" encoding="utf-8"?>
<xdr:wsDr xmlns:xdr="http://purl.oclc.org/ooxml/drawingml/spreadsheetDrawing" xmlns:a="http://purl.oclc.org/ooxml/drawingml/main">
  <xdr:twoCellAnchor editAs="oneCell">
    <xdr:from>
      <xdr:col>3</xdr:col>
      <xdr:colOff>351693</xdr:colOff>
      <xdr:row>26</xdr:row>
      <xdr:rowOff>205153</xdr:rowOff>
    </xdr:from>
    <xdr:to>
      <xdr:col>9</xdr:col>
      <xdr:colOff>927917</xdr:colOff>
      <xdr:row>71</xdr:row>
      <xdr:rowOff>108437</xdr:rowOff>
    </xdr:to>
    <xdr:pic>
      <xdr:nvPicPr>
        <xdr:cNvPr id="2" name="Picture 1">
          <a:extLst>
            <a:ext uri="{FF2B5EF4-FFF2-40B4-BE49-F238E27FC236}">
              <a16:creationId xmlns:a16="http://schemas.microsoft.com/office/drawing/2014/main" id="{6F2B440B-3567-4441-9017-5A1B9EB26BC1}"/>
            </a:ext>
          </a:extLst>
        </xdr:cNvPr>
        <xdr:cNvPicPr>
          <a:picLocks noChangeAspect="1"/>
        </xdr:cNvPicPr>
      </xdr:nvPicPr>
      <xdr:blipFill rotWithShape="1">
        <a:blip xmlns:r="http://purl.oclc.org/ooxml/officeDocument/relationships" r:embed="rId1"/>
        <a:srcRect t="16.83%"/>
        <a:stretch/>
      </xdr:blipFill>
      <xdr:spPr>
        <a:xfrm>
          <a:off x="4347308" y="6496538"/>
          <a:ext cx="6906686" cy="2455984"/>
        </a:xfrm>
        <a:prstGeom prst="rect">
          <a:avLst/>
        </a:prstGeom>
      </xdr:spPr>
    </xdr:pic>
    <xdr:clientData/>
  </xdr:twoCellAnchor>
  <xdr:twoCellAnchor>
    <xdr:from>
      <xdr:col>6</xdr:col>
      <xdr:colOff>830385</xdr:colOff>
      <xdr:row>68</xdr:row>
      <xdr:rowOff>152400</xdr:rowOff>
    </xdr:from>
    <xdr:to>
      <xdr:col>15</xdr:col>
      <xdr:colOff>136769</xdr:colOff>
      <xdr:row>99</xdr:row>
      <xdr:rowOff>29308</xdr:rowOff>
    </xdr:to>
    <xdr:graphicFrame macro="">
      <xdr:nvGraphicFramePr>
        <xdr:cNvPr id="3" name="Chart 2">
          <a:extLst>
            <a:ext uri="{FF2B5EF4-FFF2-40B4-BE49-F238E27FC236}">
              <a16:creationId xmlns:a16="http://schemas.microsoft.com/office/drawing/2014/main" id="{F94A2EE3-6AE6-F245-9D54-82CDDC88B5D9}"/>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Users\clarkseavert\Downloads\Integrated%20Guayule%20Model%20v2.1%205_23_19_EGS.xlsm"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Users\clarkseavert\Dropbox%20(AgBizLogic)\Clark's%20Files\Consulting%20Clients\University%20of%20Arizona\AZ%20BENCO%20Model%20SBAR%20Explorer%20Internship%20Program%202022.xlsm"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Detailed Inputs"/>
      <sheetName val="Conversions"/>
      <sheetName val="200 - Backup Calcs"/>
      <sheetName val="Properties"/>
      <sheetName val="Figures"/>
      <sheetName val="Data Repository"/>
      <sheetName val="Scenario 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GeneralInputPrices"/>
    </sheetNames>
    <sheetDataSet>
      <sheetData sheetId="0" refreshError="1"/>
    </sheetDataSet>
  </externalBook>
</externalLink>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33.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34.xml.rels><?xml version="1.0" encoding="UTF-8" standalone="yes"?>
<Relationships xmlns="http://schemas.openxmlformats.org/package/2006/relationships"><Relationship Id="rId1" Type="http://purl.oclc.org/ooxml/officeDocument/relationships/drawing" Target="../drawings/drawing5.xml"/></Relationships>
</file>

<file path=xl/worksheets/_rels/sheet4.xml.rels><?xml version="1.0" encoding="UTF-8" standalone="yes"?>
<Relationships xmlns="http://schemas.openxmlformats.org/package/2006/relationships"><Relationship Id="rId1" Type="http://purl.oclc.org/ooxml/officeDocument/relationships/drawing" Target="../drawings/drawing1.xml"/></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3.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A3D2-1E14-2848-8019-A81783AD8B74}">
  <dimension ref="A1:V169"/>
  <sheetViews>
    <sheetView tabSelected="1" zoomScale="140" zoomScaleNormal="140" workbookViewId="0">
      <selection activeCell="B3" sqref="B3"/>
    </sheetView>
  </sheetViews>
  <sheetFormatPr defaultColWidth="11.44140625" defaultRowHeight="14.4"/>
  <cols>
    <col min="1" max="1" width="3.109375" style="2" customWidth="1"/>
    <col min="3" max="3" width="11.109375" customWidth="1"/>
    <col min="4" max="4" width="11.6640625" customWidth="1"/>
    <col min="11" max="11" width="10.88671875" customWidth="1"/>
    <col min="12" max="22" width="10.88671875" style="2"/>
  </cols>
  <sheetData>
    <row r="1" spans="2:15" ht="9" customHeight="1">
      <c r="B1" s="483" t="s">
        <v>428</v>
      </c>
      <c r="C1" s="483"/>
      <c r="D1" s="483"/>
      <c r="E1" s="483"/>
      <c r="F1" s="483"/>
      <c r="G1" s="483"/>
      <c r="H1" s="483"/>
      <c r="I1" s="483"/>
      <c r="J1" s="483"/>
      <c r="K1" s="483"/>
      <c r="L1" s="483"/>
      <c r="M1" s="483"/>
    </row>
    <row r="2" spans="2:15" ht="24.9" customHeight="1">
      <c r="B2" s="484"/>
      <c r="C2" s="484"/>
      <c r="D2" s="484"/>
      <c r="E2" s="484"/>
      <c r="F2" s="484"/>
      <c r="G2" s="484"/>
      <c r="H2" s="484"/>
      <c r="I2" s="484"/>
      <c r="J2" s="484"/>
      <c r="K2" s="484"/>
      <c r="L2" s="484"/>
      <c r="M2" s="484"/>
      <c r="N2" s="263"/>
      <c r="O2" s="263"/>
    </row>
    <row r="3" spans="2:15" ht="9" customHeight="1">
      <c r="B3" s="2"/>
      <c r="C3" s="2"/>
      <c r="D3" s="329"/>
      <c r="E3" s="329"/>
      <c r="F3" s="329"/>
      <c r="G3" s="329"/>
      <c r="H3" s="329"/>
      <c r="I3" s="2"/>
      <c r="J3" s="2"/>
      <c r="K3" s="2"/>
      <c r="N3" s="263"/>
      <c r="O3" s="263"/>
    </row>
    <row r="4" spans="2:15" ht="15" customHeight="1">
      <c r="B4" s="485" t="s">
        <v>427</v>
      </c>
      <c r="C4" s="485"/>
      <c r="D4" s="485"/>
      <c r="E4" s="485"/>
      <c r="F4" s="485"/>
      <c r="G4" s="485"/>
      <c r="H4" s="485"/>
      <c r="I4" s="485"/>
      <c r="J4" s="485"/>
      <c r="K4" s="485"/>
      <c r="L4" s="485"/>
      <c r="M4" s="485"/>
      <c r="N4" s="263"/>
      <c r="O4" s="263"/>
    </row>
    <row r="5" spans="2:15" ht="15" customHeight="1">
      <c r="B5" s="332"/>
      <c r="C5" s="333"/>
      <c r="D5" s="479" t="s">
        <v>429</v>
      </c>
      <c r="E5" s="479"/>
      <c r="F5" s="479"/>
      <c r="G5" s="479"/>
      <c r="H5" s="480" t="s">
        <v>430</v>
      </c>
      <c r="I5" s="480"/>
      <c r="J5" s="480"/>
      <c r="K5" s="480"/>
      <c r="L5" s="480"/>
      <c r="M5" s="333"/>
      <c r="N5" s="263"/>
      <c r="O5" s="263"/>
    </row>
    <row r="6" spans="2:15" ht="15" customHeight="1">
      <c r="B6" s="332"/>
      <c r="C6" s="333"/>
      <c r="D6" s="479" t="s">
        <v>431</v>
      </c>
      <c r="E6" s="479"/>
      <c r="F6" s="479"/>
      <c r="G6" s="479"/>
      <c r="H6" s="479" t="s">
        <v>437</v>
      </c>
      <c r="I6" s="479"/>
      <c r="J6" s="479"/>
      <c r="K6" s="479"/>
      <c r="L6" s="479"/>
      <c r="M6" s="333"/>
      <c r="N6" s="263"/>
      <c r="O6" s="263"/>
    </row>
    <row r="7" spans="2:15" ht="9.9" customHeight="1">
      <c r="B7" s="332"/>
      <c r="C7" s="333"/>
      <c r="D7" s="334"/>
      <c r="E7" s="334"/>
      <c r="F7" s="334"/>
      <c r="G7" s="334"/>
      <c r="H7" s="334"/>
      <c r="I7" s="334"/>
      <c r="J7" s="334"/>
      <c r="K7" s="334"/>
      <c r="L7" s="333"/>
      <c r="M7" s="333"/>
    </row>
    <row r="8" spans="2:15" ht="15" customHeight="1">
      <c r="B8" s="485" t="s">
        <v>432</v>
      </c>
      <c r="C8" s="485"/>
      <c r="D8" s="485"/>
      <c r="E8" s="485"/>
      <c r="F8" s="485"/>
      <c r="G8" s="485"/>
      <c r="H8" s="485"/>
      <c r="I8" s="485"/>
      <c r="J8" s="485"/>
      <c r="K8" s="485"/>
      <c r="L8" s="485"/>
      <c r="M8" s="485"/>
    </row>
    <row r="9" spans="2:15" ht="15" customHeight="1">
      <c r="B9" s="332"/>
      <c r="C9" s="333"/>
      <c r="D9" s="479" t="s">
        <v>525</v>
      </c>
      <c r="E9" s="479"/>
      <c r="F9" s="479"/>
      <c r="G9" s="479"/>
      <c r="H9" s="480" t="s">
        <v>434</v>
      </c>
      <c r="I9" s="480"/>
      <c r="J9" s="480"/>
      <c r="K9" s="480"/>
      <c r="L9" s="480"/>
      <c r="M9" s="333"/>
    </row>
    <row r="10" spans="2:15" ht="15" customHeight="1">
      <c r="B10" s="332"/>
      <c r="C10" s="333"/>
      <c r="D10" s="479" t="s">
        <v>435</v>
      </c>
      <c r="E10" s="479"/>
      <c r="F10" s="479"/>
      <c r="G10" s="479"/>
      <c r="H10" s="479" t="s">
        <v>524</v>
      </c>
      <c r="I10" s="479"/>
      <c r="J10" s="479"/>
      <c r="K10" s="479"/>
      <c r="L10" s="479"/>
      <c r="M10" s="333"/>
    </row>
    <row r="11" spans="2:15" ht="15" customHeight="1">
      <c r="B11" s="332"/>
      <c r="C11" s="333"/>
      <c r="D11" s="335" t="s">
        <v>10</v>
      </c>
      <c r="E11" s="333"/>
      <c r="F11" s="333"/>
      <c r="G11" s="333"/>
      <c r="H11" s="333"/>
      <c r="I11" s="333"/>
      <c r="L11" s="333"/>
      <c r="M11" s="333"/>
    </row>
    <row r="12" spans="2:15" ht="9.9" customHeight="1">
      <c r="B12" s="2"/>
      <c r="C12" s="2"/>
      <c r="D12" s="330"/>
      <c r="E12" s="2"/>
      <c r="F12" s="331"/>
      <c r="G12" s="330"/>
      <c r="H12" s="330"/>
      <c r="I12" s="2"/>
      <c r="J12" s="2"/>
      <c r="K12" s="2"/>
    </row>
    <row r="13" spans="2:15" ht="15" customHeight="1">
      <c r="B13" s="478" t="s">
        <v>522</v>
      </c>
      <c r="C13" s="478"/>
      <c r="D13" s="478"/>
      <c r="E13" s="478"/>
      <c r="F13" s="478"/>
      <c r="G13" s="478"/>
      <c r="H13" s="478"/>
      <c r="I13" s="478"/>
      <c r="J13" s="478"/>
      <c r="K13" s="478"/>
      <c r="L13" s="478"/>
      <c r="M13" s="478"/>
    </row>
    <row r="14" spans="2:15" ht="15" customHeight="1">
      <c r="B14" s="478"/>
      <c r="C14" s="478"/>
      <c r="D14" s="478"/>
      <c r="E14" s="478"/>
      <c r="F14" s="478"/>
      <c r="G14" s="478"/>
      <c r="H14" s="478"/>
      <c r="I14" s="478"/>
      <c r="J14" s="478"/>
      <c r="K14" s="478"/>
      <c r="L14" s="478"/>
      <c r="M14" s="478"/>
    </row>
    <row r="15" spans="2:15" ht="15" customHeight="1">
      <c r="B15" s="478"/>
      <c r="C15" s="478"/>
      <c r="D15" s="478"/>
      <c r="E15" s="478"/>
      <c r="F15" s="478"/>
      <c r="G15" s="478"/>
      <c r="H15" s="478"/>
      <c r="I15" s="478"/>
      <c r="J15" s="478"/>
      <c r="K15" s="478"/>
      <c r="L15" s="478"/>
      <c r="M15" s="478"/>
    </row>
    <row r="16" spans="2:15" ht="15" customHeight="1">
      <c r="B16" s="478"/>
      <c r="C16" s="478"/>
      <c r="D16" s="478"/>
      <c r="E16" s="478"/>
      <c r="F16" s="478"/>
      <c r="G16" s="478"/>
      <c r="H16" s="478"/>
      <c r="I16" s="478"/>
      <c r="J16" s="478"/>
      <c r="K16" s="478"/>
      <c r="L16" s="478"/>
      <c r="M16" s="478"/>
    </row>
    <row r="17" spans="2:13" ht="15.6">
      <c r="B17" s="327"/>
      <c r="C17" s="327"/>
      <c r="D17" s="327"/>
      <c r="E17" s="327"/>
      <c r="F17" s="327"/>
      <c r="G17" s="327"/>
      <c r="H17" s="327"/>
      <c r="I17" s="327"/>
      <c r="J17" s="327"/>
      <c r="K17" s="327"/>
    </row>
    <row r="18" spans="2:13" ht="15.9" customHeight="1">
      <c r="B18" s="478" t="s">
        <v>438</v>
      </c>
      <c r="C18" s="478"/>
      <c r="D18" s="478"/>
      <c r="E18" s="478"/>
      <c r="F18" s="478"/>
      <c r="G18" s="478"/>
      <c r="H18" s="478"/>
      <c r="I18" s="478"/>
      <c r="J18" s="478"/>
      <c r="K18" s="478"/>
      <c r="L18" s="478"/>
      <c r="M18" s="478"/>
    </row>
    <row r="19" spans="2:13" ht="15.9" customHeight="1">
      <c r="B19" s="478"/>
      <c r="C19" s="478"/>
      <c r="D19" s="478"/>
      <c r="E19" s="478"/>
      <c r="F19" s="478"/>
      <c r="G19" s="478"/>
      <c r="H19" s="478"/>
      <c r="I19" s="478"/>
      <c r="J19" s="478"/>
      <c r="K19" s="478"/>
      <c r="L19" s="478"/>
      <c r="M19" s="478"/>
    </row>
    <row r="20" spans="2:13" ht="15.9" customHeight="1">
      <c r="B20" s="478"/>
      <c r="C20" s="478"/>
      <c r="D20" s="478"/>
      <c r="E20" s="478"/>
      <c r="F20" s="478"/>
      <c r="G20" s="478"/>
      <c r="H20" s="478"/>
      <c r="I20" s="478"/>
      <c r="J20" s="478"/>
      <c r="K20" s="478"/>
      <c r="L20" s="478"/>
      <c r="M20" s="478"/>
    </row>
    <row r="21" spans="2:13" ht="15.9" customHeight="1">
      <c r="B21" s="478"/>
      <c r="C21" s="478"/>
      <c r="D21" s="478"/>
      <c r="E21" s="478"/>
      <c r="F21" s="478"/>
      <c r="G21" s="478"/>
      <c r="H21" s="478"/>
      <c r="I21" s="478"/>
      <c r="J21" s="478"/>
      <c r="K21" s="478"/>
      <c r="L21" s="478"/>
      <c r="M21" s="478"/>
    </row>
    <row r="22" spans="2:13" ht="9.9" customHeight="1">
      <c r="B22" s="326"/>
      <c r="C22" s="326"/>
      <c r="D22" s="326"/>
      <c r="E22" s="326"/>
      <c r="F22" s="326"/>
      <c r="G22" s="326"/>
      <c r="H22" s="326"/>
      <c r="I22" s="326"/>
      <c r="J22" s="326"/>
      <c r="K22" s="325"/>
    </row>
    <row r="23" spans="2:13" ht="15" customHeight="1">
      <c r="B23" s="478" t="s">
        <v>496</v>
      </c>
      <c r="C23" s="478"/>
      <c r="D23" s="478"/>
      <c r="E23" s="478"/>
      <c r="F23" s="478"/>
      <c r="G23" s="478"/>
      <c r="H23" s="478"/>
      <c r="I23" s="478"/>
      <c r="J23" s="478"/>
      <c r="K23" s="478"/>
      <c r="L23" s="478"/>
      <c r="M23" s="478"/>
    </row>
    <row r="24" spans="2:13" ht="15" customHeight="1">
      <c r="B24" s="478"/>
      <c r="C24" s="478"/>
      <c r="D24" s="478"/>
      <c r="E24" s="478"/>
      <c r="F24" s="478"/>
      <c r="G24" s="478"/>
      <c r="H24" s="478"/>
      <c r="I24" s="478"/>
      <c r="J24" s="478"/>
      <c r="K24" s="478"/>
      <c r="L24" s="478"/>
      <c r="M24" s="478"/>
    </row>
    <row r="25" spans="2:13" ht="15" customHeight="1">
      <c r="B25" s="478"/>
      <c r="C25" s="478"/>
      <c r="D25" s="478"/>
      <c r="E25" s="478"/>
      <c r="F25" s="478"/>
      <c r="G25" s="478"/>
      <c r="H25" s="478"/>
      <c r="I25" s="478"/>
      <c r="J25" s="478"/>
      <c r="K25" s="478"/>
      <c r="L25" s="478"/>
      <c r="M25" s="478"/>
    </row>
    <row r="26" spans="2:13" ht="15" customHeight="1">
      <c r="B26" s="478"/>
      <c r="C26" s="478"/>
      <c r="D26" s="478"/>
      <c r="E26" s="478"/>
      <c r="F26" s="478"/>
      <c r="G26" s="478"/>
      <c r="H26" s="478"/>
      <c r="I26" s="478"/>
      <c r="J26" s="478"/>
      <c r="K26" s="478"/>
      <c r="L26" s="478"/>
      <c r="M26" s="478"/>
    </row>
    <row r="27" spans="2:13" ht="15" customHeight="1">
      <c r="B27" s="478"/>
      <c r="C27" s="478"/>
      <c r="D27" s="478"/>
      <c r="E27" s="478"/>
      <c r="F27" s="478"/>
      <c r="G27" s="478"/>
      <c r="H27" s="478"/>
      <c r="I27" s="478"/>
      <c r="J27" s="478"/>
      <c r="K27" s="478"/>
      <c r="L27" s="478"/>
      <c r="M27" s="478"/>
    </row>
    <row r="28" spans="2:13" ht="9.9" customHeight="1">
      <c r="B28" s="327"/>
      <c r="C28" s="327"/>
      <c r="D28" s="327"/>
      <c r="E28" s="327"/>
      <c r="F28" s="327"/>
      <c r="G28" s="327"/>
      <c r="H28" s="327"/>
      <c r="J28" s="326"/>
      <c r="K28" s="326"/>
      <c r="L28" s="326"/>
      <c r="M28" s="326"/>
    </row>
    <row r="29" spans="2:13" ht="15" customHeight="1">
      <c r="B29" s="478" t="s">
        <v>523</v>
      </c>
      <c r="C29" s="478"/>
      <c r="D29" s="478"/>
      <c r="E29" s="478"/>
      <c r="F29" s="478"/>
      <c r="G29" s="478"/>
      <c r="H29" s="478"/>
      <c r="I29" s="478"/>
      <c r="J29" s="478"/>
      <c r="K29" s="478"/>
      <c r="L29" s="478"/>
      <c r="M29" s="478"/>
    </row>
    <row r="30" spans="2:13" ht="9.9" customHeight="1">
      <c r="B30" s="327"/>
      <c r="C30" s="327"/>
      <c r="D30" s="327"/>
      <c r="E30" s="327"/>
      <c r="F30" s="327"/>
      <c r="G30" s="327"/>
      <c r="H30" s="327"/>
      <c r="I30" s="327"/>
      <c r="J30" s="327"/>
      <c r="K30" s="327"/>
      <c r="L30" s="327"/>
      <c r="M30" s="327"/>
    </row>
    <row r="31" spans="2:13" ht="15" customHeight="1">
      <c r="B31" s="482" t="s">
        <v>497</v>
      </c>
      <c r="C31" s="482"/>
      <c r="D31" s="482"/>
      <c r="E31" s="482"/>
      <c r="F31" s="482"/>
      <c r="G31" s="482"/>
      <c r="H31" s="482"/>
      <c r="I31" s="482"/>
      <c r="J31" s="482"/>
      <c r="K31" s="482"/>
      <c r="L31" s="482"/>
      <c r="M31" s="482"/>
    </row>
    <row r="32" spans="2:13" ht="15" customHeight="1">
      <c r="B32" s="482"/>
      <c r="C32" s="482"/>
      <c r="D32" s="482"/>
      <c r="E32" s="482"/>
      <c r="F32" s="482"/>
      <c r="G32" s="482"/>
      <c r="H32" s="482"/>
      <c r="I32" s="482"/>
      <c r="J32" s="482"/>
      <c r="K32" s="482"/>
      <c r="L32" s="482"/>
      <c r="M32" s="482"/>
    </row>
    <row r="33" spans="2:13" ht="15" customHeight="1">
      <c r="B33" s="482"/>
      <c r="C33" s="482"/>
      <c r="D33" s="482"/>
      <c r="E33" s="482"/>
      <c r="F33" s="482"/>
      <c r="G33" s="482"/>
      <c r="H33" s="482"/>
      <c r="I33" s="482"/>
      <c r="J33" s="482"/>
      <c r="K33" s="482"/>
      <c r="L33" s="482"/>
      <c r="M33" s="482"/>
    </row>
    <row r="34" spans="2:13" ht="15" customHeight="1">
      <c r="B34" s="482"/>
      <c r="C34" s="482"/>
      <c r="D34" s="482"/>
      <c r="E34" s="482"/>
      <c r="F34" s="482"/>
      <c r="G34" s="482"/>
      <c r="H34" s="482"/>
      <c r="I34" s="482"/>
      <c r="J34" s="482"/>
      <c r="K34" s="482"/>
      <c r="L34" s="482"/>
      <c r="M34" s="482"/>
    </row>
    <row r="35" spans="2:13" ht="9.9" customHeight="1">
      <c r="B35" s="325"/>
      <c r="C35" s="325"/>
      <c r="D35" s="325"/>
      <c r="E35" s="325"/>
      <c r="F35" s="325"/>
      <c r="G35" s="325"/>
      <c r="H35" s="325"/>
      <c r="I35" s="325"/>
      <c r="J35" s="325"/>
      <c r="K35" s="325"/>
    </row>
    <row r="36" spans="2:13" ht="15" customHeight="1">
      <c r="B36" s="481" t="s">
        <v>473</v>
      </c>
      <c r="C36" s="481"/>
      <c r="D36" s="481"/>
      <c r="E36" s="481"/>
      <c r="F36" s="481"/>
      <c r="G36" s="481"/>
      <c r="H36" s="481"/>
      <c r="I36" s="481"/>
      <c r="J36" s="481"/>
      <c r="K36" s="481"/>
      <c r="L36" s="481"/>
      <c r="M36" s="481"/>
    </row>
    <row r="37" spans="2:13" ht="15" customHeight="1">
      <c r="B37" s="481"/>
      <c r="C37" s="481"/>
      <c r="D37" s="481"/>
      <c r="E37" s="481"/>
      <c r="F37" s="481"/>
      <c r="G37" s="481"/>
      <c r="H37" s="481"/>
      <c r="I37" s="481"/>
      <c r="J37" s="481"/>
      <c r="K37" s="481"/>
      <c r="L37" s="481"/>
      <c r="M37" s="481"/>
    </row>
    <row r="38" spans="2:13" ht="15" customHeight="1">
      <c r="B38" s="481"/>
      <c r="C38" s="481"/>
      <c r="D38" s="481"/>
      <c r="E38" s="481"/>
      <c r="F38" s="481"/>
      <c r="G38" s="481"/>
      <c r="H38" s="481"/>
      <c r="I38" s="481"/>
      <c r="J38" s="481"/>
      <c r="K38" s="481"/>
      <c r="L38" s="481"/>
      <c r="M38" s="481"/>
    </row>
    <row r="39" spans="2:13" ht="15" customHeight="1">
      <c r="B39" s="481"/>
      <c r="C39" s="481"/>
      <c r="D39" s="481"/>
      <c r="E39" s="481"/>
      <c r="F39" s="481"/>
      <c r="G39" s="481"/>
      <c r="H39" s="481"/>
      <c r="I39" s="481"/>
      <c r="J39" s="481"/>
      <c r="K39" s="481"/>
      <c r="L39" s="481"/>
      <c r="M39" s="481"/>
    </row>
    <row r="40" spans="2:13" ht="9.9" customHeight="1">
      <c r="B40" s="328"/>
      <c r="C40" s="328"/>
      <c r="D40" s="328"/>
      <c r="E40" s="328"/>
      <c r="F40" s="328"/>
      <c r="G40" s="328"/>
      <c r="H40" s="328"/>
      <c r="I40" s="328"/>
      <c r="J40" s="328"/>
      <c r="K40" s="328"/>
    </row>
    <row r="41" spans="2:13" ht="15.9" customHeight="1">
      <c r="B41" s="481" t="s">
        <v>433</v>
      </c>
      <c r="C41" s="481"/>
      <c r="D41" s="481"/>
      <c r="E41" s="481"/>
      <c r="F41" s="481"/>
      <c r="G41" s="481"/>
      <c r="H41" s="481"/>
      <c r="I41" s="481"/>
      <c r="J41" s="481"/>
      <c r="K41" s="481"/>
      <c r="L41" s="481"/>
      <c r="M41" s="481"/>
    </row>
    <row r="42" spans="2:13" ht="15" customHeight="1">
      <c r="B42" s="481"/>
      <c r="C42" s="481"/>
      <c r="D42" s="481"/>
      <c r="E42" s="481"/>
      <c r="F42" s="481"/>
      <c r="G42" s="481"/>
      <c r="H42" s="481"/>
      <c r="I42" s="481"/>
      <c r="J42" s="481"/>
      <c r="K42" s="481"/>
      <c r="L42" s="481"/>
      <c r="M42" s="481"/>
    </row>
    <row r="43" spans="2:13" s="2" customFormat="1" ht="15" customHeight="1">
      <c r="B43" s="328"/>
      <c r="C43" s="328"/>
      <c r="D43" s="328"/>
      <c r="E43" s="328"/>
      <c r="F43" s="328"/>
      <c r="G43" s="328"/>
      <c r="H43" s="328"/>
      <c r="I43" s="328"/>
      <c r="J43" s="328"/>
      <c r="K43" s="328"/>
    </row>
    <row r="44" spans="2:13" s="2" customFormat="1"/>
    <row r="45" spans="2:13" s="2" customFormat="1"/>
    <row r="46" spans="2:13" s="2" customFormat="1"/>
    <row r="47" spans="2:13" s="2" customFormat="1"/>
    <row r="48" spans="2:13"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pans="2:11" s="2" customFormat="1"/>
    <row r="82" spans="2:11" s="2" customFormat="1"/>
    <row r="83" spans="2:11" s="2" customFormat="1"/>
    <row r="84" spans="2:11" s="2" customFormat="1"/>
    <row r="85" spans="2:11" s="2" customFormat="1"/>
    <row r="86" spans="2:11" s="2" customFormat="1"/>
    <row r="87" spans="2:11" s="2" customFormat="1"/>
    <row r="88" spans="2:11" s="2" customFormat="1"/>
    <row r="89" spans="2:11" s="2" customFormat="1"/>
    <row r="90" spans="2:11">
      <c r="B90" s="325"/>
      <c r="C90" s="325"/>
      <c r="D90" s="325"/>
      <c r="E90" s="325"/>
      <c r="F90" s="325"/>
      <c r="G90" s="325"/>
      <c r="H90" s="325"/>
      <c r="I90" s="325"/>
      <c r="J90" s="325"/>
      <c r="K90" s="325"/>
    </row>
    <row r="91" spans="2:11">
      <c r="B91" s="325"/>
      <c r="C91" s="325"/>
      <c r="D91" s="325"/>
      <c r="E91" s="325"/>
      <c r="F91" s="325"/>
      <c r="G91" s="325"/>
      <c r="H91" s="325"/>
      <c r="I91" s="325"/>
      <c r="J91" s="325"/>
      <c r="K91" s="325"/>
    </row>
    <row r="92" spans="2:11">
      <c r="B92" s="325"/>
      <c r="C92" s="325"/>
      <c r="D92" s="325"/>
      <c r="E92" s="325"/>
      <c r="F92" s="325"/>
      <c r="G92" s="325"/>
      <c r="H92" s="325"/>
      <c r="I92" s="325"/>
      <c r="J92" s="325"/>
      <c r="K92" s="325"/>
    </row>
    <row r="93" spans="2:11">
      <c r="B93" s="325"/>
      <c r="C93" s="325"/>
      <c r="D93" s="325"/>
      <c r="E93" s="325"/>
      <c r="F93" s="325"/>
      <c r="G93" s="325"/>
      <c r="H93" s="325"/>
      <c r="I93" s="325"/>
      <c r="J93" s="325"/>
      <c r="K93" s="325"/>
    </row>
    <row r="94" spans="2:11">
      <c r="B94" s="325"/>
      <c r="C94" s="325"/>
      <c r="D94" s="325"/>
      <c r="E94" s="325"/>
      <c r="F94" s="325"/>
      <c r="G94" s="325"/>
      <c r="H94" s="325"/>
      <c r="I94" s="325"/>
      <c r="J94" s="325"/>
      <c r="K94" s="325"/>
    </row>
    <row r="95" spans="2:11">
      <c r="B95" s="325"/>
      <c r="C95" s="325"/>
      <c r="D95" s="325"/>
      <c r="E95" s="325"/>
      <c r="F95" s="325"/>
      <c r="G95" s="325"/>
      <c r="H95" s="325"/>
      <c r="I95" s="325"/>
      <c r="J95" s="325"/>
      <c r="K95" s="325"/>
    </row>
    <row r="96" spans="2:11">
      <c r="B96" s="325"/>
      <c r="C96" s="325"/>
      <c r="D96" s="325"/>
      <c r="E96" s="325"/>
      <c r="F96" s="325"/>
      <c r="G96" s="325"/>
      <c r="H96" s="325"/>
      <c r="I96" s="325"/>
      <c r="J96" s="325"/>
      <c r="K96" s="325"/>
    </row>
    <row r="97" spans="2:11">
      <c r="B97" s="325"/>
      <c r="C97" s="325"/>
      <c r="D97" s="325"/>
      <c r="E97" s="325"/>
      <c r="F97" s="325"/>
      <c r="G97" s="325"/>
      <c r="H97" s="325"/>
      <c r="I97" s="325"/>
      <c r="J97" s="325"/>
      <c r="K97" s="325"/>
    </row>
    <row r="98" spans="2:11">
      <c r="B98" s="325"/>
      <c r="C98" s="325"/>
      <c r="D98" s="325"/>
      <c r="E98" s="325"/>
      <c r="F98" s="325"/>
      <c r="G98" s="325"/>
      <c r="H98" s="325"/>
      <c r="I98" s="325"/>
      <c r="J98" s="325"/>
      <c r="K98" s="325"/>
    </row>
    <row r="99" spans="2:11">
      <c r="B99" s="325"/>
      <c r="C99" s="325"/>
      <c r="D99" s="325"/>
      <c r="E99" s="325"/>
      <c r="F99" s="325"/>
      <c r="G99" s="325"/>
      <c r="H99" s="325"/>
      <c r="I99" s="325"/>
      <c r="J99" s="325"/>
      <c r="K99" s="325"/>
    </row>
    <row r="100" spans="2:11">
      <c r="B100" s="325"/>
      <c r="C100" s="325"/>
      <c r="D100" s="325"/>
      <c r="E100" s="325"/>
      <c r="F100" s="325"/>
      <c r="G100" s="325"/>
      <c r="H100" s="325"/>
      <c r="I100" s="325"/>
      <c r="J100" s="325"/>
      <c r="K100" s="325"/>
    </row>
    <row r="101" spans="2:11">
      <c r="B101" s="325"/>
      <c r="C101" s="325"/>
      <c r="D101" s="325"/>
      <c r="E101" s="325"/>
      <c r="F101" s="325"/>
      <c r="G101" s="325"/>
      <c r="H101" s="325"/>
      <c r="I101" s="325"/>
      <c r="J101" s="325"/>
      <c r="K101" s="325"/>
    </row>
    <row r="102" spans="2:11">
      <c r="B102" s="325"/>
      <c r="C102" s="325"/>
      <c r="D102" s="325"/>
      <c r="E102" s="325"/>
      <c r="F102" s="325"/>
      <c r="G102" s="325"/>
      <c r="H102" s="325"/>
      <c r="I102" s="325"/>
      <c r="J102" s="325"/>
      <c r="K102" s="325"/>
    </row>
    <row r="103" spans="2:11">
      <c r="B103" s="325"/>
      <c r="C103" s="325"/>
      <c r="D103" s="325"/>
      <c r="E103" s="325"/>
      <c r="F103" s="325"/>
      <c r="G103" s="325"/>
      <c r="H103" s="325"/>
      <c r="I103" s="325"/>
      <c r="J103" s="325"/>
      <c r="K103" s="325"/>
    </row>
    <row r="104" spans="2:11">
      <c r="B104" s="325"/>
      <c r="C104" s="325"/>
      <c r="D104" s="325"/>
      <c r="E104" s="325"/>
      <c r="F104" s="325"/>
      <c r="G104" s="325"/>
      <c r="H104" s="325"/>
      <c r="I104" s="325"/>
      <c r="J104" s="325"/>
      <c r="K104" s="325"/>
    </row>
    <row r="105" spans="2:11">
      <c r="B105" s="325"/>
      <c r="C105" s="325"/>
      <c r="D105" s="325"/>
      <c r="E105" s="325"/>
      <c r="F105" s="325"/>
      <c r="G105" s="325"/>
      <c r="H105" s="325"/>
      <c r="I105" s="325"/>
      <c r="J105" s="325"/>
      <c r="K105" s="325"/>
    </row>
    <row r="106" spans="2:11">
      <c r="B106" s="325"/>
      <c r="C106" s="325"/>
      <c r="D106" s="325"/>
      <c r="E106" s="325"/>
      <c r="F106" s="325"/>
      <c r="G106" s="325"/>
      <c r="H106" s="325"/>
      <c r="I106" s="325"/>
      <c r="J106" s="325"/>
      <c r="K106" s="325"/>
    </row>
    <row r="107" spans="2:11">
      <c r="B107" s="325"/>
      <c r="C107" s="325"/>
      <c r="D107" s="325"/>
      <c r="E107" s="325"/>
      <c r="F107" s="325"/>
      <c r="G107" s="325"/>
      <c r="H107" s="325"/>
      <c r="I107" s="325"/>
      <c r="J107" s="325"/>
      <c r="K107" s="325"/>
    </row>
    <row r="108" spans="2:11">
      <c r="B108" s="325"/>
      <c r="C108" s="325"/>
      <c r="D108" s="325"/>
      <c r="E108" s="325"/>
      <c r="F108" s="325"/>
      <c r="G108" s="325"/>
      <c r="H108" s="325"/>
      <c r="I108" s="325"/>
      <c r="J108" s="325"/>
      <c r="K108" s="325"/>
    </row>
    <row r="109" spans="2:11">
      <c r="B109" s="325"/>
      <c r="C109" s="325"/>
      <c r="D109" s="325"/>
      <c r="E109" s="325"/>
      <c r="F109" s="325"/>
      <c r="G109" s="325"/>
      <c r="H109" s="325"/>
      <c r="I109" s="325"/>
      <c r="J109" s="325"/>
      <c r="K109" s="325"/>
    </row>
    <row r="110" spans="2:11">
      <c r="B110" s="325"/>
      <c r="C110" s="325"/>
      <c r="D110" s="325"/>
      <c r="E110" s="325"/>
      <c r="F110" s="325"/>
      <c r="G110" s="325"/>
      <c r="H110" s="325"/>
      <c r="I110" s="325"/>
      <c r="J110" s="325"/>
      <c r="K110" s="325"/>
    </row>
    <row r="111" spans="2:11">
      <c r="B111" s="325"/>
      <c r="C111" s="325"/>
      <c r="D111" s="325"/>
      <c r="E111" s="325"/>
      <c r="F111" s="325"/>
      <c r="G111" s="325"/>
      <c r="H111" s="325"/>
      <c r="I111" s="325"/>
      <c r="J111" s="325"/>
      <c r="K111" s="325"/>
    </row>
    <row r="112" spans="2:11">
      <c r="B112" s="325"/>
      <c r="C112" s="325"/>
      <c r="D112" s="325"/>
      <c r="E112" s="325"/>
      <c r="F112" s="325"/>
      <c r="G112" s="325"/>
      <c r="H112" s="325"/>
      <c r="I112" s="325"/>
      <c r="J112" s="325"/>
      <c r="K112" s="325"/>
    </row>
    <row r="113" spans="2:11">
      <c r="B113" s="325"/>
      <c r="C113" s="325"/>
      <c r="D113" s="325"/>
      <c r="E113" s="325"/>
      <c r="F113" s="325"/>
      <c r="G113" s="325"/>
      <c r="H113" s="325"/>
      <c r="I113" s="325"/>
      <c r="J113" s="325"/>
      <c r="K113" s="325"/>
    </row>
    <row r="114" spans="2:11">
      <c r="B114" s="325"/>
      <c r="C114" s="325"/>
      <c r="D114" s="325"/>
      <c r="E114" s="325"/>
      <c r="F114" s="325"/>
      <c r="G114" s="325"/>
      <c r="H114" s="325"/>
      <c r="I114" s="325"/>
      <c r="J114" s="325"/>
      <c r="K114" s="325"/>
    </row>
    <row r="115" spans="2:11">
      <c r="B115" s="325"/>
      <c r="C115" s="325"/>
      <c r="D115" s="325"/>
      <c r="E115" s="325"/>
      <c r="F115" s="325"/>
      <c r="G115" s="325"/>
      <c r="H115" s="325"/>
      <c r="I115" s="325"/>
      <c r="J115" s="325"/>
      <c r="K115" s="325"/>
    </row>
    <row r="116" spans="2:11">
      <c r="B116" s="325"/>
      <c r="C116" s="325"/>
      <c r="D116" s="325"/>
      <c r="E116" s="325"/>
      <c r="F116" s="325"/>
      <c r="G116" s="325"/>
      <c r="H116" s="325"/>
      <c r="I116" s="325"/>
      <c r="J116" s="325"/>
      <c r="K116" s="325"/>
    </row>
    <row r="117" spans="2:11">
      <c r="B117" s="325"/>
      <c r="C117" s="325"/>
      <c r="D117" s="325"/>
      <c r="E117" s="325"/>
      <c r="F117" s="325"/>
      <c r="G117" s="325"/>
      <c r="H117" s="325"/>
      <c r="I117" s="325"/>
      <c r="J117" s="325"/>
      <c r="K117" s="325"/>
    </row>
    <row r="118" spans="2:11">
      <c r="B118" s="325"/>
      <c r="C118" s="325"/>
      <c r="D118" s="325"/>
      <c r="E118" s="325"/>
      <c r="F118" s="325"/>
      <c r="G118" s="325"/>
      <c r="H118" s="325"/>
      <c r="I118" s="325"/>
      <c r="J118" s="325"/>
      <c r="K118" s="325"/>
    </row>
    <row r="119" spans="2:11">
      <c r="B119" s="325"/>
      <c r="C119" s="325"/>
      <c r="D119" s="325"/>
      <c r="E119" s="325"/>
      <c r="F119" s="325"/>
      <c r="G119" s="325"/>
      <c r="H119" s="325"/>
      <c r="I119" s="325"/>
      <c r="J119" s="325"/>
      <c r="K119" s="325"/>
    </row>
    <row r="120" spans="2:11">
      <c r="B120" s="325"/>
      <c r="C120" s="325"/>
      <c r="D120" s="325"/>
      <c r="E120" s="325"/>
      <c r="F120" s="325"/>
      <c r="G120" s="325"/>
      <c r="H120" s="325"/>
      <c r="I120" s="325"/>
      <c r="J120" s="325"/>
      <c r="K120" s="325"/>
    </row>
    <row r="121" spans="2:11">
      <c r="B121" s="325"/>
      <c r="C121" s="325"/>
      <c r="D121" s="325"/>
      <c r="E121" s="325"/>
      <c r="F121" s="325"/>
      <c r="G121" s="325"/>
      <c r="H121" s="325"/>
      <c r="I121" s="325"/>
      <c r="J121" s="325"/>
      <c r="K121" s="325"/>
    </row>
    <row r="122" spans="2:11">
      <c r="B122" s="325"/>
      <c r="C122" s="325"/>
      <c r="D122" s="325"/>
      <c r="E122" s="325"/>
      <c r="F122" s="325"/>
      <c r="G122" s="325"/>
      <c r="H122" s="325"/>
      <c r="I122" s="325"/>
      <c r="J122" s="325"/>
      <c r="K122" s="325"/>
    </row>
    <row r="123" spans="2:11">
      <c r="B123" s="325"/>
      <c r="C123" s="325"/>
      <c r="D123" s="325"/>
      <c r="E123" s="325"/>
      <c r="F123" s="325"/>
      <c r="G123" s="325"/>
      <c r="H123" s="325"/>
      <c r="I123" s="325"/>
      <c r="J123" s="325"/>
      <c r="K123" s="325"/>
    </row>
    <row r="124" spans="2:11">
      <c r="B124" s="325"/>
      <c r="C124" s="325"/>
      <c r="D124" s="325"/>
      <c r="E124" s="325"/>
      <c r="F124" s="325"/>
      <c r="G124" s="325"/>
      <c r="H124" s="325"/>
      <c r="I124" s="325"/>
      <c r="J124" s="325"/>
      <c r="K124" s="325"/>
    </row>
    <row r="125" spans="2:11">
      <c r="B125" s="325"/>
      <c r="C125" s="325"/>
      <c r="D125" s="325"/>
      <c r="E125" s="325"/>
      <c r="F125" s="325"/>
      <c r="G125" s="325"/>
      <c r="H125" s="325"/>
      <c r="I125" s="325"/>
      <c r="J125" s="325"/>
      <c r="K125" s="325"/>
    </row>
    <row r="126" spans="2:11">
      <c r="B126" s="325"/>
      <c r="C126" s="325"/>
      <c r="D126" s="325"/>
      <c r="E126" s="325"/>
      <c r="F126" s="325"/>
      <c r="G126" s="325"/>
      <c r="H126" s="325"/>
      <c r="I126" s="325"/>
      <c r="J126" s="325"/>
      <c r="K126" s="325"/>
    </row>
    <row r="127" spans="2:11">
      <c r="B127" s="325"/>
      <c r="C127" s="325"/>
      <c r="D127" s="325"/>
      <c r="E127" s="325"/>
      <c r="F127" s="325"/>
      <c r="G127" s="325"/>
      <c r="H127" s="325"/>
      <c r="I127" s="325"/>
      <c r="J127" s="325"/>
      <c r="K127" s="325"/>
    </row>
    <row r="128" spans="2:11">
      <c r="B128" s="325"/>
      <c r="C128" s="325"/>
      <c r="D128" s="325"/>
      <c r="E128" s="325"/>
      <c r="F128" s="325"/>
      <c r="G128" s="325"/>
      <c r="H128" s="325"/>
      <c r="I128" s="325"/>
      <c r="J128" s="325"/>
      <c r="K128" s="325"/>
    </row>
    <row r="129" spans="2:11">
      <c r="B129" s="325"/>
      <c r="C129" s="325"/>
      <c r="D129" s="325"/>
      <c r="E129" s="325"/>
      <c r="F129" s="325"/>
      <c r="G129" s="325"/>
      <c r="H129" s="325"/>
      <c r="I129" s="325"/>
      <c r="J129" s="325"/>
      <c r="K129" s="325"/>
    </row>
    <row r="130" spans="2:11">
      <c r="B130" s="325"/>
      <c r="C130" s="325"/>
      <c r="D130" s="325"/>
      <c r="E130" s="325"/>
      <c r="F130" s="325"/>
      <c r="G130" s="325"/>
      <c r="H130" s="325"/>
      <c r="I130" s="325"/>
      <c r="J130" s="325"/>
      <c r="K130" s="325"/>
    </row>
    <row r="131" spans="2:11">
      <c r="B131" s="325"/>
      <c r="C131" s="325"/>
      <c r="D131" s="325"/>
      <c r="E131" s="325"/>
      <c r="F131" s="325"/>
      <c r="G131" s="325"/>
      <c r="H131" s="325"/>
      <c r="I131" s="325"/>
      <c r="J131" s="325"/>
      <c r="K131" s="325"/>
    </row>
    <row r="132" spans="2:11">
      <c r="B132" s="325"/>
      <c r="C132" s="325"/>
      <c r="D132" s="325"/>
      <c r="E132" s="325"/>
      <c r="F132" s="325"/>
      <c r="G132" s="325"/>
      <c r="H132" s="325"/>
      <c r="I132" s="325"/>
      <c r="J132" s="325"/>
      <c r="K132" s="325"/>
    </row>
    <row r="133" spans="2:11">
      <c r="B133" s="325"/>
      <c r="C133" s="325"/>
      <c r="D133" s="325"/>
      <c r="E133" s="325"/>
      <c r="F133" s="325"/>
      <c r="G133" s="325"/>
      <c r="H133" s="325"/>
      <c r="I133" s="325"/>
      <c r="J133" s="325"/>
      <c r="K133" s="325"/>
    </row>
    <row r="134" spans="2:11">
      <c r="B134" s="325"/>
      <c r="C134" s="325"/>
      <c r="D134" s="325"/>
      <c r="E134" s="325"/>
      <c r="F134" s="325"/>
      <c r="G134" s="325"/>
      <c r="H134" s="325"/>
      <c r="I134" s="325"/>
      <c r="J134" s="325"/>
      <c r="K134" s="325"/>
    </row>
    <row r="135" spans="2:11">
      <c r="B135" s="325"/>
      <c r="C135" s="325"/>
      <c r="D135" s="325"/>
      <c r="E135" s="325"/>
      <c r="F135" s="325"/>
      <c r="G135" s="325"/>
      <c r="H135" s="325"/>
      <c r="I135" s="325"/>
      <c r="J135" s="325"/>
      <c r="K135" s="325"/>
    </row>
    <row r="136" spans="2:11">
      <c r="B136" s="325"/>
      <c r="C136" s="325"/>
      <c r="D136" s="325"/>
      <c r="E136" s="325"/>
      <c r="F136" s="325"/>
      <c r="G136" s="325"/>
      <c r="H136" s="325"/>
      <c r="I136" s="325"/>
      <c r="J136" s="325"/>
      <c r="K136" s="325"/>
    </row>
    <row r="137" spans="2:11">
      <c r="B137" s="325"/>
      <c r="C137" s="325"/>
      <c r="D137" s="325"/>
      <c r="E137" s="325"/>
      <c r="F137" s="325"/>
      <c r="G137" s="325"/>
      <c r="H137" s="325"/>
      <c r="I137" s="325"/>
      <c r="J137" s="325"/>
      <c r="K137" s="325"/>
    </row>
    <row r="138" spans="2:11">
      <c r="B138" s="325"/>
      <c r="C138" s="325"/>
      <c r="D138" s="325"/>
      <c r="E138" s="325"/>
      <c r="F138" s="325"/>
      <c r="G138" s="325"/>
      <c r="H138" s="325"/>
      <c r="I138" s="325"/>
      <c r="J138" s="325"/>
      <c r="K138" s="325"/>
    </row>
    <row r="139" spans="2:11">
      <c r="B139" s="325"/>
      <c r="C139" s="325"/>
      <c r="D139" s="325"/>
      <c r="E139" s="325"/>
      <c r="F139" s="325"/>
      <c r="G139" s="325"/>
      <c r="H139" s="325"/>
      <c r="I139" s="325"/>
      <c r="J139" s="325"/>
      <c r="K139" s="325"/>
    </row>
    <row r="140" spans="2:11">
      <c r="B140" s="325"/>
      <c r="C140" s="325"/>
      <c r="D140" s="325"/>
      <c r="E140" s="325"/>
      <c r="F140" s="325"/>
      <c r="G140" s="325"/>
      <c r="H140" s="325"/>
      <c r="I140" s="325"/>
      <c r="J140" s="325"/>
      <c r="K140" s="325"/>
    </row>
    <row r="141" spans="2:11">
      <c r="B141" s="325"/>
      <c r="C141" s="325"/>
      <c r="D141" s="325"/>
      <c r="E141" s="325"/>
      <c r="F141" s="325"/>
      <c r="G141" s="325"/>
      <c r="H141" s="325"/>
      <c r="I141" s="325"/>
      <c r="J141" s="325"/>
      <c r="K141" s="325"/>
    </row>
    <row r="142" spans="2:11">
      <c r="B142" s="325"/>
      <c r="C142" s="325"/>
      <c r="D142" s="325"/>
      <c r="E142" s="325"/>
      <c r="F142" s="325"/>
      <c r="G142" s="325"/>
      <c r="H142" s="325"/>
      <c r="I142" s="325"/>
      <c r="J142" s="325"/>
      <c r="K142" s="325"/>
    </row>
    <row r="143" spans="2:11">
      <c r="B143" s="325"/>
      <c r="C143" s="325"/>
      <c r="D143" s="325"/>
      <c r="E143" s="325"/>
      <c r="F143" s="325"/>
      <c r="G143" s="325"/>
      <c r="H143" s="325"/>
      <c r="I143" s="325"/>
      <c r="J143" s="325"/>
      <c r="K143" s="325"/>
    </row>
    <row r="144" spans="2:11">
      <c r="B144" s="325"/>
      <c r="C144" s="325"/>
      <c r="D144" s="325"/>
      <c r="E144" s="325"/>
      <c r="F144" s="325"/>
      <c r="G144" s="325"/>
      <c r="H144" s="325"/>
      <c r="I144" s="325"/>
      <c r="J144" s="325"/>
      <c r="K144" s="325"/>
    </row>
    <row r="145" spans="2:11">
      <c r="B145" s="325"/>
      <c r="C145" s="325"/>
      <c r="D145" s="325"/>
      <c r="E145" s="325"/>
      <c r="F145" s="325"/>
      <c r="G145" s="325"/>
      <c r="H145" s="325"/>
      <c r="I145" s="325"/>
      <c r="J145" s="325"/>
      <c r="K145" s="325"/>
    </row>
    <row r="146" spans="2:11">
      <c r="B146" s="325"/>
      <c r="C146" s="325"/>
      <c r="D146" s="325"/>
      <c r="E146" s="325"/>
      <c r="F146" s="325"/>
      <c r="G146" s="325"/>
      <c r="H146" s="325"/>
      <c r="I146" s="325"/>
      <c r="J146" s="325"/>
      <c r="K146" s="325"/>
    </row>
    <row r="147" spans="2:11">
      <c r="B147" s="325"/>
      <c r="C147" s="325"/>
      <c r="D147" s="325"/>
      <c r="E147" s="325"/>
      <c r="F147" s="325"/>
      <c r="G147" s="325"/>
      <c r="H147" s="325"/>
      <c r="I147" s="325"/>
      <c r="J147" s="325"/>
      <c r="K147" s="325"/>
    </row>
    <row r="148" spans="2:11">
      <c r="B148" s="325"/>
      <c r="C148" s="325"/>
      <c r="D148" s="325"/>
      <c r="E148" s="325"/>
      <c r="F148" s="325"/>
      <c r="G148" s="325"/>
      <c r="H148" s="325"/>
      <c r="I148" s="325"/>
      <c r="J148" s="325"/>
      <c r="K148" s="325"/>
    </row>
    <row r="149" spans="2:11">
      <c r="B149" s="325"/>
      <c r="C149" s="325"/>
      <c r="D149" s="325"/>
      <c r="E149" s="325"/>
      <c r="F149" s="325"/>
      <c r="G149" s="325"/>
      <c r="H149" s="325"/>
      <c r="I149" s="325"/>
      <c r="J149" s="325"/>
      <c r="K149" s="325"/>
    </row>
    <row r="150" spans="2:11">
      <c r="B150" s="325"/>
      <c r="C150" s="325"/>
      <c r="D150" s="325"/>
      <c r="E150" s="325"/>
      <c r="F150" s="325"/>
      <c r="G150" s="325"/>
      <c r="H150" s="325"/>
      <c r="I150" s="325"/>
      <c r="J150" s="325"/>
      <c r="K150" s="325"/>
    </row>
    <row r="151" spans="2:11">
      <c r="B151" s="325"/>
      <c r="C151" s="325"/>
      <c r="D151" s="325"/>
      <c r="E151" s="325"/>
      <c r="F151" s="325"/>
      <c r="G151" s="325"/>
      <c r="H151" s="325"/>
      <c r="I151" s="325"/>
      <c r="J151" s="325"/>
      <c r="K151" s="325"/>
    </row>
    <row r="152" spans="2:11">
      <c r="B152" s="325"/>
      <c r="C152" s="325"/>
      <c r="D152" s="325"/>
      <c r="E152" s="325"/>
      <c r="F152" s="325"/>
      <c r="G152" s="325"/>
      <c r="H152" s="325"/>
      <c r="I152" s="325"/>
      <c r="J152" s="325"/>
      <c r="K152" s="325"/>
    </row>
    <row r="153" spans="2:11">
      <c r="B153" s="325"/>
      <c r="C153" s="325"/>
      <c r="D153" s="325"/>
      <c r="E153" s="325"/>
      <c r="F153" s="325"/>
      <c r="G153" s="325"/>
      <c r="H153" s="325"/>
      <c r="I153" s="325"/>
      <c r="J153" s="325"/>
      <c r="K153" s="325"/>
    </row>
    <row r="154" spans="2:11">
      <c r="B154" s="325"/>
      <c r="C154" s="325"/>
      <c r="D154" s="325"/>
      <c r="E154" s="325"/>
      <c r="F154" s="325"/>
      <c r="G154" s="325"/>
      <c r="H154" s="325"/>
      <c r="I154" s="325"/>
      <c r="J154" s="325"/>
      <c r="K154" s="325"/>
    </row>
    <row r="155" spans="2:11">
      <c r="B155" s="325"/>
      <c r="C155" s="325"/>
      <c r="D155" s="325"/>
      <c r="E155" s="325"/>
      <c r="F155" s="325"/>
      <c r="G155" s="325"/>
      <c r="H155" s="325"/>
      <c r="I155" s="325"/>
      <c r="J155" s="325"/>
      <c r="K155" s="325"/>
    </row>
    <row r="156" spans="2:11">
      <c r="B156" s="325"/>
      <c r="C156" s="325"/>
      <c r="D156" s="325"/>
      <c r="E156" s="325"/>
      <c r="F156" s="325"/>
      <c r="G156" s="325"/>
      <c r="H156" s="325"/>
      <c r="I156" s="325"/>
      <c r="J156" s="325"/>
      <c r="K156" s="325"/>
    </row>
    <row r="157" spans="2:11">
      <c r="B157" s="325"/>
      <c r="C157" s="325"/>
      <c r="D157" s="325"/>
      <c r="E157" s="325"/>
      <c r="F157" s="325"/>
      <c r="G157" s="325"/>
      <c r="H157" s="325"/>
      <c r="I157" s="325"/>
      <c r="J157" s="325"/>
      <c r="K157" s="325"/>
    </row>
    <row r="158" spans="2:11">
      <c r="B158" s="325"/>
      <c r="C158" s="325"/>
      <c r="D158" s="325"/>
      <c r="E158" s="325"/>
      <c r="F158" s="325"/>
      <c r="G158" s="325"/>
      <c r="H158" s="325"/>
      <c r="I158" s="325"/>
      <c r="J158" s="325"/>
      <c r="K158" s="325"/>
    </row>
    <row r="159" spans="2:11">
      <c r="B159" s="325"/>
      <c r="C159" s="325"/>
      <c r="D159" s="325"/>
      <c r="E159" s="325"/>
      <c r="F159" s="325"/>
      <c r="G159" s="325"/>
      <c r="H159" s="325"/>
      <c r="I159" s="325"/>
      <c r="J159" s="325"/>
      <c r="K159" s="325"/>
    </row>
    <row r="160" spans="2:11">
      <c r="B160" s="325"/>
      <c r="C160" s="325"/>
      <c r="D160" s="325"/>
      <c r="E160" s="325"/>
      <c r="F160" s="325"/>
      <c r="G160" s="325"/>
      <c r="H160" s="325"/>
      <c r="I160" s="325"/>
      <c r="J160" s="325"/>
      <c r="K160" s="325"/>
    </row>
    <row r="161" spans="2:11">
      <c r="B161" s="325"/>
      <c r="C161" s="325"/>
      <c r="D161" s="325"/>
      <c r="E161" s="325"/>
      <c r="F161" s="325"/>
      <c r="G161" s="325"/>
      <c r="H161" s="325"/>
      <c r="I161" s="325"/>
      <c r="J161" s="325"/>
      <c r="K161" s="325"/>
    </row>
    <row r="162" spans="2:11">
      <c r="B162" s="325"/>
      <c r="C162" s="325"/>
      <c r="D162" s="325"/>
      <c r="E162" s="325"/>
      <c r="F162" s="325"/>
      <c r="G162" s="325"/>
      <c r="H162" s="325"/>
      <c r="I162" s="325"/>
      <c r="J162" s="325"/>
      <c r="K162" s="325"/>
    </row>
    <row r="163" spans="2:11">
      <c r="B163" s="325"/>
      <c r="C163" s="325"/>
      <c r="D163" s="325"/>
      <c r="E163" s="325"/>
      <c r="F163" s="325"/>
      <c r="G163" s="325"/>
      <c r="H163" s="325"/>
      <c r="I163" s="325"/>
      <c r="J163" s="325"/>
      <c r="K163" s="325"/>
    </row>
    <row r="164" spans="2:11">
      <c r="B164" s="325"/>
      <c r="C164" s="325"/>
      <c r="D164" s="325"/>
      <c r="E164" s="325"/>
      <c r="F164" s="325"/>
      <c r="G164" s="325"/>
      <c r="H164" s="325"/>
      <c r="I164" s="325"/>
      <c r="J164" s="325"/>
      <c r="K164" s="325"/>
    </row>
    <row r="165" spans="2:11">
      <c r="B165" s="325"/>
      <c r="C165" s="325"/>
      <c r="D165" s="325"/>
      <c r="E165" s="325"/>
      <c r="F165" s="325"/>
      <c r="G165" s="325"/>
      <c r="H165" s="325"/>
      <c r="I165" s="325"/>
      <c r="J165" s="325"/>
    </row>
    <row r="166" spans="2:11">
      <c r="B166" s="325"/>
      <c r="C166" s="325"/>
      <c r="D166" s="325"/>
      <c r="E166" s="325"/>
      <c r="F166" s="325"/>
      <c r="G166" s="325"/>
      <c r="H166" s="325"/>
      <c r="I166" s="325"/>
      <c r="J166" s="325"/>
    </row>
    <row r="167" spans="2:11">
      <c r="B167" s="325"/>
      <c r="C167" s="325"/>
      <c r="D167" s="325"/>
      <c r="E167" s="325"/>
      <c r="F167" s="325"/>
      <c r="G167" s="325"/>
      <c r="H167" s="325"/>
      <c r="I167" s="325"/>
      <c r="J167" s="325"/>
    </row>
    <row r="168" spans="2:11">
      <c r="B168" s="325"/>
      <c r="C168" s="325"/>
      <c r="D168" s="325"/>
      <c r="E168" s="325"/>
      <c r="F168" s="325"/>
      <c r="G168" s="325"/>
      <c r="H168" s="325"/>
      <c r="I168" s="325"/>
      <c r="J168" s="325"/>
    </row>
    <row r="169" spans="2:11">
      <c r="B169" s="325"/>
      <c r="C169" s="325"/>
      <c r="D169" s="325"/>
      <c r="E169" s="325"/>
      <c r="F169" s="325"/>
      <c r="G169" s="325"/>
      <c r="H169" s="325"/>
      <c r="I169" s="325"/>
      <c r="J169" s="325"/>
    </row>
  </sheetData>
  <sheetProtection algorithmName="SHA-512" hashValue="MJwl+uCX5/mNTBUxoYbcjmDhw2HWWZ/3QaQFWaQAbMyrI0r1EBt3WfUlqK80Tm8yTjHwcZQ4dyc09bbmIzh4Ug==" saltValue="4ycx0Qqb/usl68JzynenlQ==" spinCount="100000" sheet="1" objects="1" scenarios="1"/>
  <mergeCells count="18">
    <mergeCell ref="B1:M2"/>
    <mergeCell ref="B4:M4"/>
    <mergeCell ref="B8:M8"/>
    <mergeCell ref="D5:G5"/>
    <mergeCell ref="D6:G6"/>
    <mergeCell ref="H6:L6"/>
    <mergeCell ref="H5:L5"/>
    <mergeCell ref="B29:M29"/>
    <mergeCell ref="D10:G10"/>
    <mergeCell ref="H10:L10"/>
    <mergeCell ref="H9:L9"/>
    <mergeCell ref="B41:M42"/>
    <mergeCell ref="B13:M16"/>
    <mergeCell ref="B18:M21"/>
    <mergeCell ref="B23:M27"/>
    <mergeCell ref="B36:M39"/>
    <mergeCell ref="D9:G9"/>
    <mergeCell ref="B31:M34"/>
  </mergeCells>
  <pageMargins left="0.5" right="0.5" top="0.75" bottom="0.75" header="0.3" footer="0.3"/>
  <pageSetup orientation="portrait" horizontalDpi="0" verticalDpi="0"/>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AFAF6-4E36-DF42-8DC2-143E569A6A67}">
  <sheetPr codeName="Sheet8">
    <pageSetUpPr fitToPage="1"/>
  </sheetPr>
  <dimension ref="A1:AD88"/>
  <sheetViews>
    <sheetView zoomScaleNormal="100" workbookViewId="0">
      <pane xSplit="3" ySplit="3" topLeftCell="L32" activePane="bottomRight" state="frozen"/>
      <selection pane="topRight" activeCell="D1" sqref="D1"/>
      <selection pane="bottomLeft" activeCell="A4" sqref="A4"/>
      <selection pane="bottomRight" activeCell="B43" sqref="B43:V43"/>
    </sheetView>
  </sheetViews>
  <sheetFormatPr defaultColWidth="11.44140625" defaultRowHeight="14.4"/>
  <cols>
    <col min="1" max="1" width="3.6640625" customWidth="1"/>
    <col min="2" max="2" width="43" customWidth="1"/>
    <col min="3" max="3" width="13.88671875" customWidth="1"/>
    <col min="4" max="22" width="12.88671875" customWidth="1"/>
    <col min="23" max="30" width="11.44140625" style="2"/>
  </cols>
  <sheetData>
    <row r="1" spans="1:22">
      <c r="A1" s="2"/>
      <c r="B1" s="2"/>
      <c r="C1" s="2"/>
      <c r="Q1" s="2"/>
      <c r="R1" s="2"/>
      <c r="S1" s="2"/>
      <c r="T1" s="2"/>
      <c r="U1" s="2"/>
      <c r="V1" s="2"/>
    </row>
    <row r="2" spans="1:22" ht="21" customHeight="1">
      <c r="A2" s="2"/>
      <c r="B2" s="535" t="s">
        <v>526</v>
      </c>
      <c r="C2" s="537"/>
      <c r="D2" s="531" t="str">
        <f>TillageOperations!C2</f>
        <v>Guayule Estab.</v>
      </c>
      <c r="E2" s="531" t="str">
        <f>TillageOperations!D2</f>
        <v>Guayule Grow</v>
      </c>
      <c r="F2" s="531" t="str">
        <f>TillageOperations!E2</f>
        <v>Guayule Harvest</v>
      </c>
      <c r="G2" s="531" t="str">
        <f>TillageOperations!F2</f>
        <v>Guar</v>
      </c>
      <c r="H2" s="531" t="str">
        <f>TillageOperations!G2</f>
        <v>Hemp for CBD Oil</v>
      </c>
      <c r="I2" s="531" t="str">
        <f>TillageOperations!H2</f>
        <v>Hemp for Grain</v>
      </c>
      <c r="J2" s="531" t="str">
        <f>TillageOperations!I2</f>
        <v>Hemp for Fiber</v>
      </c>
      <c r="K2" s="531" t="str">
        <f>TillageOperations!J2</f>
        <v>Irr. Water Reduction: Set-aside</v>
      </c>
      <c r="L2" s="531" t="str">
        <f>TillageOperations!K2</f>
        <v>Cotton</v>
      </c>
      <c r="M2" s="531" t="str">
        <f>TillageOperations!L2</f>
        <v>Corn Silage</v>
      </c>
      <c r="N2" s="531" t="str">
        <f>TillageOperations!M2</f>
        <v>Sorghum</v>
      </c>
      <c r="O2" s="531" t="str">
        <f>TillageOperations!N2</f>
        <v>Spring Barley</v>
      </c>
      <c r="P2" s="531" t="str">
        <f>TillageOperations!O2</f>
        <v>Durum Wheat</v>
      </c>
      <c r="Q2" s="533" t="str">
        <f>TillageOperations!P2</f>
        <v>Alt Crop #1</v>
      </c>
      <c r="R2" s="533" t="str">
        <f>TillageOperations!Q2</f>
        <v>Alt Crop #2</v>
      </c>
      <c r="S2" s="533" t="str">
        <f>TillageOperations!R2</f>
        <v>Alt Crop #3</v>
      </c>
      <c r="T2" s="533" t="str">
        <f>TillageOperations!S2</f>
        <v>Alt Crop #4</v>
      </c>
      <c r="U2" s="533" t="str">
        <f>TillageOperations!T2</f>
        <v>Alfalfa Hay Estab.</v>
      </c>
      <c r="V2" s="533" t="str">
        <f>TillageOperations!U2</f>
        <v>Alfalfa Hay Prod.</v>
      </c>
    </row>
    <row r="3" spans="1:22" ht="21" customHeight="1">
      <c r="A3" s="2"/>
      <c r="B3" s="536"/>
      <c r="C3" s="538"/>
      <c r="D3" s="532"/>
      <c r="E3" s="532"/>
      <c r="F3" s="532"/>
      <c r="G3" s="532"/>
      <c r="H3" s="532"/>
      <c r="I3" s="532"/>
      <c r="J3" s="532"/>
      <c r="K3" s="532"/>
      <c r="L3" s="532"/>
      <c r="M3" s="532"/>
      <c r="N3" s="532"/>
      <c r="O3" s="532"/>
      <c r="P3" s="532"/>
      <c r="Q3" s="534"/>
      <c r="R3" s="534"/>
      <c r="S3" s="534"/>
      <c r="T3" s="534"/>
      <c r="U3" s="534"/>
      <c r="V3" s="534"/>
    </row>
    <row r="4" spans="1:22" ht="21" customHeight="1">
      <c r="A4" s="2"/>
      <c r="B4" s="450"/>
      <c r="C4" s="449" t="s">
        <v>1</v>
      </c>
      <c r="D4" s="539" t="s">
        <v>295</v>
      </c>
      <c r="E4" s="539"/>
      <c r="F4" s="539"/>
      <c r="G4" s="539"/>
      <c r="H4" s="539"/>
      <c r="I4" s="539"/>
      <c r="J4" s="539"/>
      <c r="K4" s="539"/>
      <c r="L4" s="539"/>
      <c r="M4" s="539"/>
      <c r="N4" s="539"/>
      <c r="O4" s="539"/>
      <c r="P4" s="539"/>
      <c r="Q4" s="539"/>
      <c r="R4" s="539"/>
      <c r="S4" s="539"/>
      <c r="T4" s="539"/>
      <c r="U4" s="539"/>
      <c r="V4" s="539"/>
    </row>
    <row r="5" spans="1:22" ht="21" customHeight="1">
      <c r="A5" s="2"/>
      <c r="B5" s="264" t="s">
        <v>286</v>
      </c>
      <c r="C5" s="266" t="s">
        <v>157</v>
      </c>
      <c r="D5" s="26">
        <v>44.25</v>
      </c>
      <c r="E5" s="26">
        <v>44.25</v>
      </c>
      <c r="F5" s="26">
        <v>44.25</v>
      </c>
      <c r="G5" s="26">
        <v>44.25</v>
      </c>
      <c r="H5" s="26">
        <v>44.25</v>
      </c>
      <c r="I5" s="26">
        <v>44.25</v>
      </c>
      <c r="J5" s="26">
        <v>44.25</v>
      </c>
      <c r="K5" s="26">
        <v>44.25</v>
      </c>
      <c r="L5" s="26">
        <v>44.25</v>
      </c>
      <c r="M5" s="26">
        <v>44.25</v>
      </c>
      <c r="N5" s="26">
        <v>44.25</v>
      </c>
      <c r="O5" s="26">
        <v>44.25</v>
      </c>
      <c r="P5" s="26">
        <v>44.25</v>
      </c>
      <c r="Q5" s="26">
        <v>44.25</v>
      </c>
      <c r="R5" s="26">
        <v>44.25</v>
      </c>
      <c r="S5" s="26">
        <v>44.25</v>
      </c>
      <c r="T5" s="26">
        <v>44.25</v>
      </c>
      <c r="U5" s="26">
        <v>44.25</v>
      </c>
      <c r="V5" s="26">
        <v>44.25</v>
      </c>
    </row>
    <row r="6" spans="1:22" ht="21" customHeight="1">
      <c r="A6" s="2"/>
      <c r="B6" s="62" t="s">
        <v>57</v>
      </c>
      <c r="C6" s="266" t="s">
        <v>157</v>
      </c>
      <c r="D6" s="350">
        <v>0</v>
      </c>
      <c r="E6" s="350">
        <v>0</v>
      </c>
      <c r="F6" s="350">
        <v>0</v>
      </c>
      <c r="G6" s="350">
        <v>0</v>
      </c>
      <c r="H6" s="350">
        <v>0</v>
      </c>
      <c r="I6" s="350">
        <v>0</v>
      </c>
      <c r="J6" s="350">
        <v>0</v>
      </c>
      <c r="K6" s="350">
        <v>0</v>
      </c>
      <c r="L6" s="350">
        <v>0</v>
      </c>
      <c r="M6" s="350">
        <v>0</v>
      </c>
      <c r="N6" s="350">
        <v>0</v>
      </c>
      <c r="O6" s="350">
        <v>0</v>
      </c>
      <c r="P6" s="350">
        <v>0</v>
      </c>
      <c r="Q6" s="27">
        <v>0</v>
      </c>
      <c r="R6" s="27">
        <v>0</v>
      </c>
      <c r="S6" s="27">
        <v>0</v>
      </c>
      <c r="T6" s="27">
        <v>0</v>
      </c>
      <c r="U6" s="27">
        <v>0</v>
      </c>
      <c r="V6" s="27">
        <v>0</v>
      </c>
    </row>
    <row r="7" spans="1:22" ht="21" customHeight="1">
      <c r="A7" s="2"/>
      <c r="B7" s="264" t="s">
        <v>211</v>
      </c>
      <c r="C7" s="266" t="s">
        <v>157</v>
      </c>
      <c r="D7" s="26">
        <v>0</v>
      </c>
      <c r="E7" s="26">
        <v>0</v>
      </c>
      <c r="F7" s="26">
        <v>0</v>
      </c>
      <c r="G7" s="26">
        <v>0</v>
      </c>
      <c r="H7" s="26">
        <v>0</v>
      </c>
      <c r="I7" s="26">
        <v>0</v>
      </c>
      <c r="J7" s="26">
        <v>0</v>
      </c>
      <c r="K7" s="26">
        <v>0</v>
      </c>
      <c r="L7" s="26">
        <v>0</v>
      </c>
      <c r="M7" s="26">
        <v>0</v>
      </c>
      <c r="N7" s="26">
        <v>0</v>
      </c>
      <c r="O7" s="26">
        <v>0</v>
      </c>
      <c r="P7" s="26">
        <v>0</v>
      </c>
      <c r="Q7" s="26">
        <v>0</v>
      </c>
      <c r="R7" s="26">
        <v>0</v>
      </c>
      <c r="S7" s="26">
        <v>0</v>
      </c>
      <c r="T7" s="26">
        <v>0</v>
      </c>
      <c r="U7" s="26">
        <v>0</v>
      </c>
      <c r="V7" s="26">
        <v>0</v>
      </c>
    </row>
    <row r="8" spans="1:22" ht="21" customHeight="1">
      <c r="A8" s="2"/>
      <c r="B8" s="62" t="s">
        <v>57</v>
      </c>
      <c r="C8" s="266" t="s">
        <v>157</v>
      </c>
      <c r="D8" s="350">
        <v>0</v>
      </c>
      <c r="E8" s="350">
        <v>0</v>
      </c>
      <c r="F8" s="350">
        <v>0</v>
      </c>
      <c r="G8" s="350">
        <v>0</v>
      </c>
      <c r="H8" s="350">
        <v>0</v>
      </c>
      <c r="I8" s="350">
        <v>0</v>
      </c>
      <c r="J8" s="350">
        <v>0</v>
      </c>
      <c r="K8" s="350">
        <v>0</v>
      </c>
      <c r="L8" s="350">
        <v>0</v>
      </c>
      <c r="M8" s="350">
        <v>0</v>
      </c>
      <c r="N8" s="350">
        <v>0</v>
      </c>
      <c r="O8" s="350">
        <v>0</v>
      </c>
      <c r="P8" s="350">
        <v>0</v>
      </c>
      <c r="Q8" s="27">
        <v>0</v>
      </c>
      <c r="R8" s="27">
        <v>0</v>
      </c>
      <c r="S8" s="27">
        <v>0</v>
      </c>
      <c r="T8" s="27">
        <v>0</v>
      </c>
      <c r="U8" s="27">
        <v>0</v>
      </c>
      <c r="V8" s="27">
        <v>0</v>
      </c>
    </row>
    <row r="9" spans="1:22" ht="21" customHeight="1">
      <c r="A9" s="2"/>
      <c r="B9" s="264" t="s">
        <v>212</v>
      </c>
      <c r="C9" s="266" t="s">
        <v>157</v>
      </c>
      <c r="D9" s="26">
        <v>0</v>
      </c>
      <c r="E9" s="26">
        <v>0</v>
      </c>
      <c r="F9" s="26">
        <v>0</v>
      </c>
      <c r="G9" s="26">
        <v>0</v>
      </c>
      <c r="H9" s="26">
        <v>0</v>
      </c>
      <c r="I9" s="26">
        <v>0</v>
      </c>
      <c r="J9" s="26">
        <v>0</v>
      </c>
      <c r="K9" s="26">
        <v>0</v>
      </c>
      <c r="L9" s="26">
        <v>0</v>
      </c>
      <c r="M9" s="26">
        <v>0</v>
      </c>
      <c r="N9" s="26">
        <v>0</v>
      </c>
      <c r="O9" s="26">
        <v>0</v>
      </c>
      <c r="P9" s="26">
        <v>0</v>
      </c>
      <c r="Q9" s="26">
        <v>0</v>
      </c>
      <c r="R9" s="26">
        <v>0</v>
      </c>
      <c r="S9" s="26">
        <v>0</v>
      </c>
      <c r="T9" s="26">
        <v>0</v>
      </c>
      <c r="U9" s="26">
        <v>0</v>
      </c>
      <c r="V9" s="26">
        <v>0</v>
      </c>
    </row>
    <row r="10" spans="1:22" ht="21" customHeight="1">
      <c r="A10" s="2"/>
      <c r="B10" s="62" t="s">
        <v>57</v>
      </c>
      <c r="C10" s="266" t="s">
        <v>157</v>
      </c>
      <c r="D10" s="350">
        <v>0</v>
      </c>
      <c r="E10" s="350">
        <v>0</v>
      </c>
      <c r="F10" s="350">
        <v>0</v>
      </c>
      <c r="G10" s="350">
        <v>0</v>
      </c>
      <c r="H10" s="350">
        <v>0</v>
      </c>
      <c r="I10" s="350">
        <v>0</v>
      </c>
      <c r="J10" s="350">
        <v>0</v>
      </c>
      <c r="K10" s="350">
        <v>0</v>
      </c>
      <c r="L10" s="350">
        <v>0</v>
      </c>
      <c r="M10" s="350">
        <v>0</v>
      </c>
      <c r="N10" s="350">
        <v>0</v>
      </c>
      <c r="O10" s="350">
        <v>0</v>
      </c>
      <c r="P10" s="350">
        <v>0</v>
      </c>
      <c r="Q10" s="27">
        <v>0</v>
      </c>
      <c r="R10" s="27">
        <v>0</v>
      </c>
      <c r="S10" s="27">
        <v>0</v>
      </c>
      <c r="T10" s="27">
        <v>0</v>
      </c>
      <c r="U10" s="27">
        <v>0</v>
      </c>
      <c r="V10" s="27">
        <v>0</v>
      </c>
    </row>
    <row r="11" spans="1:22" ht="21" customHeight="1">
      <c r="A11" s="2"/>
      <c r="B11" s="264" t="s">
        <v>213</v>
      </c>
      <c r="C11" s="266" t="s">
        <v>157</v>
      </c>
      <c r="D11" s="26">
        <v>0</v>
      </c>
      <c r="E11" s="26">
        <v>0</v>
      </c>
      <c r="F11" s="26">
        <v>0</v>
      </c>
      <c r="G11" s="26">
        <v>0</v>
      </c>
      <c r="H11" s="26">
        <v>0</v>
      </c>
      <c r="I11" s="26">
        <v>0</v>
      </c>
      <c r="J11" s="26">
        <v>0</v>
      </c>
      <c r="K11" s="26">
        <v>0</v>
      </c>
      <c r="L11" s="26">
        <v>0</v>
      </c>
      <c r="M11" s="26">
        <v>0</v>
      </c>
      <c r="N11" s="26">
        <v>0</v>
      </c>
      <c r="O11" s="26">
        <v>0</v>
      </c>
      <c r="P11" s="26">
        <v>0</v>
      </c>
      <c r="Q11" s="26">
        <v>0</v>
      </c>
      <c r="R11" s="26">
        <v>0</v>
      </c>
      <c r="S11" s="26">
        <v>0</v>
      </c>
      <c r="T11" s="26">
        <v>0</v>
      </c>
      <c r="U11" s="26">
        <v>0</v>
      </c>
      <c r="V11" s="26">
        <v>0</v>
      </c>
    </row>
    <row r="12" spans="1:22" ht="21">
      <c r="A12" s="2"/>
      <c r="B12" s="62" t="s">
        <v>57</v>
      </c>
      <c r="C12" s="266" t="s">
        <v>157</v>
      </c>
      <c r="D12" s="350">
        <v>0</v>
      </c>
      <c r="E12" s="350">
        <v>0</v>
      </c>
      <c r="F12" s="350">
        <v>0</v>
      </c>
      <c r="G12" s="350">
        <v>0</v>
      </c>
      <c r="H12" s="350">
        <v>0</v>
      </c>
      <c r="I12" s="350">
        <v>0</v>
      </c>
      <c r="J12" s="350">
        <v>0</v>
      </c>
      <c r="K12" s="350">
        <v>0</v>
      </c>
      <c r="L12" s="350">
        <v>0</v>
      </c>
      <c r="M12" s="350">
        <v>0</v>
      </c>
      <c r="N12" s="350">
        <v>0</v>
      </c>
      <c r="O12" s="350">
        <v>0</v>
      </c>
      <c r="P12" s="350">
        <v>0</v>
      </c>
      <c r="Q12" s="27">
        <v>0</v>
      </c>
      <c r="R12" s="27">
        <v>0</v>
      </c>
      <c r="S12" s="27">
        <v>0</v>
      </c>
      <c r="T12" s="27">
        <v>0</v>
      </c>
      <c r="U12" s="27">
        <v>0</v>
      </c>
      <c r="V12" s="27">
        <v>0</v>
      </c>
    </row>
    <row r="13" spans="1:22" ht="21">
      <c r="A13" s="2"/>
      <c r="B13" s="264" t="s">
        <v>214</v>
      </c>
      <c r="C13" s="266" t="s">
        <v>157</v>
      </c>
      <c r="D13" s="26">
        <v>0</v>
      </c>
      <c r="E13" s="26">
        <v>0</v>
      </c>
      <c r="F13" s="26">
        <v>0</v>
      </c>
      <c r="G13" s="26">
        <v>0</v>
      </c>
      <c r="H13" s="26">
        <v>0</v>
      </c>
      <c r="I13" s="26">
        <v>0</v>
      </c>
      <c r="J13" s="26">
        <v>0</v>
      </c>
      <c r="K13" s="26">
        <v>0</v>
      </c>
      <c r="L13" s="26">
        <v>0</v>
      </c>
      <c r="M13" s="26">
        <v>0</v>
      </c>
      <c r="N13" s="26">
        <v>0</v>
      </c>
      <c r="O13" s="26">
        <v>0</v>
      </c>
      <c r="P13" s="26">
        <v>0</v>
      </c>
      <c r="Q13" s="26">
        <v>0</v>
      </c>
      <c r="R13" s="26">
        <v>0</v>
      </c>
      <c r="S13" s="26">
        <v>0</v>
      </c>
      <c r="T13" s="26">
        <v>0</v>
      </c>
      <c r="U13" s="26">
        <v>0</v>
      </c>
      <c r="V13" s="26">
        <v>0</v>
      </c>
    </row>
    <row r="14" spans="1:22" ht="21">
      <c r="A14" s="2"/>
      <c r="B14" s="62" t="s">
        <v>57</v>
      </c>
      <c r="C14" s="266" t="s">
        <v>157</v>
      </c>
      <c r="D14" s="350">
        <v>0</v>
      </c>
      <c r="E14" s="350">
        <v>0</v>
      </c>
      <c r="F14" s="350">
        <v>0</v>
      </c>
      <c r="G14" s="350">
        <v>0</v>
      </c>
      <c r="H14" s="350">
        <v>0</v>
      </c>
      <c r="I14" s="350">
        <v>0</v>
      </c>
      <c r="J14" s="350">
        <v>0</v>
      </c>
      <c r="K14" s="350">
        <v>0</v>
      </c>
      <c r="L14" s="350">
        <v>0</v>
      </c>
      <c r="M14" s="350">
        <v>0</v>
      </c>
      <c r="N14" s="350">
        <v>0</v>
      </c>
      <c r="O14" s="350">
        <v>0</v>
      </c>
      <c r="P14" s="350">
        <v>0</v>
      </c>
      <c r="Q14" s="27">
        <v>0</v>
      </c>
      <c r="R14" s="27">
        <v>0</v>
      </c>
      <c r="S14" s="27">
        <v>0</v>
      </c>
      <c r="T14" s="27">
        <v>0</v>
      </c>
      <c r="U14" s="27">
        <v>0</v>
      </c>
      <c r="V14" s="27">
        <v>0</v>
      </c>
    </row>
    <row r="15" spans="1:22" ht="21">
      <c r="A15" s="2"/>
      <c r="B15" s="264" t="s">
        <v>215</v>
      </c>
      <c r="C15" s="266" t="s">
        <v>157</v>
      </c>
      <c r="D15" s="26">
        <v>17.940000000000001</v>
      </c>
      <c r="E15" s="26">
        <v>17.940000000000001</v>
      </c>
      <c r="F15" s="26">
        <v>17.940000000000001</v>
      </c>
      <c r="G15" s="26">
        <v>17.940000000000001</v>
      </c>
      <c r="H15" s="26">
        <v>17.940000000000001</v>
      </c>
      <c r="I15" s="26">
        <v>17.940000000000001</v>
      </c>
      <c r="J15" s="26">
        <v>17.940000000000001</v>
      </c>
      <c r="K15" s="26">
        <v>17.940000000000001</v>
      </c>
      <c r="L15" s="26">
        <v>17.940000000000001</v>
      </c>
      <c r="M15" s="26">
        <v>17.940000000000001</v>
      </c>
      <c r="N15" s="26">
        <v>17.940000000000001</v>
      </c>
      <c r="O15" s="26">
        <v>17.940000000000001</v>
      </c>
      <c r="P15" s="26">
        <v>17.940000000000001</v>
      </c>
      <c r="Q15" s="26">
        <v>17.940000000000001</v>
      </c>
      <c r="R15" s="26">
        <v>17.940000000000001</v>
      </c>
      <c r="S15" s="26">
        <v>17.940000000000001</v>
      </c>
      <c r="T15" s="26">
        <v>17.940000000000001</v>
      </c>
      <c r="U15" s="26">
        <v>17.940000000000001</v>
      </c>
      <c r="V15" s="26">
        <v>17.940000000000001</v>
      </c>
    </row>
    <row r="16" spans="1:22" ht="21">
      <c r="A16" s="2"/>
      <c r="B16" s="62" t="s">
        <v>57</v>
      </c>
      <c r="C16" s="266" t="s">
        <v>157</v>
      </c>
      <c r="D16" s="350">
        <v>0</v>
      </c>
      <c r="E16" s="350">
        <v>0</v>
      </c>
      <c r="F16" s="350">
        <v>0</v>
      </c>
      <c r="G16" s="350">
        <v>0</v>
      </c>
      <c r="H16" s="350">
        <v>0</v>
      </c>
      <c r="I16" s="350">
        <v>0</v>
      </c>
      <c r="J16" s="350">
        <v>0</v>
      </c>
      <c r="K16" s="350">
        <v>0</v>
      </c>
      <c r="L16" s="350">
        <v>0</v>
      </c>
      <c r="M16" s="350">
        <v>0</v>
      </c>
      <c r="N16" s="350">
        <v>0</v>
      </c>
      <c r="O16" s="350">
        <v>0</v>
      </c>
      <c r="P16" s="350">
        <v>0</v>
      </c>
      <c r="Q16" s="27">
        <v>0</v>
      </c>
      <c r="R16" s="27">
        <v>0</v>
      </c>
      <c r="S16" s="27">
        <v>0</v>
      </c>
      <c r="T16" s="27">
        <v>0</v>
      </c>
      <c r="U16" s="27">
        <v>0</v>
      </c>
      <c r="V16" s="27">
        <v>0</v>
      </c>
    </row>
    <row r="17" spans="1:25" ht="21">
      <c r="A17" s="2"/>
      <c r="B17" s="264" t="s">
        <v>216</v>
      </c>
      <c r="C17" s="266" t="s">
        <v>157</v>
      </c>
      <c r="D17" s="26">
        <v>17.940000000000001</v>
      </c>
      <c r="E17" s="26">
        <v>17.940000000000001</v>
      </c>
      <c r="F17" s="26">
        <v>17.940000000000001</v>
      </c>
      <c r="G17" s="26">
        <v>17.940000000000001</v>
      </c>
      <c r="H17" s="26">
        <v>17.940000000000001</v>
      </c>
      <c r="I17" s="26">
        <v>17.940000000000001</v>
      </c>
      <c r="J17" s="26">
        <v>17.940000000000001</v>
      </c>
      <c r="K17" s="26">
        <v>17.940000000000001</v>
      </c>
      <c r="L17" s="26">
        <v>17.940000000000001</v>
      </c>
      <c r="M17" s="26">
        <v>17.940000000000001</v>
      </c>
      <c r="N17" s="26">
        <v>17.940000000000001</v>
      </c>
      <c r="O17" s="26">
        <v>17.940000000000001</v>
      </c>
      <c r="P17" s="26">
        <v>17.940000000000001</v>
      </c>
      <c r="Q17" s="26">
        <v>17.940000000000001</v>
      </c>
      <c r="R17" s="26">
        <v>17.940000000000001</v>
      </c>
      <c r="S17" s="26">
        <v>17.940000000000001</v>
      </c>
      <c r="T17" s="26">
        <v>17.940000000000001</v>
      </c>
      <c r="U17" s="26">
        <v>17.940000000000001</v>
      </c>
      <c r="V17" s="26">
        <v>17.940000000000001</v>
      </c>
    </row>
    <row r="18" spans="1:25" ht="21">
      <c r="A18" s="2"/>
      <c r="B18" s="62" t="s">
        <v>57</v>
      </c>
      <c r="C18" s="266" t="s">
        <v>157</v>
      </c>
      <c r="D18" s="350">
        <v>0</v>
      </c>
      <c r="E18" s="350">
        <v>0</v>
      </c>
      <c r="F18" s="350">
        <v>0</v>
      </c>
      <c r="G18" s="350">
        <v>0</v>
      </c>
      <c r="H18" s="350">
        <v>0</v>
      </c>
      <c r="I18" s="350">
        <v>0</v>
      </c>
      <c r="J18" s="350">
        <v>0</v>
      </c>
      <c r="K18" s="350">
        <v>0</v>
      </c>
      <c r="L18" s="350">
        <v>0</v>
      </c>
      <c r="M18" s="350">
        <v>0</v>
      </c>
      <c r="N18" s="350">
        <v>0</v>
      </c>
      <c r="O18" s="350">
        <v>0</v>
      </c>
      <c r="P18" s="350">
        <v>0</v>
      </c>
      <c r="Q18" s="27">
        <v>0</v>
      </c>
      <c r="R18" s="27">
        <v>0</v>
      </c>
      <c r="S18" s="27">
        <v>0</v>
      </c>
      <c r="T18" s="27">
        <v>0</v>
      </c>
      <c r="U18" s="27">
        <v>0</v>
      </c>
      <c r="V18" s="27">
        <v>0</v>
      </c>
    </row>
    <row r="19" spans="1:25" ht="21">
      <c r="A19" s="2"/>
      <c r="B19" s="264" t="s">
        <v>217</v>
      </c>
      <c r="C19" s="266" t="s">
        <v>157</v>
      </c>
      <c r="D19" s="26">
        <v>20.38</v>
      </c>
      <c r="E19" s="26">
        <v>20.38</v>
      </c>
      <c r="F19" s="26">
        <v>20.38</v>
      </c>
      <c r="G19" s="26">
        <v>20.38</v>
      </c>
      <c r="H19" s="26">
        <v>20.38</v>
      </c>
      <c r="I19" s="26">
        <v>20.38</v>
      </c>
      <c r="J19" s="26">
        <v>20.38</v>
      </c>
      <c r="K19" s="26">
        <v>20.38</v>
      </c>
      <c r="L19" s="26">
        <v>20.38</v>
      </c>
      <c r="M19" s="26">
        <v>20.38</v>
      </c>
      <c r="N19" s="26">
        <v>20.38</v>
      </c>
      <c r="O19" s="26">
        <v>20.38</v>
      </c>
      <c r="P19" s="26">
        <v>20.38</v>
      </c>
      <c r="Q19" s="26">
        <v>20.38</v>
      </c>
      <c r="R19" s="26">
        <v>20.38</v>
      </c>
      <c r="S19" s="26">
        <v>20.38</v>
      </c>
      <c r="T19" s="26">
        <v>20.38</v>
      </c>
      <c r="U19" s="26">
        <v>20.38</v>
      </c>
      <c r="V19" s="26">
        <v>20.38</v>
      </c>
    </row>
    <row r="20" spans="1:25" ht="21">
      <c r="A20" s="2"/>
      <c r="B20" s="62" t="s">
        <v>57</v>
      </c>
      <c r="C20" s="266" t="s">
        <v>157</v>
      </c>
      <c r="D20" s="350">
        <v>0</v>
      </c>
      <c r="E20" s="350">
        <v>0</v>
      </c>
      <c r="F20" s="350">
        <v>0</v>
      </c>
      <c r="G20" s="350">
        <v>0</v>
      </c>
      <c r="H20" s="350">
        <v>0</v>
      </c>
      <c r="I20" s="350">
        <v>0</v>
      </c>
      <c r="J20" s="350">
        <v>0</v>
      </c>
      <c r="K20" s="350">
        <v>0</v>
      </c>
      <c r="L20" s="350">
        <v>0</v>
      </c>
      <c r="M20" s="350">
        <v>0</v>
      </c>
      <c r="N20" s="350">
        <v>0</v>
      </c>
      <c r="O20" s="350">
        <v>0</v>
      </c>
      <c r="P20" s="350">
        <v>0</v>
      </c>
      <c r="Q20" s="27">
        <v>0</v>
      </c>
      <c r="R20" s="27">
        <v>0</v>
      </c>
      <c r="S20" s="27">
        <v>0</v>
      </c>
      <c r="T20" s="27">
        <v>0</v>
      </c>
      <c r="U20" s="27">
        <v>0</v>
      </c>
      <c r="V20" s="27">
        <v>0</v>
      </c>
    </row>
    <row r="21" spans="1:25" ht="21">
      <c r="A21" s="2"/>
      <c r="B21" s="264" t="s">
        <v>218</v>
      </c>
      <c r="C21" s="266" t="s">
        <v>157</v>
      </c>
      <c r="D21" s="26">
        <v>13.69</v>
      </c>
      <c r="E21" s="26">
        <v>13.69</v>
      </c>
      <c r="F21" s="26">
        <v>13.69</v>
      </c>
      <c r="G21" s="26">
        <v>13.69</v>
      </c>
      <c r="H21" s="26">
        <v>13.69</v>
      </c>
      <c r="I21" s="26">
        <v>13.69</v>
      </c>
      <c r="J21" s="26">
        <v>13.69</v>
      </c>
      <c r="K21" s="26">
        <v>13.69</v>
      </c>
      <c r="L21" s="26">
        <v>13.69</v>
      </c>
      <c r="M21" s="26">
        <v>13.69</v>
      </c>
      <c r="N21" s="26">
        <v>13.69</v>
      </c>
      <c r="O21" s="26">
        <v>13.69</v>
      </c>
      <c r="P21" s="26">
        <v>13.69</v>
      </c>
      <c r="Q21" s="26">
        <v>13.69</v>
      </c>
      <c r="R21" s="26">
        <v>13.69</v>
      </c>
      <c r="S21" s="26">
        <v>13.69</v>
      </c>
      <c r="T21" s="26">
        <v>13.69</v>
      </c>
      <c r="U21" s="26">
        <v>13.69</v>
      </c>
      <c r="V21" s="26">
        <v>13.69</v>
      </c>
    </row>
    <row r="22" spans="1:25" ht="21">
      <c r="A22" s="2"/>
      <c r="B22" s="62" t="s">
        <v>57</v>
      </c>
      <c r="C22" s="266" t="s">
        <v>157</v>
      </c>
      <c r="D22" s="350">
        <v>0</v>
      </c>
      <c r="E22" s="350">
        <v>0</v>
      </c>
      <c r="F22" s="350">
        <v>0</v>
      </c>
      <c r="G22" s="350">
        <v>0</v>
      </c>
      <c r="H22" s="350">
        <v>0</v>
      </c>
      <c r="I22" s="350">
        <v>0</v>
      </c>
      <c r="J22" s="350">
        <v>0</v>
      </c>
      <c r="K22" s="350">
        <v>0</v>
      </c>
      <c r="L22" s="350">
        <v>0</v>
      </c>
      <c r="M22" s="350">
        <v>0</v>
      </c>
      <c r="N22" s="350">
        <v>0</v>
      </c>
      <c r="O22" s="350">
        <v>0</v>
      </c>
      <c r="P22" s="350">
        <v>0</v>
      </c>
      <c r="Q22" s="27">
        <v>0</v>
      </c>
      <c r="R22" s="27">
        <v>0</v>
      </c>
      <c r="S22" s="27">
        <v>0</v>
      </c>
      <c r="T22" s="27">
        <v>0</v>
      </c>
      <c r="U22" s="27">
        <v>0</v>
      </c>
      <c r="V22" s="27">
        <v>0</v>
      </c>
    </row>
    <row r="23" spans="1:25" ht="21">
      <c r="A23" s="2"/>
      <c r="B23" s="450"/>
      <c r="C23" s="451"/>
      <c r="D23" s="539" t="s">
        <v>294</v>
      </c>
      <c r="E23" s="539"/>
      <c r="F23" s="539"/>
      <c r="G23" s="539"/>
      <c r="H23" s="539"/>
      <c r="I23" s="539"/>
      <c r="J23" s="539"/>
      <c r="K23" s="539"/>
      <c r="L23" s="539"/>
      <c r="M23" s="539"/>
      <c r="N23" s="539"/>
      <c r="O23" s="539"/>
      <c r="P23" s="539"/>
      <c r="Q23" s="539"/>
      <c r="R23" s="539"/>
      <c r="S23" s="539"/>
      <c r="T23" s="539"/>
      <c r="U23" s="539"/>
      <c r="V23" s="539"/>
    </row>
    <row r="24" spans="1:25" ht="21">
      <c r="A24" s="2"/>
      <c r="B24" s="264" t="s">
        <v>283</v>
      </c>
      <c r="C24" s="266" t="s">
        <v>157</v>
      </c>
      <c r="D24" s="26">
        <v>0</v>
      </c>
      <c r="E24" s="26">
        <v>0</v>
      </c>
      <c r="F24" s="26">
        <v>0</v>
      </c>
      <c r="G24" s="26">
        <v>0</v>
      </c>
      <c r="H24" s="26">
        <v>700</v>
      </c>
      <c r="I24" s="26">
        <v>0</v>
      </c>
      <c r="J24" s="26">
        <v>0</v>
      </c>
      <c r="K24" s="26">
        <v>0</v>
      </c>
      <c r="L24" s="26">
        <v>0</v>
      </c>
      <c r="M24" s="26">
        <v>0</v>
      </c>
      <c r="N24" s="26">
        <v>0</v>
      </c>
      <c r="O24" s="26">
        <v>0</v>
      </c>
      <c r="P24" s="26">
        <v>0</v>
      </c>
      <c r="Q24" s="26">
        <v>0</v>
      </c>
      <c r="R24" s="26">
        <v>0</v>
      </c>
      <c r="S24" s="26">
        <v>0</v>
      </c>
      <c r="T24" s="26">
        <v>0</v>
      </c>
      <c r="U24" s="26">
        <v>0</v>
      </c>
      <c r="V24" s="26">
        <v>0</v>
      </c>
    </row>
    <row r="25" spans="1:25" ht="21">
      <c r="A25" s="2"/>
      <c r="B25" s="32" t="s">
        <v>57</v>
      </c>
      <c r="C25" s="266" t="s">
        <v>157</v>
      </c>
      <c r="D25" s="350">
        <v>0</v>
      </c>
      <c r="E25" s="350">
        <v>0</v>
      </c>
      <c r="F25" s="350">
        <v>0</v>
      </c>
      <c r="G25" s="350">
        <v>0</v>
      </c>
      <c r="H25" s="350">
        <v>1</v>
      </c>
      <c r="I25" s="350">
        <v>0</v>
      </c>
      <c r="J25" s="350">
        <v>0</v>
      </c>
      <c r="K25" s="350">
        <v>0</v>
      </c>
      <c r="L25" s="350">
        <v>0</v>
      </c>
      <c r="M25" s="350">
        <v>0</v>
      </c>
      <c r="N25" s="350">
        <v>0</v>
      </c>
      <c r="O25" s="350">
        <v>0</v>
      </c>
      <c r="P25" s="350">
        <v>0</v>
      </c>
      <c r="Q25" s="27">
        <v>0</v>
      </c>
      <c r="R25" s="27">
        <v>0</v>
      </c>
      <c r="S25" s="27">
        <v>0</v>
      </c>
      <c r="T25" s="27">
        <v>0</v>
      </c>
      <c r="U25" s="27">
        <v>0</v>
      </c>
      <c r="V25" s="27">
        <v>0</v>
      </c>
    </row>
    <row r="26" spans="1:25" ht="21">
      <c r="A26" s="2"/>
      <c r="B26" s="264" t="s">
        <v>284</v>
      </c>
      <c r="C26" s="266" t="s">
        <v>157</v>
      </c>
      <c r="D26" s="26">
        <v>0</v>
      </c>
      <c r="E26" s="26">
        <v>0</v>
      </c>
      <c r="F26" s="26">
        <v>0</v>
      </c>
      <c r="G26" s="26">
        <v>0</v>
      </c>
      <c r="H26" s="26">
        <v>150</v>
      </c>
      <c r="I26" s="26">
        <v>0</v>
      </c>
      <c r="J26" s="26">
        <v>0</v>
      </c>
      <c r="K26" s="26">
        <v>0</v>
      </c>
      <c r="L26" s="26">
        <v>0</v>
      </c>
      <c r="M26" s="26">
        <v>0</v>
      </c>
      <c r="N26" s="26">
        <v>0</v>
      </c>
      <c r="O26" s="26">
        <v>0</v>
      </c>
      <c r="P26" s="26">
        <v>0</v>
      </c>
      <c r="Q26" s="26">
        <v>0</v>
      </c>
      <c r="R26" s="26">
        <v>0</v>
      </c>
      <c r="S26" s="26">
        <v>0</v>
      </c>
      <c r="T26" s="26">
        <v>0</v>
      </c>
      <c r="U26" s="26">
        <v>0</v>
      </c>
      <c r="V26" s="26">
        <v>0</v>
      </c>
    </row>
    <row r="27" spans="1:25" ht="21">
      <c r="A27" s="2"/>
      <c r="B27" s="32" t="s">
        <v>57</v>
      </c>
      <c r="C27" s="266" t="s">
        <v>157</v>
      </c>
      <c r="D27" s="350">
        <v>0</v>
      </c>
      <c r="E27" s="350">
        <v>0</v>
      </c>
      <c r="F27" s="350">
        <v>0</v>
      </c>
      <c r="G27" s="350">
        <v>0</v>
      </c>
      <c r="H27" s="350">
        <v>1</v>
      </c>
      <c r="I27" s="350">
        <v>0</v>
      </c>
      <c r="J27" s="350">
        <v>0</v>
      </c>
      <c r="K27" s="350">
        <v>0</v>
      </c>
      <c r="L27" s="350">
        <v>0</v>
      </c>
      <c r="M27" s="350">
        <v>0</v>
      </c>
      <c r="N27" s="350">
        <v>0</v>
      </c>
      <c r="O27" s="350">
        <v>0</v>
      </c>
      <c r="P27" s="350">
        <v>0</v>
      </c>
      <c r="Q27" s="27">
        <v>0</v>
      </c>
      <c r="R27" s="27">
        <v>0</v>
      </c>
      <c r="S27" s="27">
        <v>0</v>
      </c>
      <c r="T27" s="27">
        <v>0</v>
      </c>
      <c r="U27" s="27">
        <v>0</v>
      </c>
      <c r="V27" s="27">
        <v>0</v>
      </c>
    </row>
    <row r="28" spans="1:25" ht="21">
      <c r="A28" s="2"/>
      <c r="B28" s="264" t="s">
        <v>285</v>
      </c>
      <c r="C28" s="266" t="s">
        <v>157</v>
      </c>
      <c r="D28" s="26">
        <v>0</v>
      </c>
      <c r="E28" s="26">
        <v>0</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row>
    <row r="29" spans="1:25" ht="21">
      <c r="A29" s="2"/>
      <c r="B29" s="62" t="s">
        <v>57</v>
      </c>
      <c r="C29" s="266" t="s">
        <v>157</v>
      </c>
      <c r="D29" s="350">
        <v>0</v>
      </c>
      <c r="E29" s="350">
        <v>0</v>
      </c>
      <c r="F29" s="350">
        <v>0</v>
      </c>
      <c r="G29" s="350">
        <v>0</v>
      </c>
      <c r="H29" s="350">
        <v>0</v>
      </c>
      <c r="I29" s="350">
        <v>0</v>
      </c>
      <c r="J29" s="350">
        <v>0</v>
      </c>
      <c r="K29" s="350">
        <v>0</v>
      </c>
      <c r="L29" s="350">
        <v>0</v>
      </c>
      <c r="M29" s="350">
        <v>0</v>
      </c>
      <c r="N29" s="350">
        <v>0</v>
      </c>
      <c r="O29" s="350">
        <v>0</v>
      </c>
      <c r="P29" s="350">
        <v>0</v>
      </c>
      <c r="Q29" s="27">
        <v>0</v>
      </c>
      <c r="R29" s="27">
        <v>0</v>
      </c>
      <c r="S29" s="27">
        <v>0</v>
      </c>
      <c r="T29" s="27">
        <v>0</v>
      </c>
      <c r="U29" s="27">
        <v>0</v>
      </c>
      <c r="V29" s="27">
        <v>0</v>
      </c>
      <c r="W29" s="27">
        <v>0</v>
      </c>
      <c r="X29" s="443">
        <v>0</v>
      </c>
      <c r="Y29" s="443">
        <v>0</v>
      </c>
    </row>
    <row r="30" spans="1:25" ht="21.9" customHeight="1">
      <c r="A30" s="2"/>
      <c r="B30" s="264" t="s">
        <v>220</v>
      </c>
      <c r="C30" s="266" t="s">
        <v>157</v>
      </c>
      <c r="D30" s="26">
        <v>10.050000000000001</v>
      </c>
      <c r="E30" s="26">
        <v>10.050000000000001</v>
      </c>
      <c r="F30" s="26">
        <v>10.050000000000001</v>
      </c>
      <c r="G30" s="26">
        <v>10.050000000000001</v>
      </c>
      <c r="H30" s="26">
        <v>10.050000000000001</v>
      </c>
      <c r="I30" s="26">
        <v>10.050000000000001</v>
      </c>
      <c r="J30" s="26">
        <v>10.050000000000001</v>
      </c>
      <c r="K30" s="26">
        <v>10.050000000000001</v>
      </c>
      <c r="L30" s="26">
        <v>10.050000000000001</v>
      </c>
      <c r="M30" s="26">
        <v>10.050000000000001</v>
      </c>
      <c r="N30" s="26">
        <v>10.050000000000001</v>
      </c>
      <c r="O30" s="26">
        <v>10.050000000000001</v>
      </c>
      <c r="P30" s="26">
        <v>10.050000000000001</v>
      </c>
      <c r="Q30" s="26">
        <v>10.050000000000001</v>
      </c>
      <c r="R30" s="26">
        <v>10.050000000000001</v>
      </c>
      <c r="S30" s="26">
        <v>10.050000000000001</v>
      </c>
      <c r="T30" s="26">
        <v>10.050000000000001</v>
      </c>
      <c r="U30" s="26">
        <v>10.050000000000001</v>
      </c>
      <c r="V30" s="26">
        <v>10.050000000000001</v>
      </c>
    </row>
    <row r="31" spans="1:25" ht="21">
      <c r="A31" s="2"/>
      <c r="B31" s="62" t="s">
        <v>57</v>
      </c>
      <c r="C31" s="266" t="s">
        <v>157</v>
      </c>
      <c r="D31" s="351">
        <v>0</v>
      </c>
      <c r="E31" s="351">
        <v>0</v>
      </c>
      <c r="F31" s="351">
        <v>0</v>
      </c>
      <c r="G31" s="351">
        <v>0</v>
      </c>
      <c r="H31" s="351">
        <v>0</v>
      </c>
      <c r="I31" s="351">
        <v>0</v>
      </c>
      <c r="J31" s="351">
        <v>0</v>
      </c>
      <c r="K31" s="351">
        <v>0</v>
      </c>
      <c r="L31" s="351">
        <v>0</v>
      </c>
      <c r="M31" s="351">
        <v>0</v>
      </c>
      <c r="N31" s="351">
        <v>0</v>
      </c>
      <c r="O31" s="351">
        <v>0</v>
      </c>
      <c r="P31" s="351">
        <v>0</v>
      </c>
      <c r="Q31" s="275">
        <v>0</v>
      </c>
      <c r="R31" s="275">
        <v>0</v>
      </c>
      <c r="S31" s="275">
        <v>0</v>
      </c>
      <c r="T31" s="275">
        <v>0</v>
      </c>
      <c r="U31" s="275">
        <v>0</v>
      </c>
      <c r="V31" s="275">
        <v>0</v>
      </c>
    </row>
    <row r="32" spans="1:25" ht="21.9" customHeight="1">
      <c r="A32" s="2"/>
      <c r="B32" s="264" t="s">
        <v>219</v>
      </c>
      <c r="C32" s="266" t="s">
        <v>157</v>
      </c>
      <c r="D32" s="26">
        <v>10.08</v>
      </c>
      <c r="E32" s="26">
        <v>10.08</v>
      </c>
      <c r="F32" s="26">
        <v>10.08</v>
      </c>
      <c r="G32" s="26">
        <v>10.08</v>
      </c>
      <c r="H32" s="26">
        <v>10.08</v>
      </c>
      <c r="I32" s="26">
        <v>10.08</v>
      </c>
      <c r="J32" s="26">
        <v>10.08</v>
      </c>
      <c r="K32" s="26">
        <v>10.08</v>
      </c>
      <c r="L32" s="26">
        <v>10.08</v>
      </c>
      <c r="M32" s="26">
        <v>10.08</v>
      </c>
      <c r="N32" s="26">
        <v>10.08</v>
      </c>
      <c r="O32" s="26">
        <v>10.08</v>
      </c>
      <c r="P32" s="26">
        <v>10.08</v>
      </c>
      <c r="Q32" s="26">
        <v>10.08</v>
      </c>
      <c r="R32" s="26">
        <v>10.08</v>
      </c>
      <c r="S32" s="26">
        <v>10.08</v>
      </c>
      <c r="T32" s="26">
        <v>10.08</v>
      </c>
      <c r="U32" s="26">
        <v>10.08</v>
      </c>
      <c r="V32" s="26">
        <v>10.08</v>
      </c>
    </row>
    <row r="33" spans="1:22" ht="20.100000000000001" customHeight="1">
      <c r="A33" s="2"/>
      <c r="B33" s="62" t="s">
        <v>57</v>
      </c>
      <c r="C33" s="266" t="s">
        <v>157</v>
      </c>
      <c r="D33" s="350">
        <v>0</v>
      </c>
      <c r="E33" s="350">
        <v>0</v>
      </c>
      <c r="F33" s="350">
        <v>0</v>
      </c>
      <c r="G33" s="350">
        <v>0</v>
      </c>
      <c r="H33" s="350">
        <v>0</v>
      </c>
      <c r="I33" s="350">
        <v>0</v>
      </c>
      <c r="J33" s="350">
        <v>0</v>
      </c>
      <c r="K33" s="350">
        <v>0</v>
      </c>
      <c r="L33" s="350">
        <v>0</v>
      </c>
      <c r="M33" s="350">
        <v>0</v>
      </c>
      <c r="N33" s="350">
        <v>0</v>
      </c>
      <c r="O33" s="350">
        <v>0</v>
      </c>
      <c r="P33" s="350">
        <v>0</v>
      </c>
      <c r="Q33" s="27">
        <v>0</v>
      </c>
      <c r="R33" s="27">
        <v>0</v>
      </c>
      <c r="S33" s="27">
        <v>0</v>
      </c>
      <c r="T33" s="27">
        <v>0</v>
      </c>
      <c r="U33" s="27">
        <v>0</v>
      </c>
      <c r="V33" s="27">
        <v>0</v>
      </c>
    </row>
    <row r="34" spans="1:22" ht="21">
      <c r="A34" s="2"/>
      <c r="B34" s="264" t="s">
        <v>308</v>
      </c>
      <c r="C34" s="266" t="s">
        <v>157</v>
      </c>
      <c r="D34" s="26">
        <v>0</v>
      </c>
      <c r="E34" s="26">
        <v>0</v>
      </c>
      <c r="F34" s="26">
        <v>0</v>
      </c>
      <c r="G34" s="26">
        <v>0</v>
      </c>
      <c r="H34" s="26">
        <v>411</v>
      </c>
      <c r="I34" s="26">
        <v>0</v>
      </c>
      <c r="J34" s="26">
        <v>0</v>
      </c>
      <c r="K34" s="26">
        <v>0</v>
      </c>
      <c r="L34" s="26">
        <v>0</v>
      </c>
      <c r="M34" s="26">
        <v>0</v>
      </c>
      <c r="N34" s="26">
        <v>0</v>
      </c>
      <c r="O34" s="26">
        <v>0</v>
      </c>
      <c r="P34" s="26">
        <v>0</v>
      </c>
      <c r="Q34" s="26">
        <v>0</v>
      </c>
      <c r="R34" s="26">
        <v>0</v>
      </c>
      <c r="S34" s="26">
        <v>0</v>
      </c>
      <c r="T34" s="26">
        <v>0</v>
      </c>
      <c r="U34" s="26">
        <v>0</v>
      </c>
      <c r="V34" s="26">
        <v>0</v>
      </c>
    </row>
    <row r="35" spans="1:22" ht="21" customHeight="1">
      <c r="A35" s="2"/>
      <c r="B35" s="62" t="s">
        <v>57</v>
      </c>
      <c r="C35" s="266" t="s">
        <v>157</v>
      </c>
      <c r="D35" s="350">
        <v>0</v>
      </c>
      <c r="E35" s="350">
        <v>0</v>
      </c>
      <c r="F35" s="350">
        <v>0</v>
      </c>
      <c r="G35" s="350">
        <v>0</v>
      </c>
      <c r="H35" s="350">
        <v>1</v>
      </c>
      <c r="I35" s="350">
        <v>0</v>
      </c>
      <c r="J35" s="350">
        <v>0</v>
      </c>
      <c r="K35" s="350">
        <v>0</v>
      </c>
      <c r="L35" s="350">
        <v>0</v>
      </c>
      <c r="M35" s="350">
        <v>0</v>
      </c>
      <c r="N35" s="350">
        <v>0</v>
      </c>
      <c r="O35" s="350">
        <v>0</v>
      </c>
      <c r="P35" s="350">
        <v>0</v>
      </c>
      <c r="Q35" s="27">
        <v>0</v>
      </c>
      <c r="R35" s="27">
        <v>0</v>
      </c>
      <c r="S35" s="27">
        <v>0</v>
      </c>
      <c r="T35" s="27">
        <v>0</v>
      </c>
      <c r="U35" s="27">
        <v>0</v>
      </c>
      <c r="V35" s="27">
        <v>0</v>
      </c>
    </row>
    <row r="36" spans="1:22" ht="21">
      <c r="A36" s="2"/>
      <c r="B36" s="450"/>
      <c r="C36" s="451"/>
      <c r="D36" s="539" t="s">
        <v>291</v>
      </c>
      <c r="E36" s="539"/>
      <c r="F36" s="539"/>
      <c r="G36" s="539"/>
      <c r="H36" s="539"/>
      <c r="I36" s="539"/>
      <c r="J36" s="539"/>
      <c r="K36" s="539"/>
      <c r="L36" s="539"/>
      <c r="M36" s="539"/>
      <c r="N36" s="539"/>
      <c r="O36" s="539"/>
      <c r="P36" s="539"/>
      <c r="Q36" s="539"/>
      <c r="R36" s="539"/>
      <c r="S36" s="539"/>
      <c r="T36" s="539"/>
      <c r="U36" s="539"/>
      <c r="V36" s="539"/>
    </row>
    <row r="37" spans="1:22" ht="21">
      <c r="A37" s="2"/>
      <c r="B37" s="264" t="s">
        <v>280</v>
      </c>
      <c r="C37" s="266" t="s">
        <v>157</v>
      </c>
      <c r="D37" s="26">
        <v>0</v>
      </c>
      <c r="E37" s="26">
        <v>0</v>
      </c>
      <c r="F37" s="26">
        <v>0</v>
      </c>
      <c r="G37" s="26">
        <v>25</v>
      </c>
      <c r="H37" s="26">
        <v>0</v>
      </c>
      <c r="I37" s="26">
        <v>0</v>
      </c>
      <c r="J37" s="26">
        <v>0</v>
      </c>
      <c r="K37" s="26">
        <v>0</v>
      </c>
      <c r="L37" s="26">
        <v>160</v>
      </c>
      <c r="M37" s="26">
        <v>25</v>
      </c>
      <c r="N37" s="26">
        <v>25</v>
      </c>
      <c r="O37" s="26">
        <v>25</v>
      </c>
      <c r="P37" s="26">
        <v>25</v>
      </c>
      <c r="Q37" s="26">
        <v>25</v>
      </c>
      <c r="R37" s="26">
        <v>25</v>
      </c>
      <c r="S37" s="26">
        <v>25</v>
      </c>
      <c r="T37" s="26">
        <v>25</v>
      </c>
      <c r="U37" s="26">
        <v>75</v>
      </c>
      <c r="V37" s="26">
        <v>75</v>
      </c>
    </row>
    <row r="38" spans="1:22" ht="21">
      <c r="A38" s="2"/>
      <c r="B38" s="32" t="s">
        <v>57</v>
      </c>
      <c r="C38" s="266" t="s">
        <v>312</v>
      </c>
      <c r="D38" s="350">
        <v>0</v>
      </c>
      <c r="E38" s="350">
        <v>0</v>
      </c>
      <c r="F38" s="350">
        <v>0</v>
      </c>
      <c r="G38" s="350">
        <v>1</v>
      </c>
      <c r="H38" s="350">
        <v>0</v>
      </c>
      <c r="I38" s="350">
        <v>0</v>
      </c>
      <c r="J38" s="350">
        <v>0</v>
      </c>
      <c r="K38" s="350">
        <v>0</v>
      </c>
      <c r="L38" s="350">
        <v>1</v>
      </c>
      <c r="M38" s="350">
        <v>0</v>
      </c>
      <c r="N38" s="350">
        <v>0</v>
      </c>
      <c r="O38" s="350">
        <v>1.65</v>
      </c>
      <c r="P38" s="350">
        <v>3.3</v>
      </c>
      <c r="Q38" s="27">
        <v>0</v>
      </c>
      <c r="R38" s="27">
        <v>0</v>
      </c>
      <c r="S38" s="27">
        <v>0</v>
      </c>
      <c r="T38" s="27">
        <v>0</v>
      </c>
      <c r="U38" s="27">
        <v>8.5</v>
      </c>
      <c r="V38" s="27">
        <v>8.5</v>
      </c>
    </row>
    <row r="39" spans="1:22" ht="21">
      <c r="A39" s="2"/>
      <c r="B39" s="264" t="s">
        <v>281</v>
      </c>
      <c r="C39" s="266" t="s">
        <v>247</v>
      </c>
      <c r="D39" s="26">
        <v>0</v>
      </c>
      <c r="E39" s="26">
        <v>0</v>
      </c>
      <c r="F39" s="26">
        <v>0</v>
      </c>
      <c r="G39" s="26">
        <v>0</v>
      </c>
      <c r="H39" s="26">
        <v>0</v>
      </c>
      <c r="I39" s="26">
        <v>0</v>
      </c>
      <c r="J39" s="26">
        <v>0</v>
      </c>
      <c r="K39" s="26">
        <v>0</v>
      </c>
      <c r="L39" s="26">
        <v>0</v>
      </c>
      <c r="M39" s="26">
        <v>0</v>
      </c>
      <c r="N39" s="26">
        <v>0</v>
      </c>
      <c r="O39" s="26">
        <v>0</v>
      </c>
      <c r="P39" s="26">
        <v>0</v>
      </c>
      <c r="Q39" s="26">
        <v>0</v>
      </c>
      <c r="R39" s="26">
        <v>0</v>
      </c>
      <c r="S39" s="26">
        <v>0</v>
      </c>
      <c r="T39" s="26">
        <v>0</v>
      </c>
      <c r="U39" s="26">
        <v>0</v>
      </c>
      <c r="V39" s="26">
        <v>0</v>
      </c>
    </row>
    <row r="40" spans="1:22" ht="21">
      <c r="A40" s="2"/>
      <c r="B40" s="32" t="s">
        <v>57</v>
      </c>
      <c r="C40" s="266" t="s">
        <v>247</v>
      </c>
      <c r="D40" s="350">
        <v>0</v>
      </c>
      <c r="E40" s="350">
        <v>0</v>
      </c>
      <c r="F40" s="350">
        <v>0</v>
      </c>
      <c r="G40" s="350">
        <v>0</v>
      </c>
      <c r="H40" s="350">
        <v>0</v>
      </c>
      <c r="I40" s="350">
        <v>0</v>
      </c>
      <c r="J40" s="350">
        <v>0</v>
      </c>
      <c r="K40" s="350">
        <v>0</v>
      </c>
      <c r="L40" s="350">
        <v>0</v>
      </c>
      <c r="M40" s="350">
        <v>0</v>
      </c>
      <c r="N40" s="350">
        <v>0</v>
      </c>
      <c r="O40" s="350">
        <v>0</v>
      </c>
      <c r="P40" s="350">
        <v>0</v>
      </c>
      <c r="Q40" s="27">
        <v>0</v>
      </c>
      <c r="R40" s="27">
        <v>0</v>
      </c>
      <c r="S40" s="27">
        <v>0</v>
      </c>
      <c r="T40" s="27">
        <v>0</v>
      </c>
      <c r="U40" s="27">
        <v>0</v>
      </c>
      <c r="V40" s="27">
        <v>0</v>
      </c>
    </row>
    <row r="41" spans="1:22" ht="21">
      <c r="A41" s="2"/>
      <c r="B41" s="264" t="s">
        <v>282</v>
      </c>
      <c r="C41" s="266" t="s">
        <v>299</v>
      </c>
      <c r="D41" s="26">
        <v>0</v>
      </c>
      <c r="E41" s="26">
        <v>0</v>
      </c>
      <c r="F41" s="26">
        <v>0</v>
      </c>
      <c r="G41" s="26">
        <v>0</v>
      </c>
      <c r="H41" s="26">
        <v>0</v>
      </c>
      <c r="I41" s="26">
        <v>0</v>
      </c>
      <c r="J41" s="26">
        <v>0</v>
      </c>
      <c r="K41" s="26">
        <v>0</v>
      </c>
      <c r="L41" s="26">
        <v>0</v>
      </c>
      <c r="M41" s="26">
        <v>0</v>
      </c>
      <c r="N41" s="26">
        <v>0</v>
      </c>
      <c r="O41" s="26">
        <v>0</v>
      </c>
      <c r="P41" s="26">
        <v>0</v>
      </c>
      <c r="Q41" s="26">
        <v>0</v>
      </c>
      <c r="R41" s="26">
        <v>0</v>
      </c>
      <c r="S41" s="26">
        <v>0</v>
      </c>
      <c r="T41" s="26">
        <v>0</v>
      </c>
      <c r="U41" s="26">
        <v>0</v>
      </c>
      <c r="V41" s="26">
        <v>0</v>
      </c>
    </row>
    <row r="42" spans="1:22" ht="21">
      <c r="A42" s="2"/>
      <c r="B42" s="276" t="s">
        <v>57</v>
      </c>
      <c r="C42" s="267" t="s">
        <v>299</v>
      </c>
      <c r="D42" s="352">
        <v>0</v>
      </c>
      <c r="E42" s="352">
        <v>0</v>
      </c>
      <c r="F42" s="352">
        <v>0</v>
      </c>
      <c r="G42" s="352">
        <v>0</v>
      </c>
      <c r="H42" s="352">
        <v>0</v>
      </c>
      <c r="I42" s="352">
        <v>0</v>
      </c>
      <c r="J42" s="352">
        <v>0</v>
      </c>
      <c r="K42" s="352">
        <v>0</v>
      </c>
      <c r="L42" s="352">
        <v>0</v>
      </c>
      <c r="M42" s="352">
        <v>0</v>
      </c>
      <c r="N42" s="352">
        <v>0</v>
      </c>
      <c r="O42" s="352">
        <v>0</v>
      </c>
      <c r="P42" s="352">
        <v>0</v>
      </c>
      <c r="Q42" s="65">
        <v>0</v>
      </c>
      <c r="R42" s="65">
        <v>0</v>
      </c>
      <c r="S42" s="65">
        <v>0</v>
      </c>
      <c r="T42" s="65">
        <v>0</v>
      </c>
      <c r="U42" s="65">
        <v>0</v>
      </c>
      <c r="V42" s="65">
        <v>0</v>
      </c>
    </row>
    <row r="43" spans="1:22" ht="21" customHeight="1">
      <c r="A43" s="2"/>
      <c r="B43" s="530" t="s">
        <v>104</v>
      </c>
      <c r="C43" s="530"/>
      <c r="D43" s="530"/>
      <c r="E43" s="530"/>
      <c r="F43" s="530"/>
      <c r="G43" s="530"/>
      <c r="H43" s="530"/>
      <c r="I43" s="530"/>
      <c r="J43" s="530"/>
      <c r="K43" s="530"/>
      <c r="L43" s="530"/>
      <c r="M43" s="530"/>
      <c r="N43" s="530"/>
      <c r="O43" s="530"/>
      <c r="P43" s="530"/>
      <c r="Q43" s="530"/>
      <c r="R43" s="530"/>
      <c r="S43" s="530"/>
      <c r="T43" s="530"/>
      <c r="U43" s="530"/>
      <c r="V43" s="530"/>
    </row>
    <row r="44" spans="1:22" s="2" customFormat="1"/>
    <row r="45" spans="1:22" s="2" customFormat="1"/>
    <row r="46" spans="1:22" s="2" customFormat="1"/>
    <row r="47" spans="1:22" s="2" customFormat="1"/>
    <row r="48" spans="1:22"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pans="1:22">
      <c r="A65" s="2"/>
      <c r="B65" s="2"/>
      <c r="C65" s="2"/>
      <c r="Q65" s="2"/>
      <c r="R65" s="2"/>
      <c r="S65" s="2"/>
      <c r="T65" s="2"/>
      <c r="U65" s="2"/>
      <c r="V65" s="2"/>
    </row>
    <row r="66" spans="1:22">
      <c r="A66" s="2"/>
      <c r="B66" s="2"/>
      <c r="C66" s="2"/>
      <c r="Q66" s="2"/>
      <c r="R66" s="2"/>
      <c r="S66" s="2"/>
      <c r="T66" s="2"/>
      <c r="U66" s="2"/>
      <c r="V66" s="2"/>
    </row>
    <row r="67" spans="1:22">
      <c r="A67" s="2"/>
      <c r="B67" s="2"/>
      <c r="C67" s="2"/>
      <c r="Q67" s="2"/>
      <c r="R67" s="2"/>
      <c r="S67" s="2"/>
      <c r="T67" s="2"/>
      <c r="U67" s="2"/>
      <c r="V67" s="2"/>
    </row>
    <row r="68" spans="1:22">
      <c r="A68" s="2"/>
      <c r="B68" s="2"/>
      <c r="C68" s="2"/>
      <c r="Q68" s="2"/>
      <c r="R68" s="2"/>
      <c r="S68" s="2"/>
      <c r="T68" s="2"/>
      <c r="U68" s="2"/>
      <c r="V68" s="2"/>
    </row>
    <row r="69" spans="1:22">
      <c r="A69" s="2"/>
      <c r="B69" s="2"/>
      <c r="C69" s="2"/>
      <c r="Q69" s="2"/>
      <c r="R69" s="2"/>
      <c r="S69" s="2"/>
      <c r="T69" s="2"/>
      <c r="U69" s="2"/>
      <c r="V69" s="2"/>
    </row>
    <row r="70" spans="1:22">
      <c r="A70" s="2"/>
      <c r="B70" s="2"/>
      <c r="C70" s="2"/>
      <c r="Q70" s="2"/>
      <c r="R70" s="2"/>
      <c r="S70" s="2"/>
      <c r="T70" s="2"/>
      <c r="U70" s="2"/>
      <c r="V70" s="2"/>
    </row>
    <row r="71" spans="1:22">
      <c r="A71" s="2"/>
      <c r="B71" s="2"/>
      <c r="C71" s="2"/>
      <c r="Q71" s="2"/>
      <c r="R71" s="2"/>
      <c r="S71" s="2"/>
      <c r="T71" s="2"/>
      <c r="U71" s="2"/>
      <c r="V71" s="2"/>
    </row>
    <row r="72" spans="1:22">
      <c r="A72" s="2"/>
      <c r="B72" s="2"/>
      <c r="C72" s="2"/>
      <c r="Q72" s="2"/>
      <c r="R72" s="2"/>
      <c r="S72" s="2"/>
      <c r="T72" s="2"/>
      <c r="U72" s="2"/>
      <c r="V72" s="2"/>
    </row>
    <row r="73" spans="1:22">
      <c r="A73" s="2"/>
      <c r="B73" s="2"/>
      <c r="C73" s="2"/>
      <c r="Q73" s="2"/>
      <c r="R73" s="2"/>
      <c r="S73" s="2"/>
      <c r="T73" s="2"/>
      <c r="U73" s="2"/>
      <c r="V73" s="2"/>
    </row>
    <row r="74" spans="1:22">
      <c r="A74" s="2"/>
      <c r="B74" s="2"/>
      <c r="C74" s="2"/>
      <c r="Q74" s="2"/>
      <c r="R74" s="2"/>
      <c r="S74" s="2"/>
      <c r="T74" s="2"/>
      <c r="U74" s="2"/>
      <c r="V74" s="2"/>
    </row>
    <row r="75" spans="1:22">
      <c r="A75" s="2"/>
    </row>
    <row r="76" spans="1:22">
      <c r="A76" s="2"/>
    </row>
    <row r="77" spans="1:22">
      <c r="A77" s="2"/>
    </row>
    <row r="78" spans="1:22">
      <c r="A78" s="2"/>
    </row>
    <row r="79" spans="1:22">
      <c r="A79" s="2"/>
    </row>
    <row r="80" spans="1:22">
      <c r="A80" s="2"/>
    </row>
    <row r="81" spans="1:1">
      <c r="A81" s="2"/>
    </row>
    <row r="82" spans="1:1">
      <c r="A82" s="2"/>
    </row>
    <row r="83" spans="1:1">
      <c r="A83" s="2"/>
    </row>
    <row r="84" spans="1:1">
      <c r="A84" s="2"/>
    </row>
    <row r="85" spans="1:1">
      <c r="A85" s="2"/>
    </row>
    <row r="86" spans="1:1">
      <c r="A86" s="2"/>
    </row>
    <row r="87" spans="1:1">
      <c r="A87" s="2"/>
    </row>
    <row r="88" spans="1:1">
      <c r="A88" s="2"/>
    </row>
  </sheetData>
  <sheetProtection algorithmName="SHA-512" hashValue="I1IJMBCd+Vs35GsySdPoWJgLacT2BpS/HlhErMxlOAuChlPNGmzGdv2B5MyKLWkAw3NjDmCEgrI+hsAC1F9BWg==" saltValue="ya2HlT2ikgZuBh0JAeToGA==" spinCount="100000" sheet="1" objects="1" scenarios="1"/>
  <mergeCells count="25">
    <mergeCell ref="D36:V36"/>
    <mergeCell ref="N2:N3"/>
    <mergeCell ref="T2:T3"/>
    <mergeCell ref="O2:O3"/>
    <mergeCell ref="P2:P3"/>
    <mergeCell ref="Q2:Q3"/>
    <mergeCell ref="R2:R3"/>
    <mergeCell ref="S2:S3"/>
    <mergeCell ref="D2:D3"/>
    <mergeCell ref="B43:V43"/>
    <mergeCell ref="H2:H3"/>
    <mergeCell ref="I2:I3"/>
    <mergeCell ref="J2:J3"/>
    <mergeCell ref="K2:K3"/>
    <mergeCell ref="U2:U3"/>
    <mergeCell ref="V2:V3"/>
    <mergeCell ref="E2:E3"/>
    <mergeCell ref="F2:F3"/>
    <mergeCell ref="G2:G3"/>
    <mergeCell ref="L2:L3"/>
    <mergeCell ref="M2:M3"/>
    <mergeCell ref="B2:B3"/>
    <mergeCell ref="C2:C3"/>
    <mergeCell ref="D4:V4"/>
    <mergeCell ref="D23:V23"/>
  </mergeCells>
  <pageMargins left="0.7" right="0.7" top="0.75" bottom="0.75" header="0.3" footer="0.3"/>
  <pageSetup scale="43" fitToHeight="2" orientation="portrait" horizontalDpi="360" verticalDpi="360"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A60-91D5-3F4D-BBFB-B9BE0870F0BA}">
  <sheetPr codeName="Sheet28"/>
  <dimension ref="A1:S52"/>
  <sheetViews>
    <sheetView topLeftCell="H1" zoomScale="160" zoomScaleNormal="160" workbookViewId="0">
      <selection activeCell="C34" sqref="C34"/>
    </sheetView>
  </sheetViews>
  <sheetFormatPr defaultColWidth="11.44140625" defaultRowHeight="14.4"/>
  <cols>
    <col min="1" max="1" width="2.109375" style="2" customWidth="1"/>
    <col min="2" max="2" width="55.109375" customWidth="1"/>
    <col min="3" max="3" width="10.33203125" customWidth="1"/>
    <col min="4" max="5" width="10.88671875" customWidth="1"/>
    <col min="6" max="6" width="3.6640625" customWidth="1"/>
    <col min="7" max="7" width="10.88671875" customWidth="1"/>
    <col min="11" max="11" width="10.88671875" customWidth="1"/>
    <col min="16" max="16" width="11.33203125" customWidth="1"/>
    <col min="17" max="17" width="10.88671875" hidden="1" customWidth="1"/>
    <col min="18" max="18" width="13.109375" hidden="1" customWidth="1"/>
  </cols>
  <sheetData>
    <row r="1" spans="2:19">
      <c r="B1" s="2"/>
      <c r="C1" s="2"/>
      <c r="D1" s="2"/>
      <c r="E1" s="2"/>
      <c r="F1" s="2"/>
      <c r="G1" s="2"/>
      <c r="H1" s="2"/>
      <c r="I1" s="2"/>
      <c r="J1" s="2"/>
      <c r="K1" s="2"/>
      <c r="L1" s="2"/>
      <c r="M1" s="2"/>
      <c r="N1" s="2"/>
      <c r="O1" s="2"/>
      <c r="P1" s="2"/>
      <c r="Q1" s="2"/>
      <c r="R1" s="2"/>
      <c r="S1" s="2"/>
    </row>
    <row r="2" spans="2:19">
      <c r="B2" s="549" t="s">
        <v>267</v>
      </c>
      <c r="C2" s="549"/>
      <c r="D2" s="263"/>
      <c r="E2" s="263"/>
      <c r="F2" s="2"/>
      <c r="G2" s="544" t="s">
        <v>105</v>
      </c>
      <c r="H2" s="544"/>
      <c r="I2" s="544"/>
      <c r="J2" s="544"/>
      <c r="K2" s="544"/>
      <c r="L2" s="544"/>
      <c r="M2" s="544"/>
      <c r="N2" s="2"/>
      <c r="O2" s="2"/>
      <c r="P2" s="2"/>
      <c r="Q2" s="2"/>
      <c r="R2" s="2"/>
      <c r="S2" s="2"/>
    </row>
    <row r="3" spans="2:19">
      <c r="B3" s="204" t="s">
        <v>103</v>
      </c>
      <c r="C3" s="205">
        <v>5000</v>
      </c>
      <c r="D3" s="263"/>
      <c r="E3" s="263"/>
      <c r="F3" s="2"/>
      <c r="G3" s="550" t="s">
        <v>54</v>
      </c>
      <c r="H3" s="554" t="s">
        <v>63</v>
      </c>
      <c r="I3" s="552" t="s">
        <v>93</v>
      </c>
      <c r="J3" s="554" t="s">
        <v>96</v>
      </c>
      <c r="K3" s="552" t="s">
        <v>97</v>
      </c>
      <c r="L3" s="554" t="s">
        <v>94</v>
      </c>
      <c r="M3" s="552" t="s">
        <v>95</v>
      </c>
      <c r="N3" s="2"/>
      <c r="O3" s="2"/>
      <c r="P3" s="2"/>
      <c r="Q3" s="547" t="s">
        <v>508</v>
      </c>
      <c r="R3" s="547"/>
      <c r="S3" s="2"/>
    </row>
    <row r="4" spans="2:19">
      <c r="B4" s="206" t="s">
        <v>101</v>
      </c>
      <c r="C4" s="207">
        <v>5.0000000000000001E-3</v>
      </c>
      <c r="D4" s="263"/>
      <c r="E4" s="263"/>
      <c r="F4" s="2"/>
      <c r="G4" s="551"/>
      <c r="H4" s="555"/>
      <c r="I4" s="553"/>
      <c r="J4" s="555"/>
      <c r="K4" s="553"/>
      <c r="L4" s="555"/>
      <c r="M4" s="553"/>
      <c r="N4" s="2"/>
      <c r="O4" s="2"/>
      <c r="P4" s="2"/>
      <c r="Q4" s="548" t="s">
        <v>509</v>
      </c>
      <c r="R4" s="548"/>
      <c r="S4" s="2"/>
    </row>
    <row r="5" spans="2:19">
      <c r="B5" s="206" t="s">
        <v>102</v>
      </c>
      <c r="C5" s="207">
        <v>0.03</v>
      </c>
      <c r="D5" s="263"/>
      <c r="E5" s="263"/>
      <c r="F5" s="152"/>
      <c r="G5" s="280">
        <v>1</v>
      </c>
      <c r="H5" s="155">
        <f>(((BASEBUDGETS!F344-BASEBUDGETS!F339)/BASEBUDGETS!C185)+($C$3*((1+$C$4)^G5)*$C$5))</f>
        <v>1848.8170886238042</v>
      </c>
      <c r="I5" s="156">
        <f>H5*(1+C27)^-G5</f>
        <v>1744.1670647394378</v>
      </c>
      <c r="J5" s="155">
        <f>(((1-$C$6)*BASEBUDGETS!F337)+((1-$C$7)*BASEBUDGETS!F338)+(C$8*(BASEBUDGETS!F194+BASEBUDGETS!F195))+(C$9*(BASEBUDGETS!F196+BASEBUDGETS!F197+BASEBUDGETS!F198+BASEBUDGETS!F199+BASEBUDGETS!F200+BASEBUDGETS!F201+BASEBUDGETS!F202))+(C$10*(BASEBUDGETS!F203+BASEBUDGETS!F204+BASEBUDGETS!F205+BASEBUDGETS!F206+BASEBUDGETS!F207))+(C$11*(BASEBUDGETS!F208+BASEBUDGETS!F209))+(C$12*(BASEBUDGETS!F210+BASEBUDGETS!F213+BASEBUDGETS!F215+BASEBUDGETS!F216+BASEBUDGETS!F211+BASEBUDGETS!F214+BASEBUDGETS!F217+BASEBUDGETS!F218))+(C$13*(SUM(BASEBUDGETS!F222:F262)+SUM(BASEBUDGETS!F286:F297)+SUM(BASEBUDGETS!F305:F320)+SUM(BASEBUDGETS!F332:F335))+(C$14*(SUM(BASEBUDGETS!F219:'BASEBUDGETS'!F221)+SUM(BASEBUDGETS!F263:F285)+SUM(BASEBUDGETS!F321:F331)+SUM(BASEBUDGETS!F298:F299))+(C$15*BASEBUDGETS!F300)+(C$16*BASEBUDGETS!F301)+(C$17*BASEBUDGETS!F336)+(C$18*BASEBUDGETS!F341))))/BASEBUDGETS!C185</f>
        <v>1695.0670886238042</v>
      </c>
      <c r="K5" s="156">
        <f>J5*(1+C27)^-G5</f>
        <v>1599.119894928117</v>
      </c>
      <c r="L5" s="155">
        <f>(((BASEBUDGETS!F344-BASEBUDGETS!F339)/BASEBUDGETS!C185)+($C$3*((1+$C$4)^G5)*$C$5))-J5</f>
        <v>153.75</v>
      </c>
      <c r="M5" s="156">
        <f>L5*(1+C27)^-G5</f>
        <v>145.04716981132074</v>
      </c>
      <c r="N5" s="127" t="s">
        <v>10</v>
      </c>
      <c r="O5" s="2"/>
      <c r="P5" s="2"/>
      <c r="Q5" s="377" t="s">
        <v>506</v>
      </c>
      <c r="R5" s="377" t="s">
        <v>507</v>
      </c>
      <c r="S5" s="2"/>
    </row>
    <row r="6" spans="2:19" ht="15" customHeight="1">
      <c r="B6" s="206" t="s">
        <v>261</v>
      </c>
      <c r="C6" s="207">
        <v>1</v>
      </c>
      <c r="D6" s="153"/>
      <c r="E6" s="153"/>
      <c r="F6" s="153"/>
      <c r="G6" s="176">
        <v>2</v>
      </c>
      <c r="H6" s="155">
        <f>(((BASEBUDGETS!F670-BASEBUDGETS!F665)/BASEBUDGETS!C511)+($C$3*((1+$C$4)^G6)*$C$5))</f>
        <v>441.19963065724164</v>
      </c>
      <c r="I6" s="156">
        <f>H6*(1+C27)^-G6</f>
        <v>392.66610062054252</v>
      </c>
      <c r="J6" s="155">
        <f>(((1-$C$6)*BASEBUDGETS!F663)+((1-$C$7)*BASEBUDGETS!F664)+(C$8*(BASEBUDGETS!F520+BASEBUDGETS!F521))+(C$9*(BASEBUDGETS!F522+BASEBUDGETS!F523+BASEBUDGETS!F524+BASEBUDGETS!F525+BASEBUDGETS!F526+BASEBUDGETS!F527+BASEBUDGETS!F528))+(C$10*(BASEBUDGETS!F529+BASEBUDGETS!F530+BASEBUDGETS!F531+BASEBUDGETS!F532+BASEBUDGETS!F533))+(C$11*(BASEBUDGETS!F534+BASEBUDGETS!F535))+(C$12*(BASEBUDGETS!F536+BASEBUDGETS!F539+BASEBUDGETS!F541+BASEBUDGETS!F542+BASEBUDGETS!F537+BASEBUDGETS!F540+BASEBUDGETS!F543+BASEBUDGETS!F544))+(C$13*(SUM(BASEBUDGETS!F548:F588)+SUM(BASEBUDGETS!F612:F623)+SUM(BASEBUDGETS!F631:F646)+SUM(BASEBUDGETS!F658:F661))+(C$14*(SUM(BASEBUDGETS!F545:'BASEBUDGETS'!F547)+BASEBUDGETS!F624+BASEBUDGETS!F625+SUM(BASEBUDGETS!F589:F611)+SUM(BASEBUDGETS!F647:F657))+(C$15*BASEBUDGETS!F626)+(C$16*BASEBUDGETS!F627)+(C$17*BASEBUDGETS!F662)+(C$18*BASEBUDGETS!F667))))/BASEBUDGETS!C511</f>
        <v>286.69588065724167</v>
      </c>
      <c r="K6" s="156">
        <f>J6*(1+C27)^-G6</f>
        <v>255.15831315169245</v>
      </c>
      <c r="L6" s="155">
        <f>(((BASEBUDGETS!F670-BASEBUDGETS!F665)/BASEBUDGETS!C511)+($C$3*((1+$C$4)^G6)*$C$5))-J6</f>
        <v>154.50374999999997</v>
      </c>
      <c r="M6" s="156">
        <f>L6*(1+C27)^-G6</f>
        <v>137.50778746885007</v>
      </c>
      <c r="N6" s="2"/>
      <c r="O6" s="2"/>
      <c r="P6" s="2"/>
      <c r="Q6" s="201">
        <f>((BASEBUDGETS!F515)/BASEBUDGETS!C511)*(1+C27)^-2</f>
        <v>1566.3937344250621</v>
      </c>
      <c r="R6" s="201">
        <f>((BASEBUDGETS!F516)/BASEBUDGETS!C511)*(1+C27)^-2</f>
        <v>0</v>
      </c>
      <c r="S6" s="2"/>
    </row>
    <row r="7" spans="2:19">
      <c r="B7" s="206" t="s">
        <v>255</v>
      </c>
      <c r="C7" s="207">
        <v>1</v>
      </c>
      <c r="D7" s="153"/>
      <c r="E7" s="153"/>
      <c r="F7" s="153"/>
      <c r="G7" s="176">
        <v>3</v>
      </c>
      <c r="H7" s="155">
        <f>(((BASEBUDGETS!F507-BASEBUDGETS!F502)/BASEBUDGETS!C348)+($C$3*((1+$C$4)^G7)*$C$5))</f>
        <v>502.85368130735213</v>
      </c>
      <c r="I7" s="156">
        <f>H7*(1+C27)^-G7</f>
        <v>422.20564736943248</v>
      </c>
      <c r="J7" s="155">
        <f>(((1-$C$6)*BASEBUDGETS!F500)+((1-$C$7)*BASEBUDGETS!F501)+(C$8*(BASEBUDGETS!F357+BASEBUDGETS!F358))+(C$9*(BASEBUDGETS!F359+BASEBUDGETS!F360+BASEBUDGETS!F361+BASEBUDGETS!F362+BASEBUDGETS!F363+BASEBUDGETS!F364+BASEBUDGETS!F365))+(C$10*(BASEBUDGETS!F366+BASEBUDGETS!F367+BASEBUDGETS!F368+BASEBUDGETS!F369+BASEBUDGETS!F370))+(C$11*(BASEBUDGETS!F371+BASEBUDGETS!F372))+(C$12*(BASEBUDGETS!F373+BASEBUDGETS!F375+BASEBUDGETS!F377+BASEBUDGETS!F378+BASEBUDGETS!F374+BASEBUDGETS!F376+BASEBUDGETS!F380+BASEBUDGETS!F381))+(C$13*(SUM(BASEBUDGETS!F385:F425)+SUM(BASEBUDGETS!F449:F460)+SUM(BASEBUDGETS!F468:F483)+SUM(BASEBUDGETS!F495:F498))+(C$14*(SUM(BASEBUDGETS!F382:'BASEBUDGETS'!F384)+SUM(BASEBUDGETS!F461:F462)+SUM(BASEBUDGETS!F426:F448)+SUM(BASEBUDGETS!F484:F494))+(C$15*BASEBUDGETS!F463)+(C$16*BASEBUDGETS!F464)+(C$17*BASEBUDGETS!F499)+(C$18*BASEBUDGETS!F504))))/BASEBUDGETS!C348</f>
        <v>350.59241255735219</v>
      </c>
      <c r="K7" s="156">
        <f>J7*(1+C27)^-G7</f>
        <v>294.36415006796892</v>
      </c>
      <c r="L7" s="155">
        <f>(((BASEBUDGETS!F507-BASEBUDGETS!F502)/BASEBUDGETS!C348)+($C$3*((1+$C$4)^G7)*$C$5))-J7</f>
        <v>152.26126874999994</v>
      </c>
      <c r="M7" s="156">
        <f>L7*(1+C27)^-G7</f>
        <v>127.84149730146353</v>
      </c>
      <c r="N7" s="2"/>
      <c r="O7" s="2"/>
      <c r="P7" s="2"/>
      <c r="Q7" s="2"/>
      <c r="R7" s="2"/>
      <c r="S7" s="2"/>
    </row>
    <row r="8" spans="2:19">
      <c r="B8" s="2" t="s">
        <v>262</v>
      </c>
      <c r="C8" s="153">
        <v>1</v>
      </c>
      <c r="D8" s="154"/>
      <c r="E8" s="154"/>
      <c r="F8" s="154"/>
      <c r="G8" s="176">
        <v>4</v>
      </c>
      <c r="H8" s="155">
        <f>(((BASEBUDGETS!F670-BASEBUDGETS!F665)/BASEBUDGETS!C511)+($C$3*((1+$C$4)^G8)*$C$5))</f>
        <v>442.71845575099155</v>
      </c>
      <c r="I8" s="156">
        <f>H8*(1+C27)^-G8</f>
        <v>350.67448339888233</v>
      </c>
      <c r="J8" s="155">
        <f>(((1-$C$6)*BASEBUDGETS!F663)+((1-$C$7)*BASEBUDGETS!F664)+(C$8*(BASEBUDGETS!F520+BASEBUDGETS!F521))+(C$9*(BASEBUDGETS!F522+BASEBUDGETS!F523+BASEBUDGETS!F524+BASEBUDGETS!F525+BASEBUDGETS!F526+BASEBUDGETS!F527+BASEBUDGETS!F528))+(C$10*(BASEBUDGETS!F529+BASEBUDGETS!F530+BASEBUDGETS!F531+BASEBUDGETS!F532+BASEBUDGETS!F533))+(C$11*(BASEBUDGETS!F534+BASEBUDGETS!F535))+(C$12*(BASEBUDGETS!F536+BASEBUDGETS!F539+BASEBUDGETS!F541+BASEBUDGETS!F542+BASEBUDGETS!F537+BASEBUDGETS!F540+BASEBUDGETS!F543+BASEBUDGETS!F544))+(C$13*(SUM(BASEBUDGETS!F548:F588)+SUM(BASEBUDGETS!F612:F623)+SUM(BASEBUDGETS!F631:F646)+SUM(BASEBUDGETS!F658:F661))+(C$14*(SUM(BASEBUDGETS!F545:'BASEBUDGETS'!F547)+BASEBUDGETS!F624+BASEBUDGETS!F625+SUM(BASEBUDGETS!F589:F611)+SUM(BASEBUDGETS!F647:F657))+(C$15*BASEBUDGETS!F626)+(C$16*BASEBUDGETS!F627)+(C$17*BASEBUDGETS!F662)+(C$18*BASEBUDGETS!F667))))/BASEBUDGETS!C511</f>
        <v>286.69588065724167</v>
      </c>
      <c r="K8" s="156">
        <f>J8*(1+C27)^-G8</f>
        <v>227.0899903450449</v>
      </c>
      <c r="L8" s="155">
        <f>(((BASEBUDGETS!F670-BASEBUDGETS!F665)/BASEBUDGETS!C511)+($C$3*((1+$C$4)^G8)*$C$5))-J8</f>
        <v>156.02257509374988</v>
      </c>
      <c r="M8" s="156">
        <f>L8*(1+C27)^-G8</f>
        <v>123.58449305383748</v>
      </c>
      <c r="N8" s="2"/>
      <c r="O8" s="2"/>
      <c r="P8" s="2"/>
      <c r="Q8" s="201">
        <f>((BASEBUDGETS!F515)/BASEBUDGETS!C511)*(1+C27)^-4</f>
        <v>1394.084847298916</v>
      </c>
      <c r="R8" s="201">
        <f>((BASEBUDGETS!F516)/BASEBUDGETS!C511)*(1+C27)^-4</f>
        <v>0</v>
      </c>
      <c r="S8" s="2"/>
    </row>
    <row r="9" spans="2:19" ht="15" customHeight="1">
      <c r="B9" s="2" t="s">
        <v>263</v>
      </c>
      <c r="C9" s="153">
        <v>1</v>
      </c>
      <c r="D9" s="2"/>
      <c r="E9" s="2"/>
      <c r="F9" s="2"/>
      <c r="G9" s="176">
        <v>5</v>
      </c>
      <c r="H9" s="155">
        <f>(((BASEBUDGETS!F507-BASEBUDGETS!F502)/BASEBUDGETS!C348)+($C$3*((1+$C$4)^G9)*$C$5))</f>
        <v>504.3801005265708</v>
      </c>
      <c r="I9" s="156">
        <f>H9*(1+C27)^-G9</f>
        <v>376.9021523494834</v>
      </c>
      <c r="J9" s="155">
        <f>(((1-$C$6)*BASEBUDGETS!F500)+((1-$C$7)*BASEBUDGETS!F501)+(C$8*(BASEBUDGETS!F357+BASEBUDGETS!F358))+(C$9*(BASEBUDGETS!F359+BASEBUDGETS!F360+BASEBUDGETS!F361+BASEBUDGETS!F362+BASEBUDGETS!F363+BASEBUDGETS!F364+BASEBUDGETS!F365))+(C$10*(BASEBUDGETS!F366+BASEBUDGETS!F367+BASEBUDGETS!F368+BASEBUDGETS!F369+BASEBUDGETS!F370))+(C$11*(BASEBUDGETS!F371+BASEBUDGETS!F372))+(C$12*(BASEBUDGETS!F373+BASEBUDGETS!F375+BASEBUDGETS!F377+BASEBUDGETS!F378+BASEBUDGETS!F374+BASEBUDGETS!F376+BASEBUDGETS!F380+BASEBUDGETS!F381))+(C$13*(SUM(BASEBUDGETS!F385:F425)+SUM(BASEBUDGETS!F449:F460)+SUM(BASEBUDGETS!F468:F483)+SUM(BASEBUDGETS!F495:F498))+(C$14*(SUM(BASEBUDGETS!F382:'BASEBUDGETS'!F384)+SUM(BASEBUDGETS!F461:F462)+SUM(BASEBUDGETS!F426:F448)+SUM(BASEBUDGETS!F484:F494))+(C$15*BASEBUDGETS!F463)+(C$16*BASEBUDGETS!F464)+(C$17*BASEBUDGETS!F499)+(C$18*BASEBUDGETS!F504))))/BASEBUDGETS!C348</f>
        <v>350.59241255735219</v>
      </c>
      <c r="K9" s="156">
        <f>J9*(1+C27)^-G9</f>
        <v>261.98304562830981</v>
      </c>
      <c r="L9" s="155">
        <f>(((BASEBUDGETS!F507-BASEBUDGETS!F502)/BASEBUDGETS!C348)+($C$3*((1+$C$4)^G9)*$C$5))-J9</f>
        <v>153.78768796921861</v>
      </c>
      <c r="M9" s="156">
        <f>L9*(1+C27)^-G9</f>
        <v>114.91910672117358</v>
      </c>
      <c r="N9" s="2"/>
      <c r="O9" s="2"/>
      <c r="P9" s="2"/>
      <c r="Q9" s="2"/>
      <c r="R9" s="2"/>
      <c r="S9" s="2"/>
    </row>
    <row r="10" spans="2:19" ht="15" customHeight="1">
      <c r="B10" s="2" t="s">
        <v>264</v>
      </c>
      <c r="C10" s="153">
        <v>1</v>
      </c>
      <c r="D10" s="2"/>
      <c r="E10" s="2"/>
      <c r="F10" s="2"/>
      <c r="G10" s="176">
        <v>6</v>
      </c>
      <c r="H10" s="192">
        <f>(((BASEBUDGETS!F670-BASEBUDGETS!F665)/BASEBUDGETS!C511)+($C$3*((1+$C$4)^G10)*$C$5))</f>
        <v>444.25250706630635</v>
      </c>
      <c r="I10" s="193">
        <f>H10*(1+C27)^-G10</f>
        <v>313.18048747314441</v>
      </c>
      <c r="J10" s="192">
        <f>(((1-$C$6)*BASEBUDGETS!F663)+((1-$C$7)*BASEBUDGETS!F664)+(C$8*(BASEBUDGETS!F520+BASEBUDGETS!F521))+(C$9*(BASEBUDGETS!F522+BASEBUDGETS!F523+BASEBUDGETS!F524+BASEBUDGETS!F525+BASEBUDGETS!F526+BASEBUDGETS!F527+BASEBUDGETS!F528))+(C$10*(BASEBUDGETS!F529+BASEBUDGETS!F530+BASEBUDGETS!F531+BASEBUDGETS!F532+BASEBUDGETS!F533))+(C$11*(BASEBUDGETS!F534+BASEBUDGETS!F535))+(C$12*(BASEBUDGETS!F536+BASEBUDGETS!F539+BASEBUDGETS!F541+BASEBUDGETS!F542+BASEBUDGETS!F537+BASEBUDGETS!F540+BASEBUDGETS!F543+BASEBUDGETS!F544))+(C$13*(SUM(BASEBUDGETS!F548:F588)+SUM(BASEBUDGETS!F612:F623)+SUM(BASEBUDGETS!F631:F646)+SUM(BASEBUDGETS!F658:F661))+(C$14*(SUM(BASEBUDGETS!F545:'BASEBUDGETS'!F547)+BASEBUDGETS!F624+BASEBUDGETS!F625+SUM(BASEBUDGETS!F589:F611)+SUM(BASEBUDGETS!F647:F657))+(C$15*BASEBUDGETS!F626)+(C$16*BASEBUDGETS!F627)+(C$17*BASEBUDGETS!F662)+(C$18*BASEBUDGETS!F667))))/BASEBUDGETS!C511</f>
        <v>286.69588065724167</v>
      </c>
      <c r="K10" s="193">
        <f>J10*(1+C27)^-G10</f>
        <v>202.10928296995803</v>
      </c>
      <c r="L10" s="192">
        <f>(((BASEBUDGETS!F670-BASEBUDGETS!F665)/BASEBUDGETS!C511)+($C$3*((1+$C$4)^G10)*$C$5))-J10</f>
        <v>157.55662640906468</v>
      </c>
      <c r="M10" s="193">
        <f>L10*(1+C27)^-G10</f>
        <v>111.07120450318641</v>
      </c>
      <c r="N10" s="2"/>
      <c r="O10" s="2"/>
      <c r="P10" s="2"/>
      <c r="Q10" s="201">
        <f>((BASEBUDGETS!F515)/BASEBUDGETS!C511)*(1+C27)^-6</f>
        <v>1240.7305511738302</v>
      </c>
      <c r="R10" s="201">
        <f>((BASEBUDGETS!F516)/BASEBUDGETS!C511)*(1+C27)^-6</f>
        <v>0</v>
      </c>
      <c r="S10" s="2"/>
    </row>
    <row r="11" spans="2:19">
      <c r="B11" s="2" t="s">
        <v>265</v>
      </c>
      <c r="C11" s="153">
        <v>1</v>
      </c>
      <c r="D11" s="2"/>
      <c r="E11" s="2"/>
      <c r="F11" s="2"/>
      <c r="G11" s="254" t="s">
        <v>7</v>
      </c>
      <c r="H11" s="194">
        <f t="shared" ref="H11:M11" si="0">SUM(H5:H10)</f>
        <v>4184.2214639322665</v>
      </c>
      <c r="I11" s="195">
        <f t="shared" si="0"/>
        <v>3599.7959359509227</v>
      </c>
      <c r="J11" s="194">
        <f t="shared" si="0"/>
        <v>3256.3395557102335</v>
      </c>
      <c r="K11" s="195">
        <f t="shared" si="0"/>
        <v>2839.824677091091</v>
      </c>
      <c r="L11" s="194">
        <f t="shared" si="0"/>
        <v>927.88190822203319</v>
      </c>
      <c r="M11" s="195">
        <f t="shared" si="0"/>
        <v>759.97125885983178</v>
      </c>
      <c r="N11" s="2"/>
      <c r="O11" s="2"/>
      <c r="P11" s="2"/>
      <c r="Q11" s="2"/>
      <c r="R11" s="2"/>
      <c r="S11" s="2"/>
    </row>
    <row r="12" spans="2:19">
      <c r="B12" s="2" t="s">
        <v>268</v>
      </c>
      <c r="C12" s="153">
        <v>1</v>
      </c>
      <c r="D12" s="2"/>
      <c r="E12" s="2"/>
      <c r="F12" s="2"/>
      <c r="G12" s="2"/>
      <c r="H12" s="2"/>
      <c r="I12" s="2"/>
      <c r="J12" s="2"/>
      <c r="K12" s="2"/>
      <c r="L12" s="2"/>
      <c r="M12" s="2"/>
      <c r="N12" s="2"/>
      <c r="O12" s="2"/>
      <c r="P12" s="2"/>
      <c r="Q12" s="2"/>
      <c r="R12" s="2"/>
      <c r="S12" s="2"/>
    </row>
    <row r="13" spans="2:19">
      <c r="B13" s="2" t="s">
        <v>491</v>
      </c>
      <c r="C13" s="153">
        <v>1</v>
      </c>
      <c r="D13" s="2"/>
      <c r="E13" s="2"/>
      <c r="F13" s="2"/>
      <c r="G13" s="544" t="s">
        <v>106</v>
      </c>
      <c r="H13" s="544"/>
      <c r="I13" s="544"/>
      <c r="J13" s="544"/>
      <c r="K13" s="544"/>
      <c r="L13" s="544"/>
      <c r="M13" s="544"/>
      <c r="N13" s="544"/>
      <c r="O13" s="544"/>
      <c r="P13" s="2"/>
      <c r="Q13" s="2"/>
      <c r="R13" s="2"/>
      <c r="S13" s="2"/>
    </row>
    <row r="14" spans="2:19">
      <c r="B14" s="2" t="s">
        <v>492</v>
      </c>
      <c r="C14" s="153">
        <v>1</v>
      </c>
      <c r="D14" s="2"/>
      <c r="E14" s="2"/>
      <c r="F14" s="2"/>
      <c r="G14" s="541" t="s">
        <v>109</v>
      </c>
      <c r="H14" s="542"/>
      <c r="I14" s="542"/>
      <c r="J14" s="542"/>
      <c r="K14" s="543"/>
      <c r="L14" s="541" t="s">
        <v>110</v>
      </c>
      <c r="M14" s="542"/>
      <c r="N14" s="542"/>
      <c r="O14" s="543"/>
      <c r="P14" s="2"/>
      <c r="Q14" s="2"/>
      <c r="R14" s="2"/>
      <c r="S14" s="2"/>
    </row>
    <row r="15" spans="2:19" ht="42">
      <c r="B15" s="2" t="s">
        <v>505</v>
      </c>
      <c r="C15" s="153">
        <v>1</v>
      </c>
      <c r="D15" s="2"/>
      <c r="E15" s="2"/>
      <c r="F15" s="2"/>
      <c r="G15" s="280" t="s">
        <v>54</v>
      </c>
      <c r="H15" s="196" t="s">
        <v>89</v>
      </c>
      <c r="I15" s="196" t="s">
        <v>90</v>
      </c>
      <c r="J15" s="196" t="s">
        <v>107</v>
      </c>
      <c r="K15" s="197" t="s">
        <v>108</v>
      </c>
      <c r="L15" s="196" t="s">
        <v>89</v>
      </c>
      <c r="M15" s="196" t="s">
        <v>90</v>
      </c>
      <c r="N15" s="196" t="s">
        <v>107</v>
      </c>
      <c r="O15" s="197" t="s">
        <v>108</v>
      </c>
      <c r="P15" s="2"/>
      <c r="Q15" s="2"/>
      <c r="R15" s="2"/>
      <c r="S15" s="2"/>
    </row>
    <row r="16" spans="2:19">
      <c r="B16" s="2" t="s">
        <v>504</v>
      </c>
      <c r="C16" s="153">
        <v>1</v>
      </c>
      <c r="D16" s="2"/>
      <c r="E16" s="2"/>
      <c r="F16" s="2"/>
      <c r="G16" s="280">
        <v>1</v>
      </c>
      <c r="H16" s="155">
        <v>0</v>
      </c>
      <c r="I16" s="155">
        <f t="shared" ref="I16:I21" si="1">J5</f>
        <v>1695.0670886238042</v>
      </c>
      <c r="J16" s="155">
        <f>H16-I16</f>
        <v>-1695.0670886238042</v>
      </c>
      <c r="K16" s="156">
        <f>J16</f>
        <v>-1695.0670886238042</v>
      </c>
      <c r="L16" s="155">
        <f t="shared" ref="L16:L21" si="2">C$34</f>
        <v>175</v>
      </c>
      <c r="M16" s="155">
        <f t="shared" ref="M16:M21" si="3">L5</f>
        <v>153.75</v>
      </c>
      <c r="N16" s="155">
        <f>L16-M16</f>
        <v>21.25</v>
      </c>
      <c r="O16" s="156">
        <f>N16</f>
        <v>21.25</v>
      </c>
      <c r="P16" s="208"/>
      <c r="Q16" s="2"/>
      <c r="R16" s="2"/>
      <c r="S16" s="2"/>
    </row>
    <row r="17" spans="2:19">
      <c r="B17" s="2" t="s">
        <v>266</v>
      </c>
      <c r="C17" s="153">
        <v>1</v>
      </c>
      <c r="D17" s="2"/>
      <c r="E17" s="2"/>
      <c r="F17" s="2"/>
      <c r="G17" s="176">
        <v>2</v>
      </c>
      <c r="H17" s="155">
        <f>BASEBUDGETS!F517/BASEBUDGETS!C511</f>
        <v>1760</v>
      </c>
      <c r="I17" s="155">
        <f t="shared" si="1"/>
        <v>286.69588065724167</v>
      </c>
      <c r="J17" s="155">
        <f>H17-I17</f>
        <v>1473.3041193427584</v>
      </c>
      <c r="K17" s="156">
        <f>J17+K16</f>
        <v>-221.7629692810458</v>
      </c>
      <c r="L17" s="155">
        <f t="shared" si="2"/>
        <v>175</v>
      </c>
      <c r="M17" s="155">
        <f t="shared" si="3"/>
        <v>154.50374999999997</v>
      </c>
      <c r="N17" s="155">
        <f t="shared" ref="N17:N21" si="4">L17-M17</f>
        <v>20.496250000000032</v>
      </c>
      <c r="O17" s="156">
        <f>N17+O16</f>
        <v>41.746250000000032</v>
      </c>
      <c r="P17" s="208"/>
      <c r="Q17" s="2"/>
      <c r="R17" s="2"/>
      <c r="S17" s="2"/>
    </row>
    <row r="18" spans="2:19">
      <c r="B18" s="72" t="s">
        <v>260</v>
      </c>
      <c r="C18" s="203">
        <v>1</v>
      </c>
      <c r="D18" s="2"/>
      <c r="E18" s="2"/>
      <c r="F18" s="2"/>
      <c r="G18" s="176">
        <v>3</v>
      </c>
      <c r="H18" s="155">
        <v>0</v>
      </c>
      <c r="I18" s="155">
        <f t="shared" si="1"/>
        <v>350.59241255735219</v>
      </c>
      <c r="J18" s="155">
        <f t="shared" ref="J18:J21" si="5">H18-I18</f>
        <v>-350.59241255735219</v>
      </c>
      <c r="K18" s="156">
        <f t="shared" ref="K18:K21" si="6">J18+K17</f>
        <v>-572.35538183839799</v>
      </c>
      <c r="L18" s="155">
        <f t="shared" si="2"/>
        <v>175</v>
      </c>
      <c r="M18" s="155">
        <f t="shared" si="3"/>
        <v>152.26126874999994</v>
      </c>
      <c r="N18" s="155">
        <f t="shared" si="4"/>
        <v>22.738731250000058</v>
      </c>
      <c r="O18" s="156">
        <f t="shared" ref="O18:O21" si="7">N18+O17</f>
        <v>64.484981250000089</v>
      </c>
      <c r="P18" s="208"/>
      <c r="Q18" s="2"/>
      <c r="R18" s="2"/>
      <c r="S18" s="2"/>
    </row>
    <row r="19" spans="2:19">
      <c r="B19" s="2"/>
      <c r="C19" s="226"/>
      <c r="D19" s="2"/>
      <c r="E19" s="2"/>
      <c r="F19" s="2"/>
      <c r="G19" s="176">
        <v>4</v>
      </c>
      <c r="H19" s="155">
        <f>BASEBUDGETS!F517/BASEBUDGETS!C511</f>
        <v>1760</v>
      </c>
      <c r="I19" s="155">
        <f t="shared" si="1"/>
        <v>286.69588065724167</v>
      </c>
      <c r="J19" s="155">
        <f t="shared" si="5"/>
        <v>1473.3041193427584</v>
      </c>
      <c r="K19" s="156">
        <f t="shared" si="6"/>
        <v>900.94873750436045</v>
      </c>
      <c r="L19" s="155">
        <f t="shared" si="2"/>
        <v>175</v>
      </c>
      <c r="M19" s="155">
        <f t="shared" si="3"/>
        <v>156.02257509374988</v>
      </c>
      <c r="N19" s="155">
        <f t="shared" si="4"/>
        <v>18.977424906250121</v>
      </c>
      <c r="O19" s="156">
        <f t="shared" si="7"/>
        <v>83.462406156250211</v>
      </c>
      <c r="P19" s="208"/>
      <c r="Q19" s="2"/>
      <c r="R19" s="2"/>
      <c r="S19" s="2"/>
    </row>
    <row r="20" spans="2:19">
      <c r="B20" s="540"/>
      <c r="C20" s="540"/>
      <c r="D20" s="540"/>
      <c r="E20" s="357"/>
      <c r="F20" s="357"/>
      <c r="G20" s="176">
        <v>5</v>
      </c>
      <c r="H20" s="155">
        <v>0</v>
      </c>
      <c r="I20" s="155">
        <f t="shared" si="1"/>
        <v>350.59241255735219</v>
      </c>
      <c r="J20" s="155">
        <f t="shared" si="5"/>
        <v>-350.59241255735219</v>
      </c>
      <c r="K20" s="156">
        <f t="shared" si="6"/>
        <v>550.35632494700826</v>
      </c>
      <c r="L20" s="155">
        <f t="shared" si="2"/>
        <v>175</v>
      </c>
      <c r="M20" s="155">
        <f t="shared" si="3"/>
        <v>153.78768796921861</v>
      </c>
      <c r="N20" s="155">
        <f t="shared" si="4"/>
        <v>21.212312030781391</v>
      </c>
      <c r="O20" s="156">
        <f t="shared" si="7"/>
        <v>104.6747181870316</v>
      </c>
      <c r="P20" s="208"/>
      <c r="Q20" s="2"/>
      <c r="R20" s="2"/>
      <c r="S20" s="2"/>
    </row>
    <row r="21" spans="2:19">
      <c r="B21" s="545" t="s">
        <v>358</v>
      </c>
      <c r="C21" s="545"/>
      <c r="D21" s="286"/>
      <c r="E21" s="286"/>
      <c r="F21" s="286"/>
      <c r="G21" s="254">
        <v>6</v>
      </c>
      <c r="H21" s="198">
        <f>BASEBUDGETS!F517/BASEBUDGETS!C511</f>
        <v>1760</v>
      </c>
      <c r="I21" s="194">
        <f t="shared" si="1"/>
        <v>286.69588065724167</v>
      </c>
      <c r="J21" s="194">
        <f t="shared" si="5"/>
        <v>1473.3041193427584</v>
      </c>
      <c r="K21" s="195">
        <f t="shared" si="6"/>
        <v>2023.6604442897667</v>
      </c>
      <c r="L21" s="194">
        <f t="shared" si="2"/>
        <v>175</v>
      </c>
      <c r="M21" s="194">
        <f t="shared" si="3"/>
        <v>157.55662640906468</v>
      </c>
      <c r="N21" s="194">
        <f t="shared" si="4"/>
        <v>17.443373590935323</v>
      </c>
      <c r="O21" s="195">
        <f t="shared" si="7"/>
        <v>122.11809177796692</v>
      </c>
      <c r="P21" s="208"/>
      <c r="Q21" s="2"/>
      <c r="R21" s="2"/>
      <c r="S21" s="2"/>
    </row>
    <row r="22" spans="2:19">
      <c r="B22" s="546"/>
      <c r="C22" s="546"/>
      <c r="D22" s="2"/>
      <c r="E22" s="2"/>
      <c r="F22" s="2"/>
      <c r="G22" s="2"/>
      <c r="H22" s="2"/>
      <c r="I22" s="2"/>
      <c r="J22" s="2"/>
      <c r="K22" s="2"/>
      <c r="L22" s="2"/>
      <c r="M22" s="2"/>
      <c r="N22" s="2"/>
      <c r="O22" s="2"/>
      <c r="P22" s="208"/>
      <c r="Q22" s="2"/>
      <c r="R22" s="2"/>
      <c r="S22" s="2"/>
    </row>
    <row r="23" spans="2:19">
      <c r="B23" s="380" t="s">
        <v>351</v>
      </c>
      <c r="C23" s="381">
        <v>7.0000000000000007E-2</v>
      </c>
      <c r="D23" s="2"/>
      <c r="E23" s="2"/>
      <c r="F23" s="2"/>
      <c r="G23" s="2"/>
      <c r="H23" s="2"/>
      <c r="I23" s="2"/>
      <c r="J23" s="2"/>
      <c r="K23" s="2"/>
      <c r="L23" s="2"/>
      <c r="M23" s="2"/>
      <c r="N23" s="2"/>
      <c r="O23" s="2"/>
      <c r="P23" s="208"/>
      <c r="Q23" s="2"/>
      <c r="R23" s="2"/>
      <c r="S23" s="2"/>
    </row>
    <row r="24" spans="2:19">
      <c r="B24" s="380" t="s">
        <v>352</v>
      </c>
      <c r="C24" s="381">
        <v>7.0000000000000007E-2</v>
      </c>
      <c r="D24" s="2"/>
      <c r="E24" s="2"/>
      <c r="F24" s="2"/>
      <c r="G24" s="2"/>
      <c r="H24" s="2"/>
      <c r="I24" s="2"/>
      <c r="J24" s="2"/>
      <c r="K24" s="2"/>
      <c r="L24" s="2"/>
      <c r="M24" s="2"/>
      <c r="N24" s="2"/>
      <c r="O24" s="2"/>
      <c r="P24" s="116"/>
      <c r="Q24" s="2"/>
      <c r="R24" s="2"/>
      <c r="S24" s="2"/>
    </row>
    <row r="25" spans="2:19" ht="15" customHeight="1">
      <c r="B25" s="2" t="s">
        <v>353</v>
      </c>
      <c r="C25" s="282">
        <v>22000</v>
      </c>
      <c r="D25" s="2"/>
      <c r="E25" s="2"/>
      <c r="F25" s="2"/>
      <c r="G25" s="2"/>
      <c r="H25" s="2"/>
      <c r="I25" s="2"/>
      <c r="J25" s="2"/>
      <c r="K25" s="2"/>
      <c r="L25" s="2"/>
      <c r="M25" s="2"/>
      <c r="N25" s="2"/>
      <c r="O25" s="2"/>
      <c r="P25" s="116"/>
      <c r="Q25" s="2"/>
      <c r="R25" s="2"/>
      <c r="S25" s="2"/>
    </row>
    <row r="26" spans="2:19" ht="15" customHeight="1">
      <c r="B26" s="72" t="s">
        <v>354</v>
      </c>
      <c r="C26" s="283">
        <v>22000</v>
      </c>
      <c r="D26" s="2"/>
      <c r="E26" s="2"/>
      <c r="F26" s="2"/>
      <c r="G26" s="2"/>
      <c r="H26" s="2"/>
      <c r="I26" s="2"/>
      <c r="J26" s="2"/>
      <c r="K26" s="2"/>
      <c r="L26" s="2"/>
      <c r="M26" s="2"/>
      <c r="N26" s="2"/>
      <c r="O26" s="2"/>
      <c r="P26" s="116"/>
      <c r="Q26" s="2"/>
      <c r="R26" s="2"/>
      <c r="S26" s="2"/>
    </row>
    <row r="27" spans="2:19" ht="15" customHeight="1">
      <c r="B27" s="2" t="s">
        <v>426</v>
      </c>
      <c r="C27" s="226">
        <v>0.06</v>
      </c>
      <c r="D27" s="2"/>
      <c r="E27" s="2"/>
      <c r="F27" s="2"/>
      <c r="G27" s="2"/>
      <c r="H27" s="2"/>
      <c r="I27" s="2"/>
      <c r="J27" s="2"/>
      <c r="K27" s="2"/>
      <c r="L27" s="2"/>
      <c r="M27" s="2"/>
      <c r="N27" s="2"/>
      <c r="O27" s="2"/>
      <c r="P27" s="116"/>
      <c r="Q27" s="2"/>
      <c r="R27" s="2"/>
      <c r="S27" s="2"/>
    </row>
    <row r="28" spans="2:19" ht="15" customHeight="1">
      <c r="B28" s="2"/>
      <c r="C28" s="226"/>
      <c r="D28" s="2"/>
      <c r="E28" s="2"/>
      <c r="F28" s="2"/>
      <c r="G28" s="2"/>
      <c r="H28" s="2"/>
      <c r="I28" s="2"/>
      <c r="J28" s="2"/>
      <c r="K28" s="2"/>
      <c r="L28" s="2"/>
      <c r="M28" s="2"/>
      <c r="N28" s="2"/>
      <c r="O28" s="2"/>
      <c r="P28" s="116"/>
      <c r="Q28" s="2"/>
      <c r="R28" s="2"/>
      <c r="S28" s="2"/>
    </row>
    <row r="29" spans="2:19" ht="82.8">
      <c r="B29" s="298" t="s">
        <v>441</v>
      </c>
      <c r="C29" s="281" t="s">
        <v>203</v>
      </c>
      <c r="D29" s="190" t="s">
        <v>510</v>
      </c>
      <c r="E29" s="191" t="s">
        <v>366</v>
      </c>
      <c r="F29" s="382"/>
      <c r="G29" s="2"/>
      <c r="H29" s="2"/>
      <c r="I29" s="2"/>
      <c r="J29" s="2"/>
      <c r="K29" s="2"/>
      <c r="L29" s="2"/>
      <c r="M29" s="2"/>
      <c r="N29" s="2"/>
      <c r="O29" s="2"/>
      <c r="P29" s="358"/>
      <c r="Q29" s="2"/>
      <c r="R29" s="2"/>
      <c r="S29" s="2"/>
    </row>
    <row r="30" spans="2:19">
      <c r="B30" s="287" t="s">
        <v>258</v>
      </c>
      <c r="C30" s="290">
        <f>K11/I11</f>
        <v>0.78888490559421731</v>
      </c>
      <c r="D30" s="284">
        <f>C30*(Q6+Q8+Q10)-K11</f>
        <v>474.44579309656046</v>
      </c>
      <c r="E30" s="285">
        <f>C30*(R6+R8+R10)</f>
        <v>0</v>
      </c>
      <c r="F30" s="155"/>
      <c r="G30" s="2"/>
      <c r="H30" s="2"/>
      <c r="I30" s="2"/>
      <c r="J30" s="2"/>
      <c r="K30" s="2"/>
      <c r="L30" s="2"/>
      <c r="M30" s="2"/>
      <c r="N30" s="2"/>
      <c r="O30" s="2"/>
      <c r="P30" s="155"/>
      <c r="Q30" s="2"/>
      <c r="R30" s="2"/>
      <c r="S30" s="2"/>
    </row>
    <row r="31" spans="2:19">
      <c r="B31" s="288" t="s">
        <v>259</v>
      </c>
      <c r="C31" s="290">
        <f>M11/I11</f>
        <v>0.21111509440578266</v>
      </c>
      <c r="D31" s="284">
        <f>C31*(Q6+Q8+Q10)-M11</f>
        <v>126.96740385032535</v>
      </c>
      <c r="E31" s="285">
        <f>C31*(R6+R8+R10)</f>
        <v>0</v>
      </c>
      <c r="F31" s="155"/>
      <c r="G31" s="2"/>
      <c r="H31" s="2"/>
      <c r="I31" s="2"/>
      <c r="J31" s="2"/>
      <c r="K31" s="2"/>
      <c r="L31" s="2"/>
      <c r="M31" s="2"/>
      <c r="N31" s="2"/>
      <c r="O31" s="2"/>
      <c r="P31" s="155"/>
      <c r="Q31" s="2"/>
      <c r="R31" s="2"/>
      <c r="S31" s="2"/>
    </row>
    <row r="32" spans="2:19">
      <c r="B32" s="289" t="s">
        <v>256</v>
      </c>
      <c r="C32" s="291">
        <f>SUM(M16:M21)/6</f>
        <v>154.64698470367219</v>
      </c>
      <c r="D32" s="127" t="s">
        <v>10</v>
      </c>
      <c r="E32" s="157"/>
      <c r="F32" s="2"/>
      <c r="G32" s="2"/>
      <c r="H32" s="2"/>
      <c r="I32" s="2"/>
      <c r="J32" s="2"/>
      <c r="K32" s="2"/>
      <c r="L32" s="2"/>
      <c r="M32" s="2"/>
      <c r="N32" s="2"/>
      <c r="O32" s="2"/>
      <c r="P32" s="155"/>
      <c r="Q32" s="2"/>
      <c r="R32" s="2"/>
      <c r="S32" s="2"/>
    </row>
    <row r="33" spans="2:19">
      <c r="B33" s="289" t="s">
        <v>257</v>
      </c>
      <c r="C33" s="291">
        <f>(I43/6)</f>
        <v>226.89740930111961</v>
      </c>
      <c r="D33" s="209" t="s">
        <v>10</v>
      </c>
      <c r="E33" s="157"/>
      <c r="F33" s="2"/>
      <c r="G33" s="2"/>
      <c r="H33" s="2"/>
      <c r="I33" s="2"/>
      <c r="J33" s="2"/>
      <c r="K33" s="2"/>
      <c r="L33" s="2"/>
      <c r="M33" s="2"/>
      <c r="N33" s="2"/>
      <c r="O33" s="2"/>
      <c r="P33" s="155"/>
      <c r="Q33" s="2"/>
      <c r="R33" s="2"/>
      <c r="S33" s="2"/>
    </row>
    <row r="34" spans="2:19">
      <c r="B34" s="293" t="s">
        <v>356</v>
      </c>
      <c r="C34" s="292">
        <v>175</v>
      </c>
      <c r="D34" s="2"/>
      <c r="E34" s="157"/>
      <c r="F34" s="2"/>
      <c r="G34" s="2"/>
      <c r="H34" s="2"/>
      <c r="I34" s="2"/>
      <c r="J34" s="2"/>
      <c r="K34" s="2"/>
      <c r="L34" s="2"/>
      <c r="M34" s="2"/>
      <c r="N34" s="2"/>
      <c r="O34" s="2"/>
      <c r="P34" s="155"/>
      <c r="Q34" s="2"/>
      <c r="R34" s="2"/>
      <c r="S34" s="2"/>
    </row>
    <row r="35" spans="2:19">
      <c r="B35" s="294" t="s">
        <v>355</v>
      </c>
      <c r="C35" s="297">
        <f>C34*((C24/C23)*(C26/C25))</f>
        <v>175</v>
      </c>
      <c r="D35" s="295"/>
      <c r="E35" s="296"/>
      <c r="F35" s="2"/>
      <c r="G35" s="2"/>
      <c r="H35" s="2"/>
      <c r="I35" s="2"/>
      <c r="J35" s="2"/>
      <c r="K35" s="2"/>
      <c r="L35" s="2"/>
      <c r="M35" s="2"/>
      <c r="N35" s="2"/>
      <c r="O35" s="2"/>
      <c r="P35" s="155"/>
      <c r="Q35" s="2"/>
      <c r="R35" s="2"/>
      <c r="S35" s="2"/>
    </row>
    <row r="36" spans="2:19" ht="15.9" customHeight="1">
      <c r="B36" s="2"/>
      <c r="C36" s="2"/>
      <c r="D36" s="2"/>
      <c r="E36" s="2"/>
      <c r="F36" s="2"/>
      <c r="G36" s="2"/>
      <c r="H36" s="199"/>
      <c r="I36" s="200"/>
      <c r="J36" s="199"/>
      <c r="K36" s="199"/>
      <c r="L36" s="2"/>
      <c r="M36" s="2"/>
      <c r="N36" s="2"/>
      <c r="O36" s="2"/>
      <c r="P36" s="2"/>
      <c r="Q36" s="2"/>
      <c r="R36" s="2"/>
      <c r="S36" s="2"/>
    </row>
    <row r="37" spans="2:19" hidden="1">
      <c r="B37" s="2"/>
      <c r="C37" s="2"/>
      <c r="D37" s="2"/>
      <c r="E37" s="2"/>
      <c r="F37" s="2"/>
      <c r="G37" s="2"/>
      <c r="H37" s="155"/>
      <c r="I37" s="201">
        <f>J16*((1+C27)^-G16)</f>
        <v>-1599.119894928117</v>
      </c>
      <c r="J37" s="155"/>
      <c r="K37" s="201"/>
      <c r="L37" s="2"/>
      <c r="M37" s="2"/>
      <c r="N37" s="2"/>
      <c r="O37" s="2"/>
      <c r="P37" s="2"/>
      <c r="Q37" s="2"/>
      <c r="R37" s="2"/>
      <c r="S37" s="2"/>
    </row>
    <row r="38" spans="2:19" hidden="1">
      <c r="B38" s="2"/>
      <c r="C38" s="2"/>
      <c r="D38" s="2"/>
      <c r="E38" s="2"/>
      <c r="F38" s="2"/>
      <c r="G38" s="2"/>
      <c r="H38" s="155"/>
      <c r="I38" s="201">
        <f>J17*((1+C27)^-G17)</f>
        <v>1311.2354212733699</v>
      </c>
      <c r="J38" s="155"/>
      <c r="K38" s="201"/>
      <c r="L38" s="2"/>
      <c r="M38" s="2"/>
      <c r="N38" s="2"/>
      <c r="O38" s="2"/>
      <c r="P38" s="2"/>
      <c r="Q38" s="2"/>
      <c r="R38" s="2"/>
      <c r="S38" s="2"/>
    </row>
    <row r="39" spans="2:19" hidden="1">
      <c r="B39" s="2"/>
      <c r="C39" s="2"/>
      <c r="D39" s="2"/>
      <c r="E39" s="2"/>
      <c r="F39" s="2"/>
      <c r="G39" s="2"/>
      <c r="H39" s="155"/>
      <c r="I39" s="201">
        <f>J18*((1+C27)^-G18)</f>
        <v>-294.36415006796892</v>
      </c>
      <c r="J39" s="155"/>
      <c r="K39" s="201"/>
      <c r="L39" s="2"/>
      <c r="M39" s="2"/>
      <c r="N39" s="2"/>
      <c r="O39" s="2"/>
      <c r="P39" s="2"/>
      <c r="Q39" s="2"/>
      <c r="R39" s="2"/>
      <c r="S39" s="2"/>
    </row>
    <row r="40" spans="2:19" hidden="1">
      <c r="B40" s="2"/>
      <c r="C40" s="2"/>
      <c r="D40" s="2"/>
      <c r="E40" s="2"/>
      <c r="F40" s="2"/>
      <c r="G40" s="2"/>
      <c r="H40" s="155"/>
      <c r="I40" s="201">
        <f>J19*((1+C27)^-G19)</f>
        <v>1166.9948569538712</v>
      </c>
      <c r="J40" s="155"/>
      <c r="K40" s="201"/>
      <c r="L40" s="2"/>
      <c r="M40" s="2"/>
      <c r="N40" s="2"/>
      <c r="O40" s="2"/>
      <c r="P40" s="2"/>
      <c r="Q40" s="2"/>
      <c r="R40" s="2"/>
      <c r="S40" s="2"/>
    </row>
    <row r="41" spans="2:19" hidden="1">
      <c r="B41" s="2"/>
      <c r="C41" s="2"/>
      <c r="D41" s="2"/>
      <c r="E41" s="2"/>
      <c r="F41" s="2"/>
      <c r="G41" s="2"/>
      <c r="H41" s="155"/>
      <c r="I41" s="201">
        <f>J20*((1+C27)^-G20)</f>
        <v>-261.98304562830981</v>
      </c>
      <c r="J41" s="155"/>
      <c r="K41" s="201"/>
      <c r="L41" s="2"/>
      <c r="M41" s="2"/>
      <c r="N41" s="2"/>
      <c r="O41" s="2"/>
      <c r="P41" s="2"/>
      <c r="Q41" s="2"/>
      <c r="R41" s="2"/>
      <c r="S41" s="2"/>
    </row>
    <row r="42" spans="2:19" hidden="1">
      <c r="B42" s="2"/>
      <c r="C42" s="2"/>
      <c r="D42" s="2"/>
      <c r="E42" s="2"/>
      <c r="F42" s="2"/>
      <c r="G42" s="2"/>
      <c r="H42" s="192"/>
      <c r="I42" s="202">
        <f>J21*((1+C27)^-G21)</f>
        <v>1038.6212682038722</v>
      </c>
      <c r="J42" s="192"/>
      <c r="K42" s="202"/>
      <c r="L42" s="2"/>
      <c r="M42" s="2"/>
      <c r="N42" s="2"/>
      <c r="O42" s="2"/>
      <c r="P42" s="2"/>
      <c r="Q42" s="2"/>
      <c r="R42" s="2"/>
      <c r="S42" s="2"/>
    </row>
    <row r="43" spans="2:19" hidden="1">
      <c r="B43" s="2"/>
      <c r="C43" s="2"/>
      <c r="D43" s="2"/>
      <c r="E43" s="2"/>
      <c r="F43" s="2"/>
      <c r="G43" s="2"/>
      <c r="H43" s="155"/>
      <c r="I43" s="155">
        <f>SUM(I37:I42)</f>
        <v>1361.3844558067176</v>
      </c>
      <c r="J43" s="155"/>
      <c r="K43" s="155"/>
      <c r="L43" s="2"/>
      <c r="M43" s="2"/>
      <c r="N43" s="2"/>
      <c r="O43" s="2"/>
      <c r="P43" s="2"/>
      <c r="Q43" s="2"/>
      <c r="R43" s="2"/>
      <c r="S43" s="2"/>
    </row>
    <row r="44" spans="2:19">
      <c r="B44" s="2"/>
      <c r="C44" s="2"/>
      <c r="D44" s="2"/>
      <c r="E44" s="2"/>
      <c r="F44" s="2"/>
      <c r="G44" s="2"/>
      <c r="H44" s="2"/>
      <c r="I44" s="2"/>
      <c r="J44" s="2"/>
      <c r="K44" s="2"/>
      <c r="L44" s="2"/>
      <c r="M44" s="2"/>
      <c r="N44" s="2"/>
      <c r="O44" s="2"/>
      <c r="P44" s="2"/>
      <c r="Q44" s="2"/>
      <c r="R44" s="2"/>
      <c r="S44" s="2"/>
    </row>
    <row r="45" spans="2:19">
      <c r="B45" s="2"/>
      <c r="C45" s="2"/>
      <c r="D45" s="2"/>
      <c r="E45" s="2"/>
      <c r="F45" s="2"/>
      <c r="G45" s="2"/>
      <c r="H45" s="2"/>
      <c r="I45" s="2"/>
      <c r="J45" s="2"/>
      <c r="K45" s="2"/>
      <c r="L45" s="2"/>
      <c r="M45" s="2"/>
      <c r="N45" s="2"/>
      <c r="O45" s="2"/>
      <c r="P45" s="2"/>
      <c r="Q45" s="2"/>
      <c r="R45" s="2"/>
      <c r="S45" s="2"/>
    </row>
    <row r="46" spans="2:19">
      <c r="B46" s="2"/>
      <c r="C46" s="2"/>
      <c r="D46" s="2"/>
      <c r="E46" s="2"/>
      <c r="F46" s="2"/>
      <c r="G46" s="2"/>
      <c r="H46" s="2"/>
      <c r="I46" s="2"/>
      <c r="J46" s="2"/>
      <c r="K46" s="2"/>
      <c r="L46" s="2"/>
      <c r="M46" s="2"/>
      <c r="N46" s="2"/>
      <c r="O46" s="2"/>
      <c r="P46" s="2"/>
    </row>
    <row r="47" spans="2:19">
      <c r="B47" s="2"/>
      <c r="C47" s="2"/>
      <c r="D47" s="2"/>
      <c r="E47" s="2"/>
      <c r="F47" s="2"/>
      <c r="G47" s="2"/>
      <c r="H47" s="2"/>
      <c r="I47" s="2"/>
      <c r="J47" s="2"/>
      <c r="K47" s="2"/>
      <c r="L47" s="2"/>
      <c r="M47" s="2"/>
      <c r="N47" s="2"/>
      <c r="O47" s="2"/>
      <c r="P47" s="2"/>
    </row>
    <row r="48" spans="2:19">
      <c r="B48" s="2"/>
      <c r="C48" s="2"/>
      <c r="D48" s="2"/>
      <c r="E48" s="2"/>
      <c r="F48" s="2"/>
      <c r="G48" s="2"/>
      <c r="H48" s="2"/>
      <c r="I48" s="2"/>
      <c r="J48" s="2"/>
      <c r="K48" s="2"/>
      <c r="L48" s="2"/>
      <c r="M48" s="2"/>
      <c r="N48" s="2"/>
      <c r="O48" s="2"/>
      <c r="P48" s="2"/>
    </row>
    <row r="49" spans="2:16">
      <c r="B49" s="2"/>
      <c r="C49" s="2"/>
      <c r="D49" s="2"/>
      <c r="E49" s="2"/>
      <c r="F49" s="2"/>
      <c r="G49" s="2"/>
      <c r="H49" s="2"/>
      <c r="I49" s="2"/>
      <c r="J49" s="2"/>
      <c r="K49" s="2"/>
      <c r="L49" s="2"/>
      <c r="M49" s="2"/>
      <c r="N49" s="2"/>
      <c r="O49" s="2"/>
      <c r="P49" s="2"/>
    </row>
    <row r="50" spans="2:16">
      <c r="B50" s="2"/>
      <c r="C50" s="2"/>
      <c r="D50" s="2"/>
      <c r="E50" s="2"/>
      <c r="F50" s="2"/>
      <c r="G50" s="2"/>
      <c r="H50" s="2"/>
      <c r="I50" s="2"/>
      <c r="J50" s="2"/>
      <c r="K50" s="2"/>
      <c r="L50" s="2"/>
      <c r="M50" s="2"/>
      <c r="N50" s="2"/>
      <c r="O50" s="2"/>
      <c r="P50" s="2"/>
    </row>
    <row r="51" spans="2:16">
      <c r="B51" s="2"/>
      <c r="C51" s="2"/>
      <c r="D51" s="2"/>
      <c r="E51" s="2"/>
      <c r="F51" s="2"/>
      <c r="G51" s="2"/>
      <c r="H51" s="2"/>
      <c r="I51" s="2"/>
      <c r="J51" s="2"/>
      <c r="K51" s="2"/>
      <c r="L51" s="2"/>
      <c r="M51" s="2"/>
      <c r="N51" s="2"/>
      <c r="O51" s="2"/>
      <c r="P51" s="2"/>
    </row>
    <row r="52" spans="2:16">
      <c r="B52" s="2"/>
      <c r="C52" s="2"/>
      <c r="D52" s="2"/>
      <c r="E52" s="2"/>
      <c r="F52" s="2"/>
      <c r="G52" s="2"/>
      <c r="H52" s="2"/>
      <c r="I52" s="2"/>
      <c r="J52" s="2"/>
      <c r="K52" s="2"/>
      <c r="L52" s="2"/>
      <c r="M52" s="2"/>
      <c r="N52" s="2"/>
      <c r="O52" s="2"/>
      <c r="P52" s="2"/>
    </row>
  </sheetData>
  <sheetProtection algorithmName="SHA-512" hashValue="tDFzc9BNSi1L1ud3vg69f76k8VFklEH6Xpazz5y+2+hRi/Kx1W7cP/4NpLHpw0p+nB/gm7Wrz7qpcB8RSPAn1A==" saltValue="Pl7X3ic3/gfs+XCqYCTxJw==" spinCount="100000" sheet="1" objects="1" scenarios="1"/>
  <mergeCells count="16">
    <mergeCell ref="Q3:R3"/>
    <mergeCell ref="Q4:R4"/>
    <mergeCell ref="B2:C2"/>
    <mergeCell ref="G2:M2"/>
    <mergeCell ref="G3:G4"/>
    <mergeCell ref="M3:M4"/>
    <mergeCell ref="H3:H4"/>
    <mergeCell ref="I3:I4"/>
    <mergeCell ref="J3:J4"/>
    <mergeCell ref="K3:K4"/>
    <mergeCell ref="L3:L4"/>
    <mergeCell ref="B20:D20"/>
    <mergeCell ref="G14:K14"/>
    <mergeCell ref="L14:O14"/>
    <mergeCell ref="G13:O13"/>
    <mergeCell ref="B21:C22"/>
  </mergeCells>
  <phoneticPr fontId="73" type="noConversion"/>
  <pageMargins left="0.7" right="0.7" top="0.75" bottom="0.75" header="0.3" footer="0.3"/>
  <pageSetup orientation="portrait" horizontalDpi="0" verticalDpi="0"/>
  <ignoredErrors>
    <ignoredError sqref="H7:L9" formula="1"/>
    <ignoredError sqref="C35" unlockedFormula="1"/>
  </ignoredError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469C5-723F-7F4D-BB5E-7B46769DB9C9}">
  <sheetPr codeName="Sheet29"/>
  <dimension ref="A1:T153"/>
  <sheetViews>
    <sheetView topLeftCell="A4" zoomScale="160" zoomScaleNormal="160" workbookViewId="0">
      <selection activeCell="C22" sqref="C22"/>
    </sheetView>
  </sheetViews>
  <sheetFormatPr defaultColWidth="11.44140625" defaultRowHeight="14.4"/>
  <cols>
    <col min="1" max="1" width="2.109375" style="2" customWidth="1"/>
    <col min="2" max="2" width="55.33203125" customWidth="1"/>
    <col min="3" max="3" width="10.44140625" customWidth="1"/>
    <col min="4" max="4" width="3.44140625" customWidth="1"/>
    <col min="5" max="5" width="10.88671875" customWidth="1"/>
    <col min="6" max="6" width="44" customWidth="1"/>
    <col min="7" max="7" width="10.88671875" customWidth="1"/>
    <col min="11" max="11" width="32.88671875" bestFit="1" customWidth="1"/>
    <col min="12" max="13" width="10.88671875" customWidth="1"/>
  </cols>
  <sheetData>
    <row r="1" spans="2:20">
      <c r="B1" s="2"/>
      <c r="C1" s="2"/>
      <c r="D1" s="2"/>
      <c r="E1" s="2"/>
      <c r="F1" s="2"/>
      <c r="G1" s="2"/>
      <c r="H1" s="2"/>
      <c r="I1" s="2"/>
      <c r="J1" s="2"/>
      <c r="K1" s="2"/>
      <c r="L1" s="2"/>
      <c r="M1" s="2"/>
      <c r="N1" s="2"/>
      <c r="O1" s="2"/>
      <c r="P1" s="2"/>
      <c r="Q1" s="2"/>
      <c r="R1" s="2"/>
      <c r="S1" s="2"/>
      <c r="T1" s="2"/>
    </row>
    <row r="2" spans="2:20">
      <c r="B2" s="2" t="s">
        <v>267</v>
      </c>
      <c r="C2" s="2"/>
      <c r="D2" s="263"/>
      <c r="E2" s="263"/>
      <c r="F2" s="557" t="s">
        <v>511</v>
      </c>
      <c r="G2" s="558"/>
      <c r="H2" s="2"/>
      <c r="I2" s="2"/>
      <c r="J2" s="2"/>
      <c r="K2" s="2"/>
      <c r="L2" s="2"/>
      <c r="M2" s="2"/>
      <c r="N2" s="2"/>
      <c r="O2" s="2"/>
      <c r="P2" s="2"/>
      <c r="Q2" s="2"/>
      <c r="R2" s="2"/>
      <c r="S2" s="2"/>
      <c r="T2" s="2"/>
    </row>
    <row r="3" spans="2:20">
      <c r="B3" s="204" t="s">
        <v>103</v>
      </c>
      <c r="C3" s="205">
        <v>5000</v>
      </c>
      <c r="D3" s="263"/>
      <c r="E3" s="263"/>
      <c r="F3" s="559"/>
      <c r="G3" s="560"/>
      <c r="H3" s="2"/>
      <c r="I3" s="2"/>
      <c r="J3" s="2"/>
      <c r="K3" s="2"/>
      <c r="L3" s="2"/>
      <c r="M3" s="2"/>
      <c r="N3" s="2"/>
      <c r="O3" s="2"/>
      <c r="P3" s="2"/>
      <c r="Q3" s="2"/>
      <c r="R3" s="2"/>
      <c r="S3" s="2"/>
      <c r="T3" s="2"/>
    </row>
    <row r="4" spans="2:20">
      <c r="B4" s="206" t="s">
        <v>101</v>
      </c>
      <c r="C4" s="207">
        <v>5.0000000000000001E-3</v>
      </c>
      <c r="D4" s="263"/>
      <c r="E4" s="263"/>
      <c r="F4" s="561" t="s">
        <v>203</v>
      </c>
      <c r="G4" s="562"/>
      <c r="H4" s="224"/>
      <c r="I4" s="224"/>
      <c r="J4" s="2"/>
      <c r="K4" s="2"/>
      <c r="L4" s="2"/>
      <c r="M4" s="2"/>
      <c r="N4" s="2"/>
      <c r="O4" s="2"/>
      <c r="P4" s="2"/>
      <c r="Q4" s="2"/>
      <c r="R4" s="2"/>
      <c r="S4" s="2"/>
      <c r="T4" s="2"/>
    </row>
    <row r="5" spans="2:20" ht="15" customHeight="1">
      <c r="B5" s="206" t="s">
        <v>102</v>
      </c>
      <c r="C5" s="207">
        <v>0.03</v>
      </c>
      <c r="D5" s="263"/>
      <c r="E5" s="263"/>
      <c r="F5" s="231" t="s">
        <v>258</v>
      </c>
      <c r="G5" s="232">
        <f>F22/(F22+I22)</f>
        <v>0.79440840097998211</v>
      </c>
      <c r="H5" s="2"/>
      <c r="I5" s="565"/>
      <c r="J5" s="2"/>
      <c r="K5" s="2"/>
      <c r="L5" s="2"/>
      <c r="M5" s="2"/>
      <c r="N5" s="2"/>
      <c r="O5" s="2"/>
      <c r="P5" s="2"/>
      <c r="Q5" s="2"/>
      <c r="R5" s="2"/>
      <c r="S5" s="2"/>
      <c r="T5" s="2"/>
    </row>
    <row r="6" spans="2:20">
      <c r="B6" s="206" t="s">
        <v>261</v>
      </c>
      <c r="C6" s="207">
        <v>1</v>
      </c>
      <c r="D6" s="2"/>
      <c r="E6" s="2"/>
      <c r="F6" s="233" t="s">
        <v>259</v>
      </c>
      <c r="G6" s="234">
        <f>1-G5</f>
        <v>0.20559159902001789</v>
      </c>
      <c r="H6" s="2"/>
      <c r="I6" s="565"/>
      <c r="J6" s="2"/>
      <c r="K6" s="2"/>
      <c r="L6" s="2"/>
      <c r="M6" s="2"/>
      <c r="N6" s="2"/>
      <c r="O6" s="2"/>
      <c r="P6" s="2"/>
      <c r="Q6" s="2"/>
      <c r="R6" s="2"/>
      <c r="S6" s="2"/>
      <c r="T6" s="2"/>
    </row>
    <row r="7" spans="2:20">
      <c r="B7" s="206" t="s">
        <v>255</v>
      </c>
      <c r="C7" s="207">
        <v>1</v>
      </c>
      <c r="D7" s="2"/>
      <c r="E7" s="2"/>
      <c r="F7" s="563" t="s">
        <v>271</v>
      </c>
      <c r="G7" s="564"/>
      <c r="H7" s="2"/>
      <c r="I7" s="155"/>
      <c r="J7" s="2"/>
      <c r="K7" s="2"/>
      <c r="L7" s="2"/>
      <c r="M7" s="2"/>
      <c r="N7" s="2"/>
      <c r="O7" s="2"/>
      <c r="P7" s="2"/>
      <c r="Q7" s="2"/>
      <c r="R7" s="2"/>
      <c r="S7" s="2"/>
      <c r="T7" s="2"/>
    </row>
    <row r="8" spans="2:20" ht="15" customHeight="1">
      <c r="B8" s="2" t="s">
        <v>262</v>
      </c>
      <c r="C8" s="153">
        <v>1</v>
      </c>
      <c r="D8" s="2"/>
      <c r="E8" s="2"/>
      <c r="F8" s="299" t="s">
        <v>256</v>
      </c>
      <c r="G8" s="300">
        <f>I22</f>
        <v>150.74999999999977</v>
      </c>
      <c r="H8" s="155"/>
      <c r="I8" s="155"/>
      <c r="J8" s="2"/>
      <c r="K8" s="2"/>
      <c r="L8" s="2"/>
      <c r="M8" s="2"/>
      <c r="N8" s="2"/>
      <c r="O8" s="2"/>
      <c r="P8" s="2"/>
      <c r="Q8" s="2"/>
      <c r="R8" s="2"/>
      <c r="S8" s="2"/>
      <c r="T8" s="2"/>
    </row>
    <row r="9" spans="2:20" ht="15" customHeight="1">
      <c r="B9" s="2" t="s">
        <v>263</v>
      </c>
      <c r="C9" s="153">
        <v>1</v>
      </c>
      <c r="D9" s="2"/>
      <c r="E9" s="2"/>
      <c r="F9" s="289" t="s">
        <v>257</v>
      </c>
      <c r="G9" s="301">
        <f>G22</f>
        <v>-232.49980552985392</v>
      </c>
      <c r="H9" s="155"/>
      <c r="I9" s="155"/>
      <c r="J9" s="2"/>
      <c r="K9" s="2"/>
      <c r="L9" s="2"/>
      <c r="M9" s="2"/>
      <c r="N9" s="2"/>
      <c r="O9" s="2"/>
      <c r="P9" s="2"/>
      <c r="Q9" s="2"/>
      <c r="R9" s="2"/>
      <c r="S9" s="2"/>
      <c r="T9" s="2"/>
    </row>
    <row r="10" spans="2:20">
      <c r="B10" s="2" t="s">
        <v>264</v>
      </c>
      <c r="C10" s="153">
        <v>1</v>
      </c>
      <c r="D10" s="2"/>
      <c r="E10" s="2"/>
      <c r="F10" s="293" t="s">
        <v>356</v>
      </c>
      <c r="G10" s="302">
        <v>175</v>
      </c>
      <c r="H10" s="155"/>
      <c r="I10" s="155"/>
      <c r="J10" s="2"/>
      <c r="K10" s="2"/>
      <c r="L10" s="2"/>
      <c r="M10" s="2"/>
      <c r="N10" s="2"/>
      <c r="O10" s="2"/>
      <c r="P10" s="2"/>
      <c r="Q10" s="2"/>
      <c r="R10" s="2"/>
      <c r="S10" s="2"/>
      <c r="T10" s="2"/>
    </row>
    <row r="11" spans="2:20">
      <c r="B11" s="2" t="s">
        <v>265</v>
      </c>
      <c r="C11" s="153">
        <v>1</v>
      </c>
      <c r="D11" s="2"/>
      <c r="E11" s="2"/>
      <c r="F11" s="541" t="s">
        <v>357</v>
      </c>
      <c r="G11" s="543"/>
      <c r="H11" s="155"/>
      <c r="I11" s="155"/>
      <c r="J11" s="2"/>
      <c r="K11" s="2"/>
      <c r="L11" s="2"/>
      <c r="M11" s="2"/>
      <c r="N11" s="2"/>
      <c r="O11" s="2"/>
      <c r="P11" s="2"/>
      <c r="Q11" s="2"/>
      <c r="R11" s="2"/>
      <c r="S11" s="2"/>
      <c r="T11" s="2"/>
    </row>
    <row r="12" spans="2:20">
      <c r="B12" s="2" t="s">
        <v>268</v>
      </c>
      <c r="C12" s="153">
        <v>1</v>
      </c>
      <c r="D12" s="2"/>
      <c r="E12" s="2"/>
      <c r="F12" s="294" t="s">
        <v>355</v>
      </c>
      <c r="G12" s="303">
        <f>G10*((C23/C22)*(C25/C24))</f>
        <v>175</v>
      </c>
      <c r="H12" s="192"/>
      <c r="I12" s="155"/>
      <c r="J12" s="2"/>
      <c r="K12" s="2"/>
      <c r="L12" s="2"/>
      <c r="M12" s="2"/>
      <c r="N12" s="2"/>
      <c r="O12" s="2"/>
      <c r="P12" s="2"/>
      <c r="Q12" s="2"/>
      <c r="R12" s="2"/>
      <c r="S12" s="2"/>
      <c r="T12" s="2"/>
    </row>
    <row r="13" spans="2:20">
      <c r="B13" s="2" t="s">
        <v>491</v>
      </c>
      <c r="C13" s="153">
        <v>1</v>
      </c>
      <c r="D13" s="2"/>
      <c r="E13" s="2"/>
      <c r="F13" s="2"/>
      <c r="G13" s="2"/>
      <c r="H13" s="155"/>
      <c r="I13" s="155"/>
      <c r="J13" s="2"/>
      <c r="K13" s="2"/>
      <c r="L13" s="2"/>
      <c r="M13" s="2"/>
      <c r="N13" s="2"/>
      <c r="O13" s="2"/>
      <c r="P13" s="2"/>
      <c r="Q13" s="2"/>
      <c r="R13" s="2"/>
      <c r="S13" s="2"/>
      <c r="T13" s="2"/>
    </row>
    <row r="14" spans="2:20">
      <c r="B14" s="2" t="s">
        <v>492</v>
      </c>
      <c r="C14" s="153">
        <v>1</v>
      </c>
      <c r="D14" s="2"/>
      <c r="E14" s="2"/>
      <c r="F14" s="2"/>
      <c r="G14" s="2"/>
      <c r="H14" s="155"/>
      <c r="I14" s="155"/>
      <c r="J14" s="2"/>
      <c r="K14" s="2"/>
      <c r="L14" s="2"/>
      <c r="M14" s="2"/>
      <c r="N14" s="2"/>
      <c r="O14" s="2"/>
      <c r="P14" s="2"/>
      <c r="Q14" s="2"/>
      <c r="R14" s="2"/>
      <c r="S14" s="2"/>
      <c r="T14" s="2"/>
    </row>
    <row r="15" spans="2:20">
      <c r="B15" s="2" t="s">
        <v>505</v>
      </c>
      <c r="C15" s="153">
        <v>1</v>
      </c>
      <c r="D15" s="2"/>
      <c r="E15" s="2"/>
      <c r="F15" s="2"/>
      <c r="G15" s="2"/>
      <c r="H15" s="155"/>
      <c r="I15" s="155"/>
      <c r="J15" s="2"/>
      <c r="K15" s="2"/>
      <c r="L15" s="2"/>
      <c r="M15" s="2"/>
      <c r="N15" s="2"/>
      <c r="O15" s="2"/>
      <c r="P15" s="2"/>
      <c r="Q15" s="2"/>
      <c r="R15" s="2"/>
      <c r="S15" s="2"/>
      <c r="T15" s="2"/>
    </row>
    <row r="16" spans="2:20">
      <c r="B16" s="2" t="s">
        <v>504</v>
      </c>
      <c r="C16" s="153">
        <v>1</v>
      </c>
      <c r="D16" s="2"/>
      <c r="E16" s="2"/>
      <c r="F16" s="127" t="s">
        <v>10</v>
      </c>
      <c r="G16" s="2"/>
      <c r="H16" s="2"/>
      <c r="I16" s="2"/>
      <c r="J16" s="2"/>
      <c r="K16" s="2"/>
      <c r="L16" s="2"/>
      <c r="M16" s="2"/>
      <c r="N16" s="2"/>
      <c r="O16" s="2"/>
      <c r="P16" s="2"/>
      <c r="Q16" s="2"/>
      <c r="R16" s="2"/>
      <c r="S16" s="2"/>
      <c r="T16" s="2"/>
    </row>
    <row r="17" spans="2:20">
      <c r="B17" s="2" t="s">
        <v>266</v>
      </c>
      <c r="C17" s="153">
        <v>1</v>
      </c>
      <c r="D17" s="2"/>
      <c r="E17" s="2"/>
      <c r="F17" s="208"/>
      <c r="G17" s="208"/>
      <c r="H17" s="208"/>
      <c r="I17" s="208"/>
      <c r="J17" s="208"/>
      <c r="K17" s="208"/>
      <c r="L17" s="2"/>
      <c r="M17" s="2"/>
      <c r="N17" s="2"/>
      <c r="O17" s="2"/>
      <c r="P17" s="2"/>
      <c r="Q17" s="2"/>
      <c r="R17" s="2"/>
      <c r="S17" s="2"/>
      <c r="T17" s="2"/>
    </row>
    <row r="18" spans="2:20">
      <c r="B18" s="72" t="s">
        <v>260</v>
      </c>
      <c r="C18" s="203">
        <v>1</v>
      </c>
      <c r="D18" s="2"/>
      <c r="E18" s="227" t="s">
        <v>10</v>
      </c>
      <c r="F18" s="208"/>
      <c r="G18" s="208"/>
      <c r="H18" s="208"/>
      <c r="I18" s="208"/>
      <c r="J18" s="208"/>
      <c r="K18" s="208"/>
      <c r="L18" s="2"/>
      <c r="M18" s="2"/>
      <c r="N18" s="2"/>
      <c r="O18" s="2"/>
      <c r="P18" s="2"/>
      <c r="Q18" s="2"/>
      <c r="R18" s="2"/>
      <c r="S18" s="2"/>
      <c r="T18" s="2"/>
    </row>
    <row r="19" spans="2:20">
      <c r="B19" s="2"/>
      <c r="C19" s="2"/>
      <c r="D19" s="2"/>
      <c r="E19" s="224" t="s">
        <v>105</v>
      </c>
      <c r="F19" s="2"/>
      <c r="G19" s="2"/>
      <c r="H19" s="2"/>
      <c r="I19" s="2"/>
      <c r="J19" s="2"/>
      <c r="K19" s="116"/>
      <c r="L19" s="2"/>
      <c r="M19" s="2"/>
      <c r="N19" s="2"/>
      <c r="O19" s="2"/>
      <c r="P19" s="2"/>
      <c r="Q19" s="2"/>
      <c r="R19" s="2"/>
      <c r="S19" s="2"/>
      <c r="T19" s="2"/>
    </row>
    <row r="20" spans="2:20">
      <c r="B20" s="2"/>
      <c r="C20" s="2"/>
      <c r="D20" s="2"/>
      <c r="E20" s="541" t="s">
        <v>109</v>
      </c>
      <c r="F20" s="542"/>
      <c r="G20" s="543"/>
      <c r="H20" s="541" t="s">
        <v>110</v>
      </c>
      <c r="I20" s="542"/>
      <c r="J20" s="543"/>
      <c r="K20" s="155"/>
      <c r="L20" s="2"/>
      <c r="M20" s="2"/>
      <c r="N20" s="2"/>
      <c r="O20" s="2"/>
      <c r="P20" s="2"/>
      <c r="Q20" s="2"/>
      <c r="R20" s="2"/>
      <c r="S20" s="2"/>
      <c r="T20" s="2"/>
    </row>
    <row r="21" spans="2:20" ht="28.8">
      <c r="B21" s="556" t="s">
        <v>358</v>
      </c>
      <c r="C21" s="556"/>
      <c r="D21" s="2"/>
      <c r="E21" s="225" t="s">
        <v>89</v>
      </c>
      <c r="F21" s="378" t="s">
        <v>90</v>
      </c>
      <c r="G21" s="197" t="s">
        <v>107</v>
      </c>
      <c r="H21" s="225" t="s">
        <v>89</v>
      </c>
      <c r="I21" s="196" t="s">
        <v>90</v>
      </c>
      <c r="J21" s="197" t="s">
        <v>107</v>
      </c>
      <c r="K21" s="2"/>
      <c r="L21" s="2"/>
      <c r="M21" s="2"/>
      <c r="N21" s="2"/>
      <c r="O21" s="2"/>
      <c r="P21" s="2"/>
      <c r="Q21" s="2"/>
      <c r="R21" s="2"/>
      <c r="S21" s="2"/>
      <c r="T21" s="2"/>
    </row>
    <row r="22" spans="2:20">
      <c r="B22" s="380" t="s">
        <v>351</v>
      </c>
      <c r="C22" s="381">
        <v>0.25</v>
      </c>
      <c r="D22" s="2"/>
      <c r="E22" s="228">
        <f>BASEBUDGETS!F28/BASEBUDGETS!C23</f>
        <v>350</v>
      </c>
      <c r="F22" s="379">
        <f>(((1-$C$6)*BASEBUDGETS!F174)+((1-$C$7)*BASEBUDGETS!F175)+(C$8*(BASEBUDGETS!F31+BASEBUDGETS!F32))+(C$9*(BASEBUDGETS!F33+BASEBUDGETS!F34+BASEBUDGETS!F35+BASEBUDGETS!F36+BASEBUDGETS!F37+BASEBUDGETS!F38+BASEBUDGETS!F39))+(C$10*(BASEBUDGETS!F40+BASEBUDGETS!F41+BASEBUDGETS!F42+BASEBUDGETS!F43+BASEBUDGETS!F44))+(C$11*(BASEBUDGETS!F45+BASEBUDGETS!F46))+(C$12*(BASEBUDGETS!F47+BASEBUDGETS!F49++BASEBUDGETS!F52+BASEBUDGETS!F53+BASEBUDGETS!F48+BASEBUDGETS!F50+BASEBUDGETS!F54+BASEBUDGETS!F55))+(C$13*(SUM(BASEBUDGETS!F59:F99)+SUM(BASEBUDGETS!F123:F134)+SUM(BASEBUDGETS!F142:F157)+SUM(BASEBUDGETS!F169:F172))+(C$14*(SUM(BASEBUDGETS!F56:F58)+SUM(BASEBUDGETS!F135:F136)+SUM(BASEBUDGETS!F100:F122)+SUM(BASEBUDGETS!F158:F168))+(C$15*BASEBUDGETS!F137)+(C$16*BASEBUDGETS!F138)+(C$17*BASEBUDGETS!F173)+(C$18*BASEBUDGETS!F178))))/BASEBUDGETS!C23</f>
        <v>582.49980552985392</v>
      </c>
      <c r="G22" s="230">
        <f>E22-F22</f>
        <v>-232.49980552985392</v>
      </c>
      <c r="H22" s="228">
        <f>G$10</f>
        <v>175</v>
      </c>
      <c r="I22" s="229">
        <f>(((BASEBUDGETS!F181-BASEBUDGETS!F176)/BASEBUDGETS!C23)+($C$3*((1+C4)*$C$5))-F22)</f>
        <v>150.74999999999977</v>
      </c>
      <c r="J22" s="230">
        <f>H22-I22</f>
        <v>24.250000000000227</v>
      </c>
      <c r="K22" s="2"/>
      <c r="L22" s="2"/>
      <c r="M22" s="2"/>
      <c r="N22" s="2"/>
      <c r="O22" s="2"/>
      <c r="P22" s="2"/>
      <c r="Q22" s="2"/>
      <c r="R22" s="2"/>
      <c r="S22" s="2"/>
      <c r="T22" s="2"/>
    </row>
    <row r="23" spans="2:20">
      <c r="B23" s="380" t="s">
        <v>352</v>
      </c>
      <c r="C23" s="381">
        <v>0.25</v>
      </c>
      <c r="D23" s="2"/>
      <c r="E23" s="2"/>
      <c r="F23" s="2"/>
      <c r="G23" s="2"/>
      <c r="H23" s="2"/>
      <c r="I23" s="2"/>
      <c r="J23" s="2"/>
      <c r="K23" s="2"/>
      <c r="L23" s="2"/>
      <c r="M23" s="2"/>
      <c r="N23" s="2"/>
      <c r="O23" s="2"/>
      <c r="P23" s="2"/>
      <c r="Q23" s="2"/>
      <c r="R23" s="2"/>
      <c r="S23" s="2"/>
      <c r="T23" s="2"/>
    </row>
    <row r="24" spans="2:20" ht="15" customHeight="1">
      <c r="B24" s="2" t="s">
        <v>353</v>
      </c>
      <c r="C24" s="282">
        <v>1200</v>
      </c>
      <c r="D24" s="2"/>
      <c r="E24" s="2"/>
      <c r="F24" s="2"/>
      <c r="G24" s="2"/>
      <c r="H24" s="2"/>
      <c r="I24" s="2"/>
      <c r="J24" s="2"/>
      <c r="K24" s="2"/>
      <c r="L24" s="2"/>
      <c r="M24" s="2"/>
      <c r="N24" s="2"/>
      <c r="O24" s="2"/>
      <c r="P24" s="2"/>
      <c r="Q24" s="2"/>
      <c r="R24" s="2"/>
      <c r="S24" s="2"/>
      <c r="T24" s="2"/>
    </row>
    <row r="25" spans="2:20">
      <c r="B25" s="72" t="s">
        <v>354</v>
      </c>
      <c r="C25" s="283">
        <v>1200</v>
      </c>
      <c r="D25" s="2"/>
      <c r="E25" s="2"/>
      <c r="F25" s="2"/>
      <c r="G25" s="2"/>
      <c r="H25" s="2"/>
      <c r="I25" s="2"/>
      <c r="J25" s="2"/>
      <c r="K25" s="2"/>
      <c r="L25" s="2"/>
      <c r="M25" s="2"/>
      <c r="N25" s="2"/>
      <c r="O25" s="2"/>
      <c r="P25" s="2"/>
      <c r="Q25" s="2"/>
      <c r="R25" s="2"/>
      <c r="S25" s="2"/>
      <c r="T25" s="2"/>
    </row>
    <row r="26" spans="2:20">
      <c r="B26" s="2"/>
      <c r="C26" s="2"/>
      <c r="D26" s="2"/>
      <c r="E26" s="2"/>
      <c r="F26" s="2"/>
      <c r="G26" s="2"/>
      <c r="H26" s="2"/>
      <c r="I26" s="2"/>
      <c r="J26" s="2"/>
      <c r="K26" s="2"/>
      <c r="L26" s="2"/>
      <c r="M26" s="2"/>
      <c r="N26" s="2"/>
      <c r="O26" s="2"/>
      <c r="P26" s="2"/>
      <c r="Q26" s="2"/>
      <c r="R26" s="2"/>
      <c r="S26" s="2"/>
      <c r="T26" s="2"/>
    </row>
    <row r="27" spans="2:20">
      <c r="B27" s="2"/>
      <c r="C27" s="2"/>
      <c r="D27" s="2"/>
      <c r="E27" s="2"/>
      <c r="F27" s="2"/>
      <c r="G27" s="2"/>
      <c r="H27" s="2"/>
      <c r="I27" s="2"/>
      <c r="J27" s="2"/>
      <c r="K27" s="2"/>
      <c r="L27" s="2"/>
      <c r="M27" s="2"/>
      <c r="N27" s="2"/>
      <c r="O27" s="2"/>
      <c r="P27" s="2"/>
      <c r="Q27" s="2"/>
      <c r="R27" s="2"/>
      <c r="S27" s="2"/>
      <c r="T27" s="2"/>
    </row>
    <row r="28" spans="2:20">
      <c r="B28" s="2"/>
      <c r="C28" s="2"/>
      <c r="D28" s="2"/>
      <c r="E28" s="2"/>
      <c r="F28" s="2"/>
      <c r="G28" s="2"/>
      <c r="H28" s="2"/>
      <c r="I28" s="2"/>
      <c r="J28" s="2"/>
      <c r="K28" s="2"/>
      <c r="L28" s="2"/>
      <c r="M28" s="2"/>
      <c r="N28" s="2"/>
      <c r="O28" s="2"/>
      <c r="P28" s="2"/>
      <c r="Q28" s="2"/>
      <c r="R28" s="2"/>
      <c r="S28" s="2"/>
      <c r="T28" s="2"/>
    </row>
    <row r="29" spans="2:20">
      <c r="B29" s="2"/>
      <c r="C29" s="2"/>
      <c r="D29" s="2"/>
      <c r="E29" s="2"/>
      <c r="F29" s="2"/>
      <c r="G29" s="2"/>
      <c r="H29" s="2"/>
      <c r="I29" s="2"/>
      <c r="J29" s="2"/>
      <c r="K29" s="2"/>
      <c r="L29" s="2"/>
      <c r="M29" s="2"/>
      <c r="N29" s="2"/>
      <c r="O29" s="2"/>
      <c r="P29" s="2"/>
      <c r="Q29" s="2"/>
      <c r="R29" s="2"/>
      <c r="S29" s="2"/>
      <c r="T29" s="2"/>
    </row>
    <row r="30" spans="2:20">
      <c r="B30" s="2"/>
      <c r="C30" s="2"/>
      <c r="D30" s="2"/>
      <c r="E30" s="2"/>
      <c r="F30" s="2"/>
      <c r="G30" s="2"/>
      <c r="H30" s="2"/>
      <c r="I30" s="2"/>
      <c r="J30" s="2"/>
      <c r="K30" s="2"/>
      <c r="L30" s="2"/>
      <c r="M30" s="2"/>
      <c r="N30" s="2"/>
      <c r="O30" s="2"/>
      <c r="P30" s="2"/>
      <c r="Q30" s="2"/>
      <c r="R30" s="2"/>
      <c r="S30" s="2"/>
      <c r="T30" s="2"/>
    </row>
    <row r="31" spans="2:20">
      <c r="B31" s="2"/>
      <c r="C31" s="2"/>
      <c r="D31" s="2"/>
      <c r="E31" s="2"/>
      <c r="F31" s="2"/>
      <c r="G31" s="2"/>
      <c r="H31" s="2"/>
      <c r="I31" s="2"/>
      <c r="J31" s="2"/>
      <c r="K31" s="2"/>
      <c r="L31" s="2"/>
      <c r="M31" s="2"/>
      <c r="N31" s="2"/>
      <c r="O31" s="2"/>
      <c r="P31" s="2"/>
      <c r="Q31" s="2"/>
      <c r="R31" s="2"/>
      <c r="S31" s="2"/>
      <c r="T31" s="2"/>
    </row>
    <row r="32" spans="2:20">
      <c r="B32" s="2"/>
      <c r="C32" s="2"/>
      <c r="D32" s="2"/>
      <c r="E32" s="2"/>
      <c r="F32" s="2"/>
      <c r="G32" s="2"/>
      <c r="H32" s="2"/>
      <c r="I32" s="2"/>
      <c r="J32" s="2"/>
      <c r="K32" s="2"/>
      <c r="L32" s="2"/>
      <c r="M32" s="2"/>
      <c r="N32" s="2"/>
      <c r="O32" s="2"/>
      <c r="P32" s="2"/>
      <c r="Q32" s="2"/>
      <c r="R32" s="2"/>
      <c r="S32" s="2"/>
      <c r="T32" s="2"/>
    </row>
    <row r="33" spans="2:20">
      <c r="B33" s="2"/>
      <c r="C33" s="2"/>
      <c r="D33" s="2"/>
      <c r="E33" s="2"/>
      <c r="F33" s="2"/>
      <c r="G33" s="2"/>
      <c r="H33" s="2"/>
      <c r="I33" s="2"/>
      <c r="J33" s="2"/>
      <c r="K33" s="2"/>
      <c r="L33" s="2"/>
      <c r="M33" s="2"/>
      <c r="N33" s="2"/>
      <c r="O33" s="2"/>
      <c r="P33" s="2"/>
      <c r="Q33" s="2"/>
      <c r="R33" s="2"/>
      <c r="S33" s="2"/>
      <c r="T33" s="2"/>
    </row>
    <row r="34" spans="2:20">
      <c r="B34" s="2"/>
      <c r="C34" s="2"/>
      <c r="D34" s="2"/>
      <c r="E34" s="2"/>
      <c r="F34" s="2"/>
      <c r="G34" s="2"/>
      <c r="H34" s="2"/>
      <c r="I34" s="2"/>
      <c r="J34" s="2"/>
      <c r="K34" s="2"/>
      <c r="L34" s="2"/>
      <c r="M34" s="2"/>
      <c r="N34" s="2"/>
      <c r="O34" s="2"/>
      <c r="P34" s="2"/>
      <c r="Q34" s="2"/>
      <c r="R34" s="2"/>
      <c r="S34" s="2"/>
      <c r="T34" s="2"/>
    </row>
    <row r="35" spans="2:20">
      <c r="B35" s="2"/>
      <c r="C35" s="2"/>
      <c r="D35" s="2"/>
      <c r="E35" s="2"/>
      <c r="F35" s="2"/>
      <c r="G35" s="2"/>
      <c r="H35" s="2"/>
      <c r="I35" s="2"/>
      <c r="J35" s="2"/>
      <c r="K35" s="2"/>
      <c r="L35" s="2"/>
      <c r="M35" s="2"/>
      <c r="N35" s="2"/>
      <c r="O35" s="2"/>
      <c r="P35" s="2"/>
      <c r="Q35" s="2"/>
      <c r="R35" s="2"/>
      <c r="S35" s="2"/>
      <c r="T35" s="2"/>
    </row>
    <row r="36" spans="2:20">
      <c r="B36" s="2"/>
      <c r="C36" s="2"/>
      <c r="D36" s="2"/>
      <c r="E36" s="2"/>
      <c r="F36" s="2"/>
      <c r="G36" s="2"/>
      <c r="H36" s="2"/>
      <c r="I36" s="2"/>
      <c r="J36" s="2"/>
      <c r="K36" s="2"/>
      <c r="L36" s="2"/>
      <c r="M36" s="2"/>
      <c r="N36" s="2"/>
      <c r="O36" s="2"/>
      <c r="P36" s="2"/>
      <c r="Q36" s="2"/>
      <c r="R36" s="2"/>
      <c r="S36" s="2"/>
      <c r="T36" s="2"/>
    </row>
    <row r="37" spans="2:20">
      <c r="B37" s="2"/>
      <c r="C37" s="2"/>
      <c r="D37" s="2"/>
      <c r="E37" s="2"/>
      <c r="F37" s="2"/>
      <c r="G37" s="2"/>
      <c r="H37" s="2"/>
      <c r="I37" s="2"/>
      <c r="J37" s="2"/>
      <c r="K37" s="2"/>
      <c r="L37" s="2"/>
      <c r="M37" s="2"/>
      <c r="N37" s="2"/>
      <c r="O37" s="2"/>
      <c r="P37" s="2"/>
      <c r="Q37" s="2"/>
      <c r="R37" s="2"/>
      <c r="S37" s="2"/>
      <c r="T37" s="2"/>
    </row>
    <row r="38" spans="2:20">
      <c r="B38" s="2"/>
      <c r="C38" s="2"/>
      <c r="D38" s="2"/>
      <c r="E38" s="2"/>
      <c r="F38" s="2"/>
      <c r="G38" s="2"/>
      <c r="H38" s="2"/>
      <c r="I38" s="2"/>
      <c r="J38" s="2"/>
      <c r="K38" s="2"/>
      <c r="L38" s="2"/>
      <c r="M38" s="2"/>
      <c r="N38" s="2"/>
      <c r="O38" s="2"/>
      <c r="P38" s="2"/>
      <c r="Q38" s="2"/>
      <c r="R38" s="2"/>
      <c r="S38" s="2"/>
      <c r="T38" s="2"/>
    </row>
    <row r="39" spans="2:20">
      <c r="B39" s="2"/>
      <c r="C39" s="2"/>
      <c r="D39" s="2"/>
      <c r="E39" s="2"/>
      <c r="F39" s="2"/>
      <c r="G39" s="2"/>
      <c r="H39" s="2"/>
      <c r="I39" s="2"/>
      <c r="J39" s="2"/>
      <c r="K39" s="2"/>
      <c r="L39" s="2"/>
      <c r="M39" s="2"/>
      <c r="N39" s="2"/>
      <c r="O39" s="2"/>
      <c r="P39" s="2"/>
      <c r="Q39" s="2"/>
      <c r="R39" s="2"/>
      <c r="S39" s="2"/>
      <c r="T39" s="2"/>
    </row>
    <row r="40" spans="2:20">
      <c r="B40" s="2"/>
      <c r="C40" s="2"/>
      <c r="D40" s="2"/>
      <c r="E40" s="2"/>
      <c r="F40" s="2"/>
      <c r="G40" s="2"/>
      <c r="H40" s="2"/>
      <c r="I40" s="2"/>
      <c r="J40" s="2"/>
      <c r="K40" s="2"/>
      <c r="L40" s="2"/>
      <c r="M40" s="2"/>
      <c r="N40" s="2"/>
      <c r="O40" s="2"/>
      <c r="P40" s="2"/>
      <c r="Q40" s="2"/>
      <c r="R40" s="2"/>
      <c r="S40" s="2"/>
      <c r="T40" s="2"/>
    </row>
    <row r="41" spans="2:20">
      <c r="B41" s="2"/>
      <c r="C41" s="2"/>
      <c r="D41" s="2"/>
      <c r="E41" s="2"/>
      <c r="F41" s="2"/>
      <c r="G41" s="2"/>
      <c r="H41" s="2"/>
      <c r="I41" s="2"/>
      <c r="J41" s="2"/>
      <c r="K41" s="2"/>
      <c r="L41" s="2"/>
      <c r="M41" s="2"/>
      <c r="N41" s="2"/>
      <c r="O41" s="2"/>
      <c r="P41" s="2"/>
      <c r="Q41" s="2"/>
      <c r="R41" s="2"/>
      <c r="S41" s="2"/>
      <c r="T41" s="2"/>
    </row>
    <row r="42" spans="2:20">
      <c r="B42" s="2"/>
      <c r="C42" s="2"/>
      <c r="D42" s="2"/>
      <c r="E42" s="2"/>
      <c r="F42" s="2"/>
      <c r="G42" s="2"/>
      <c r="H42" s="2"/>
      <c r="I42" s="2"/>
      <c r="J42" s="2"/>
      <c r="K42" s="2"/>
      <c r="L42" s="2"/>
      <c r="M42" s="2"/>
      <c r="N42" s="2"/>
      <c r="O42" s="2"/>
      <c r="P42" s="2"/>
      <c r="Q42" s="2"/>
      <c r="R42" s="2"/>
      <c r="S42" s="2"/>
      <c r="T42" s="2"/>
    </row>
    <row r="43" spans="2:20">
      <c r="B43" s="2"/>
      <c r="C43" s="2"/>
      <c r="D43" s="2"/>
      <c r="E43" s="2"/>
      <c r="F43" s="2"/>
      <c r="G43" s="2"/>
      <c r="H43" s="2"/>
      <c r="I43" s="2"/>
      <c r="J43" s="2"/>
      <c r="K43" s="2"/>
      <c r="L43" s="2"/>
      <c r="M43" s="2"/>
      <c r="N43" s="2"/>
      <c r="O43" s="2"/>
      <c r="P43" s="2"/>
      <c r="Q43" s="2"/>
      <c r="R43" s="2"/>
      <c r="S43" s="2"/>
      <c r="T43" s="2"/>
    </row>
    <row r="44" spans="2:20">
      <c r="B44" s="2"/>
      <c r="C44" s="2"/>
      <c r="D44" s="2"/>
      <c r="E44" s="2"/>
      <c r="F44" s="2"/>
      <c r="G44" s="2"/>
      <c r="H44" s="2"/>
      <c r="I44" s="2"/>
      <c r="J44" s="2"/>
      <c r="K44" s="2"/>
      <c r="L44" s="2"/>
      <c r="M44" s="2"/>
      <c r="N44" s="2"/>
      <c r="O44" s="2"/>
      <c r="P44" s="2"/>
      <c r="Q44" s="2"/>
      <c r="R44" s="2"/>
      <c r="S44" s="2"/>
      <c r="T44" s="2"/>
    </row>
    <row r="45" spans="2:20">
      <c r="B45" s="2"/>
      <c r="C45" s="2"/>
      <c r="D45" s="2"/>
      <c r="E45" s="2"/>
      <c r="F45" s="2"/>
      <c r="G45" s="2"/>
      <c r="H45" s="2"/>
      <c r="I45" s="2"/>
      <c r="J45" s="2"/>
      <c r="K45" s="2"/>
      <c r="L45" s="2"/>
      <c r="M45" s="2"/>
      <c r="N45" s="2"/>
      <c r="O45" s="2"/>
      <c r="P45" s="2"/>
      <c r="Q45" s="2"/>
      <c r="R45" s="2"/>
      <c r="S45" s="2"/>
      <c r="T45" s="2"/>
    </row>
    <row r="46" spans="2:20">
      <c r="B46" s="2"/>
      <c r="C46" s="2"/>
      <c r="D46" s="2"/>
      <c r="E46" s="2"/>
      <c r="F46" s="2"/>
      <c r="G46" s="2"/>
      <c r="H46" s="2"/>
      <c r="I46" s="2"/>
      <c r="J46" s="2"/>
      <c r="K46" s="2"/>
      <c r="L46" s="2"/>
      <c r="M46" s="2"/>
      <c r="N46" s="2"/>
      <c r="O46" s="2"/>
      <c r="P46" s="2"/>
      <c r="Q46" s="2"/>
      <c r="R46" s="2"/>
      <c r="S46" s="2"/>
      <c r="T46" s="2"/>
    </row>
    <row r="47" spans="2:20">
      <c r="B47" s="2"/>
      <c r="C47" s="2"/>
      <c r="D47" s="2"/>
      <c r="E47" s="2"/>
      <c r="F47" s="2"/>
      <c r="G47" s="2"/>
      <c r="H47" s="2"/>
      <c r="I47" s="2"/>
      <c r="J47" s="2"/>
      <c r="K47" s="2"/>
      <c r="L47" s="2"/>
      <c r="M47" s="2"/>
      <c r="N47" s="2"/>
      <c r="O47" s="2"/>
      <c r="P47" s="2"/>
      <c r="Q47" s="2"/>
      <c r="R47" s="2"/>
      <c r="S47" s="2"/>
      <c r="T47" s="2"/>
    </row>
    <row r="48" spans="2:20">
      <c r="B48" s="2"/>
      <c r="C48" s="2"/>
      <c r="D48" s="2"/>
      <c r="E48" s="2"/>
      <c r="F48" s="2"/>
      <c r="G48" s="2"/>
      <c r="H48" s="2"/>
      <c r="I48" s="2"/>
      <c r="J48" s="2"/>
      <c r="K48" s="2"/>
      <c r="L48" s="2"/>
      <c r="M48" s="2"/>
      <c r="N48" s="2"/>
      <c r="O48" s="2"/>
      <c r="P48" s="2"/>
      <c r="Q48" s="2"/>
      <c r="R48" s="2"/>
      <c r="S48" s="2"/>
      <c r="T48" s="2"/>
    </row>
    <row r="49" spans="2:20">
      <c r="B49" s="2"/>
      <c r="C49" s="2"/>
      <c r="D49" s="2"/>
      <c r="E49" s="2"/>
      <c r="F49" s="2"/>
      <c r="G49" s="2"/>
      <c r="H49" s="2"/>
      <c r="I49" s="2"/>
      <c r="J49" s="2"/>
      <c r="K49" s="2"/>
      <c r="L49" s="2"/>
      <c r="M49" s="2"/>
      <c r="N49" s="2"/>
      <c r="O49" s="2"/>
      <c r="P49" s="2"/>
      <c r="Q49" s="2"/>
      <c r="R49" s="2"/>
      <c r="S49" s="2"/>
      <c r="T49" s="2"/>
    </row>
    <row r="50" spans="2:20">
      <c r="B50" s="2"/>
      <c r="C50" s="2"/>
      <c r="D50" s="2"/>
      <c r="E50" s="2"/>
      <c r="F50" s="2"/>
      <c r="G50" s="2"/>
      <c r="H50" s="2"/>
      <c r="I50" s="2"/>
      <c r="J50" s="2"/>
      <c r="K50" s="2"/>
      <c r="L50" s="2"/>
      <c r="M50" s="2"/>
      <c r="N50" s="2"/>
      <c r="O50" s="2"/>
      <c r="P50" s="2"/>
      <c r="Q50" s="2"/>
      <c r="R50" s="2"/>
      <c r="S50" s="2"/>
      <c r="T50" s="2"/>
    </row>
    <row r="51" spans="2:20">
      <c r="B51" s="2"/>
      <c r="C51" s="2"/>
      <c r="D51" s="2"/>
      <c r="E51" s="2"/>
      <c r="F51" s="2"/>
      <c r="G51" s="2"/>
      <c r="H51" s="2"/>
      <c r="I51" s="2"/>
      <c r="J51" s="2"/>
      <c r="K51" s="2"/>
      <c r="L51" s="2"/>
      <c r="M51" s="2"/>
      <c r="N51" s="2"/>
      <c r="O51" s="2"/>
      <c r="P51" s="2"/>
      <c r="Q51" s="2"/>
      <c r="R51" s="2"/>
      <c r="S51" s="2"/>
      <c r="T51" s="2"/>
    </row>
    <row r="52" spans="2:20">
      <c r="B52" s="2"/>
      <c r="C52" s="2"/>
      <c r="D52" s="2"/>
      <c r="E52" s="2"/>
      <c r="F52" s="2"/>
      <c r="G52" s="2"/>
      <c r="H52" s="2"/>
      <c r="I52" s="2"/>
      <c r="J52" s="2"/>
      <c r="K52" s="2"/>
      <c r="L52" s="2"/>
      <c r="M52" s="2"/>
      <c r="N52" s="2"/>
      <c r="O52" s="2"/>
      <c r="P52" s="2"/>
      <c r="Q52" s="2"/>
      <c r="R52" s="2"/>
      <c r="S52" s="2"/>
      <c r="T52" s="2"/>
    </row>
    <row r="53" spans="2:20">
      <c r="B53" s="2"/>
      <c r="C53" s="2"/>
      <c r="D53" s="2"/>
      <c r="E53" s="2"/>
      <c r="F53" s="2"/>
      <c r="G53" s="2"/>
      <c r="H53" s="2"/>
      <c r="I53" s="2"/>
      <c r="J53" s="2"/>
      <c r="K53" s="2"/>
      <c r="L53" s="2"/>
      <c r="M53" s="2"/>
      <c r="N53" s="2"/>
      <c r="O53" s="2"/>
      <c r="P53" s="2"/>
      <c r="Q53" s="2"/>
      <c r="R53" s="2"/>
      <c r="S53" s="2"/>
      <c r="T53" s="2"/>
    </row>
    <row r="54" spans="2:20">
      <c r="B54" s="2"/>
      <c r="C54" s="2"/>
      <c r="D54" s="2"/>
      <c r="E54" s="2"/>
      <c r="F54" s="2"/>
      <c r="G54" s="2"/>
      <c r="H54" s="2"/>
      <c r="I54" s="2"/>
      <c r="J54" s="2"/>
      <c r="K54" s="2"/>
      <c r="L54" s="2"/>
      <c r="M54" s="2"/>
      <c r="N54" s="2"/>
      <c r="O54" s="2"/>
      <c r="P54" s="2"/>
      <c r="Q54" s="2"/>
      <c r="R54" s="2"/>
      <c r="S54" s="2"/>
      <c r="T54" s="2"/>
    </row>
    <row r="55" spans="2:20">
      <c r="B55" s="2"/>
      <c r="C55" s="2"/>
      <c r="D55" s="2"/>
      <c r="E55" s="2"/>
      <c r="F55" s="2"/>
      <c r="G55" s="2"/>
      <c r="H55" s="2"/>
      <c r="I55" s="2"/>
      <c r="J55" s="2"/>
      <c r="K55" s="2"/>
      <c r="L55" s="2"/>
      <c r="M55" s="2"/>
      <c r="N55" s="2"/>
      <c r="O55" s="2"/>
      <c r="P55" s="2"/>
      <c r="Q55" s="2"/>
      <c r="R55" s="2"/>
      <c r="S55" s="2"/>
      <c r="T55" s="2"/>
    </row>
    <row r="56" spans="2:20">
      <c r="B56" s="2"/>
      <c r="C56" s="2"/>
      <c r="D56" s="2"/>
      <c r="E56" s="2"/>
      <c r="F56" s="2"/>
      <c r="G56" s="2"/>
      <c r="H56" s="2"/>
      <c r="I56" s="2"/>
      <c r="J56" s="2"/>
      <c r="K56" s="2"/>
      <c r="L56" s="2"/>
      <c r="M56" s="2"/>
      <c r="N56" s="2"/>
      <c r="O56" s="2"/>
      <c r="P56" s="2"/>
      <c r="Q56" s="2"/>
      <c r="R56" s="2"/>
      <c r="S56" s="2"/>
      <c r="T56" s="2"/>
    </row>
    <row r="57" spans="2:20">
      <c r="B57" s="2"/>
      <c r="C57" s="2"/>
      <c r="D57" s="2"/>
      <c r="E57" s="2"/>
      <c r="F57" s="2"/>
      <c r="G57" s="2"/>
      <c r="H57" s="2"/>
      <c r="I57" s="2"/>
      <c r="J57" s="2"/>
      <c r="K57" s="2"/>
      <c r="L57" s="2"/>
      <c r="M57" s="2"/>
      <c r="N57" s="2"/>
      <c r="O57" s="2"/>
      <c r="P57" s="2"/>
      <c r="Q57" s="2"/>
      <c r="R57" s="2"/>
      <c r="S57" s="2"/>
      <c r="T57" s="2"/>
    </row>
    <row r="58" spans="2:20">
      <c r="B58" s="2"/>
      <c r="C58" s="2"/>
      <c r="D58" s="2"/>
      <c r="E58" s="2"/>
      <c r="F58" s="2"/>
      <c r="G58" s="2"/>
      <c r="H58" s="2"/>
      <c r="I58" s="2"/>
      <c r="J58" s="2"/>
      <c r="K58" s="2"/>
      <c r="L58" s="2"/>
      <c r="M58" s="2"/>
      <c r="N58" s="2"/>
      <c r="O58" s="2"/>
      <c r="P58" s="2"/>
      <c r="Q58" s="2"/>
      <c r="R58" s="2"/>
      <c r="S58" s="2"/>
      <c r="T58" s="2"/>
    </row>
    <row r="59" spans="2:20">
      <c r="B59" s="2"/>
      <c r="C59" s="2"/>
      <c r="D59" s="2"/>
      <c r="E59" s="2"/>
      <c r="F59" s="2"/>
      <c r="G59" s="2"/>
      <c r="H59" s="2"/>
      <c r="I59" s="2"/>
      <c r="J59" s="2"/>
      <c r="K59" s="2"/>
      <c r="L59" s="2"/>
      <c r="M59" s="2"/>
      <c r="N59" s="2"/>
      <c r="O59" s="2"/>
      <c r="P59" s="2"/>
      <c r="Q59" s="2"/>
      <c r="R59" s="2"/>
      <c r="S59" s="2"/>
      <c r="T59" s="2"/>
    </row>
    <row r="60" spans="2:20">
      <c r="B60" s="2"/>
      <c r="C60" s="2"/>
      <c r="D60" s="2"/>
      <c r="E60" s="2"/>
      <c r="F60" s="2"/>
      <c r="G60" s="2"/>
      <c r="H60" s="2"/>
      <c r="I60" s="2"/>
      <c r="J60" s="2"/>
      <c r="K60" s="2"/>
      <c r="L60" s="2"/>
      <c r="M60" s="2"/>
      <c r="N60" s="2"/>
      <c r="O60" s="2"/>
      <c r="P60" s="2"/>
      <c r="Q60" s="2"/>
      <c r="R60" s="2"/>
      <c r="S60" s="2"/>
      <c r="T60" s="2"/>
    </row>
    <row r="61" spans="2:20">
      <c r="B61" s="2"/>
      <c r="C61" s="2"/>
      <c r="D61" s="2"/>
      <c r="E61" s="2"/>
      <c r="F61" s="2"/>
      <c r="G61" s="2"/>
      <c r="H61" s="2"/>
      <c r="I61" s="2"/>
      <c r="J61" s="2"/>
      <c r="K61" s="2"/>
      <c r="L61" s="2"/>
      <c r="M61" s="2"/>
      <c r="N61" s="2"/>
      <c r="O61" s="2"/>
      <c r="P61" s="2"/>
      <c r="Q61" s="2"/>
      <c r="R61" s="2"/>
      <c r="S61" s="2"/>
      <c r="T61" s="2"/>
    </row>
    <row r="62" spans="2:20">
      <c r="B62" s="2"/>
      <c r="C62" s="2"/>
      <c r="D62" s="2"/>
      <c r="E62" s="2"/>
      <c r="F62" s="2"/>
      <c r="G62" s="2"/>
      <c r="H62" s="2"/>
      <c r="I62" s="2"/>
      <c r="J62" s="2"/>
      <c r="K62" s="2"/>
      <c r="L62" s="2"/>
      <c r="M62" s="2"/>
      <c r="N62" s="2"/>
      <c r="O62" s="2"/>
      <c r="P62" s="2"/>
      <c r="Q62" s="2"/>
      <c r="R62" s="2"/>
      <c r="S62" s="2"/>
      <c r="T62" s="2"/>
    </row>
    <row r="63" spans="2:20">
      <c r="B63" s="2"/>
      <c r="C63" s="2"/>
      <c r="D63" s="2"/>
      <c r="E63" s="2"/>
      <c r="F63" s="2"/>
      <c r="G63" s="2"/>
      <c r="H63" s="2"/>
      <c r="I63" s="2"/>
      <c r="J63" s="2"/>
      <c r="K63" s="2"/>
      <c r="L63" s="2"/>
      <c r="M63" s="2"/>
      <c r="N63" s="2"/>
      <c r="O63" s="2"/>
      <c r="P63" s="2"/>
      <c r="Q63" s="2"/>
      <c r="R63" s="2"/>
      <c r="S63" s="2"/>
      <c r="T63" s="2"/>
    </row>
    <row r="64" spans="2:20">
      <c r="B64" s="2"/>
      <c r="C64" s="2"/>
      <c r="D64" s="2"/>
      <c r="E64" s="2"/>
      <c r="F64" s="2"/>
      <c r="G64" s="2"/>
      <c r="H64" s="2"/>
      <c r="I64" s="2"/>
      <c r="J64" s="2"/>
      <c r="K64" s="2"/>
      <c r="L64" s="2"/>
      <c r="M64" s="2"/>
      <c r="N64" s="2"/>
      <c r="O64" s="2"/>
      <c r="P64" s="2"/>
      <c r="Q64" s="2"/>
      <c r="R64" s="2"/>
      <c r="S64" s="2"/>
      <c r="T64" s="2"/>
    </row>
    <row r="153" spans="5:14">
      <c r="E153" s="199"/>
      <c r="F153" s="200"/>
      <c r="G153" s="199"/>
      <c r="H153" s="2"/>
      <c r="I153" s="2"/>
      <c r="J153" s="2"/>
      <c r="K153" s="2"/>
      <c r="L153" s="2"/>
      <c r="M153" s="2"/>
      <c r="N153" s="2"/>
    </row>
  </sheetData>
  <sheetProtection algorithmName="SHA-512" hashValue="SVpkH+so6n+QmeUYFaNr3f4spHeQB59rqfPj4eoLPB8DJ2VzU/dlzxKCma8HZqEv12zlZ+9KXQ0gy/UEnljXEg==" saltValue="YVWT4zRoh2zaCLBX0riqoQ==" spinCount="100000" sheet="1" objects="1" scenarios="1"/>
  <mergeCells count="8">
    <mergeCell ref="B21:C21"/>
    <mergeCell ref="F2:G3"/>
    <mergeCell ref="F4:G4"/>
    <mergeCell ref="F7:G7"/>
    <mergeCell ref="I5:I6"/>
    <mergeCell ref="E20:G20"/>
    <mergeCell ref="H20:J20"/>
    <mergeCell ref="F11:G11"/>
  </mergeCells>
  <pageMargins left="0.7" right="0.7" top="0.75" bottom="0.75" header="0.3" footer="0.3"/>
  <pageSetup orientation="portrait" horizontalDpi="0" verticalDpi="0"/>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61E9F-9E2F-AE44-A9E3-F11B19AD0B23}">
  <sheetPr codeName="Sheet12">
    <pageSetUpPr fitToPage="1"/>
  </sheetPr>
  <dimension ref="A1:N212"/>
  <sheetViews>
    <sheetView zoomScale="110" zoomScaleNormal="110" workbookViewId="0">
      <selection activeCell="J6" sqref="J6"/>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'AcresYieldsPrices&amp;Water'!B4&amp;" Estab."</f>
        <v>Guayule Estab.</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BASEBUDGETS!B189</f>
        <v>Guayule Biomass</v>
      </c>
      <c r="C4" s="754"/>
      <c r="D4" s="754"/>
      <c r="E4" s="754"/>
      <c r="F4" s="755" t="str">
        <f>BASEBUDGETS!C189</f>
        <v>pound</v>
      </c>
      <c r="G4" s="756">
        <f>BASEBUDGETS!D189</f>
        <v>0.08</v>
      </c>
      <c r="H4" s="757"/>
      <c r="I4" s="758">
        <f>IF(BASEBUDGETS!E189=0,0,BASEBUDGETS!E189/BASEBUDGETS!C185)</f>
        <v>0</v>
      </c>
      <c r="J4" s="759">
        <f>G4*I4</f>
        <v>0</v>
      </c>
    </row>
    <row r="5" spans="2:14" s="611" customFormat="1" ht="21">
      <c r="B5" s="760" t="str">
        <f>BASEBUDGETS!B190</f>
        <v>Guayule Rubber Content</v>
      </c>
      <c r="C5" s="760"/>
      <c r="D5" s="760"/>
      <c r="E5" s="760"/>
      <c r="F5" s="755" t="str">
        <f>BASEBUDGETS!C190</f>
        <v>kilogram</v>
      </c>
      <c r="G5" s="756">
        <f>BASEBUDGETS!D190</f>
        <v>0</v>
      </c>
      <c r="H5" s="757"/>
      <c r="I5" s="758">
        <f>IF(BASEBUDGETS!E190=0,0,BASEBUDGETS!E190/BASEBUDGETS!C185)</f>
        <v>0</v>
      </c>
      <c r="J5" s="761">
        <f>G5*I5</f>
        <v>0</v>
      </c>
    </row>
    <row r="6" spans="2:14" s="611" customFormat="1" ht="20.399999999999999">
      <c r="B6" s="679" t="s">
        <v>27</v>
      </c>
      <c r="C6" s="679"/>
      <c r="D6" s="762"/>
      <c r="E6" s="763"/>
      <c r="F6" s="679"/>
      <c r="G6" s="764"/>
      <c r="H6" s="764"/>
      <c r="I6" s="764"/>
      <c r="J6" s="764">
        <f>SUM(J4:J5)</f>
        <v>0</v>
      </c>
    </row>
    <row r="7" spans="2:14" s="611" customFormat="1" ht="21">
      <c r="B7" s="660"/>
      <c r="C7" s="660"/>
      <c r="D7" s="765"/>
      <c r="E7" s="758"/>
      <c r="F7" s="660"/>
      <c r="G7" s="756"/>
      <c r="H7" s="756"/>
      <c r="I7" s="756"/>
      <c r="J7" s="756"/>
    </row>
    <row r="8" spans="2:14" s="611" customFormat="1" ht="21">
      <c r="B8" s="766" t="s">
        <v>76</v>
      </c>
      <c r="C8" s="766"/>
      <c r="D8" s="767" t="s">
        <v>45</v>
      </c>
      <c r="E8" s="768" t="s">
        <v>25</v>
      </c>
      <c r="F8" s="627" t="s">
        <v>1</v>
      </c>
      <c r="G8" s="767" t="s">
        <v>149</v>
      </c>
      <c r="H8" s="767" t="s">
        <v>8</v>
      </c>
      <c r="I8" s="767" t="s">
        <v>150</v>
      </c>
      <c r="J8" s="767" t="s">
        <v>7</v>
      </c>
    </row>
    <row r="9" spans="2:14" s="611" customFormat="1" ht="21">
      <c r="B9" s="754" t="s">
        <v>210</v>
      </c>
      <c r="C9" s="754"/>
      <c r="D9" s="765"/>
      <c r="E9" s="758"/>
      <c r="F9" s="769"/>
      <c r="G9" s="770"/>
      <c r="H9" s="770"/>
      <c r="I9" s="770"/>
      <c r="J9" s="770"/>
    </row>
    <row r="10" spans="2:14" s="611" customFormat="1" ht="21">
      <c r="C10" s="660" t="str">
        <f>BASEBUDGETS!B225</f>
        <v>V Ripper, Custom</v>
      </c>
      <c r="D10" s="765">
        <f>CustomOperations!D5</f>
        <v>44.25</v>
      </c>
      <c r="E10" s="771">
        <f>(BASEBUDGETS!E225)/BASEBUDGETS!C185</f>
        <v>0</v>
      </c>
      <c r="F10" s="770" t="str">
        <f>BASEBUDGETS!C225</f>
        <v>acre</v>
      </c>
      <c r="G10" s="756">
        <v>0</v>
      </c>
      <c r="H10" s="756">
        <v>0</v>
      </c>
      <c r="I10" s="756">
        <f>IF(E10=0,0,BASEBUDGETS!D225*E10)</f>
        <v>0</v>
      </c>
      <c r="J10" s="756">
        <f>G10+H10+I10</f>
        <v>0</v>
      </c>
      <c r="L10" s="772">
        <f>N10*'AcresYieldsPrices&amp;Water'!D$4</f>
        <v>900</v>
      </c>
      <c r="M10" s="611" t="s">
        <v>394</v>
      </c>
      <c r="N10" s="653">
        <f>IFERROR(I38,0)</f>
        <v>6</v>
      </c>
    </row>
    <row r="11" spans="2:14" s="611" customFormat="1" ht="21">
      <c r="C11" s="660" t="str">
        <f>BASEBUDGETS!B226</f>
        <v>Disk, Custom</v>
      </c>
      <c r="D11" s="765">
        <f>CustomOperations!D7</f>
        <v>0</v>
      </c>
      <c r="E11" s="771">
        <f>BASEBUDGETS!E226/BASEBUDGETS!C185</f>
        <v>0</v>
      </c>
      <c r="F11" s="770" t="str">
        <f>BASEBUDGETS!C226</f>
        <v>acre</v>
      </c>
      <c r="G11" s="756">
        <v>0</v>
      </c>
      <c r="H11" s="756">
        <v>0</v>
      </c>
      <c r="I11" s="756">
        <f>IF(E11=0,0,BASEBUDGETS!D226*E11)</f>
        <v>0</v>
      </c>
      <c r="J11" s="756">
        <f t="shared" ref="J11:J35" si="0">G11+H11+I11</f>
        <v>0</v>
      </c>
      <c r="L11" s="772">
        <f>N11*'AcresYieldsPrices&amp;Water'!D$4</f>
        <v>14940</v>
      </c>
      <c r="M11" s="611" t="s">
        <v>395</v>
      </c>
      <c r="N11" s="653">
        <f>IFERROR(I45,0)</f>
        <v>99.6</v>
      </c>
    </row>
    <row r="12" spans="2:14" s="611" customFormat="1" ht="21">
      <c r="C12" s="660" t="str">
        <f>BASEBUDGETS!B227</f>
        <v>Drag, Custom</v>
      </c>
      <c r="D12" s="765">
        <f>CustomOperations!D9</f>
        <v>0</v>
      </c>
      <c r="E12" s="771">
        <f>BASEBUDGETS!E227/BASEBUDGETS!C185</f>
        <v>0</v>
      </c>
      <c r="F12" s="770" t="str">
        <f>BASEBUDGETS!C227</f>
        <v>acre</v>
      </c>
      <c r="G12" s="756">
        <v>0</v>
      </c>
      <c r="H12" s="756">
        <v>0</v>
      </c>
      <c r="I12" s="756">
        <f>IF(E12=0,0,BASEBUDGETS!D227*E12)</f>
        <v>0</v>
      </c>
      <c r="J12" s="756">
        <f t="shared" si="0"/>
        <v>0</v>
      </c>
      <c r="L12" s="772">
        <f>N12*'AcresYieldsPrices&amp;Water'!D$4</f>
        <v>13537.5</v>
      </c>
      <c r="M12" s="611" t="s">
        <v>396</v>
      </c>
      <c r="N12" s="653">
        <f>IFERROR(I55,0)</f>
        <v>90.25</v>
      </c>
    </row>
    <row r="13" spans="2:14" s="611" customFormat="1" ht="21">
      <c r="C13" s="660" t="str">
        <f>BASEBUDGETS!B228</f>
        <v>Chisel, Custom</v>
      </c>
      <c r="D13" s="765">
        <f>CustomOperations!D11</f>
        <v>0</v>
      </c>
      <c r="E13" s="771">
        <f>BASEBUDGETS!E228/BASEBUDGETS!C185</f>
        <v>0</v>
      </c>
      <c r="F13" s="770" t="str">
        <f>BASEBUDGETS!C228</f>
        <v>acre</v>
      </c>
      <c r="G13" s="756">
        <v>0</v>
      </c>
      <c r="H13" s="756">
        <v>0</v>
      </c>
      <c r="I13" s="756">
        <f>IF(E13=0,0,BASEBUDGETS!D228*E13)</f>
        <v>0</v>
      </c>
      <c r="J13" s="756">
        <f t="shared" si="0"/>
        <v>0</v>
      </c>
      <c r="L13" s="772">
        <f>N13*'AcresYieldsPrices&amp;Water'!D$4</f>
        <v>588</v>
      </c>
      <c r="M13" s="611" t="s">
        <v>392</v>
      </c>
      <c r="N13" s="653">
        <f>IFERROR(E30+E31+E75+E76+E92+E93+E73+E70+E67,0)</f>
        <v>3.92</v>
      </c>
    </row>
    <row r="14" spans="2:14" s="611" customFormat="1" ht="21">
      <c r="C14" s="660" t="str">
        <f>BASEBUDGETS!B229</f>
        <v>Moldboard Plow, Custom</v>
      </c>
      <c r="D14" s="765">
        <f>CustomOperations!D13</f>
        <v>0</v>
      </c>
      <c r="E14" s="771">
        <f>BASEBUDGETS!E229/BASEBUDGETS!C185</f>
        <v>0</v>
      </c>
      <c r="F14" s="770" t="str">
        <f>BASEBUDGETS!C229</f>
        <v>acre</v>
      </c>
      <c r="G14" s="756">
        <v>0</v>
      </c>
      <c r="H14" s="756">
        <v>0</v>
      </c>
      <c r="I14" s="756">
        <f>IF(E14=0,0,BASEBUDGETS!D229*E14)</f>
        <v>0</v>
      </c>
      <c r="J14" s="756">
        <f t="shared" si="0"/>
        <v>0</v>
      </c>
      <c r="L14" s="772">
        <f>N14*'AcresYieldsPrices&amp;Water'!D$4</f>
        <v>0</v>
      </c>
      <c r="M14" s="611" t="s">
        <v>393</v>
      </c>
      <c r="N14" s="653">
        <f>IFERROR(((SUM(G19:G29)+G37+G35+G36+G44+G43+G54+G64+SUM(G81:G91))/[2]GeneralInputPrices!$D$20),0)</f>
        <v>0</v>
      </c>
    </row>
    <row r="15" spans="2:14" s="611" customFormat="1" ht="21">
      <c r="C15" s="660" t="str">
        <f>BASEBUDGETS!B230</f>
        <v>Landplane, Custom</v>
      </c>
      <c r="D15" s="765">
        <f>CustomOperations!D15</f>
        <v>17.940000000000001</v>
      </c>
      <c r="E15" s="771">
        <f>BASEBUDGETS!E230/BASEBUDGETS!C185</f>
        <v>0</v>
      </c>
      <c r="F15" s="770" t="str">
        <f>BASEBUDGETS!C230</f>
        <v>acre</v>
      </c>
      <c r="G15" s="756">
        <v>0</v>
      </c>
      <c r="H15" s="756">
        <v>0</v>
      </c>
      <c r="I15" s="756">
        <f>IF(E15=0,0,BASEBUDGETS!D230*E15)</f>
        <v>0</v>
      </c>
      <c r="J15" s="756">
        <f t="shared" si="0"/>
        <v>0</v>
      </c>
      <c r="L15" s="772">
        <f>N15*'AcresYieldsPrices&amp;Water'!D$4</f>
        <v>15258.053084180285</v>
      </c>
      <c r="M15" s="611" t="s">
        <v>186</v>
      </c>
      <c r="N15" s="653">
        <f>IFERROR(H97,0)</f>
        <v>101.72035389453524</v>
      </c>
    </row>
    <row r="16" spans="2:14" s="611" customFormat="1" ht="21">
      <c r="C16" s="660" t="str">
        <f>BASEBUDGETS!B231</f>
        <v>Float, Custom</v>
      </c>
      <c r="D16" s="765">
        <f>CustomOperations!D17</f>
        <v>17.940000000000001</v>
      </c>
      <c r="E16" s="771">
        <f>BASEBUDGETS!E231/BASEBUDGETS!C185</f>
        <v>0</v>
      </c>
      <c r="F16" s="770" t="str">
        <f>BASEBUDGETS!C231</f>
        <v>acre</v>
      </c>
      <c r="G16" s="756">
        <v>0</v>
      </c>
      <c r="H16" s="756">
        <v>0</v>
      </c>
      <c r="I16" s="756">
        <f>IF(E16=0,0,BASEBUDGETS!D231*E16)</f>
        <v>0</v>
      </c>
      <c r="J16" s="756">
        <f t="shared" si="0"/>
        <v>0</v>
      </c>
      <c r="L16" s="772">
        <f>N16*'AcresYieldsPrices&amp;Water'!D$4</f>
        <v>153159.14657779556</v>
      </c>
      <c r="M16" s="611" t="s">
        <v>401</v>
      </c>
      <c r="N16" s="653">
        <f>IFERROR(J110,0)</f>
        <v>1021.0609771853037</v>
      </c>
    </row>
    <row r="17" spans="2:14" s="611" customFormat="1" ht="21">
      <c r="C17" s="660" t="str">
        <f>BASEBUDGETS!B232</f>
        <v>Lister, Custom</v>
      </c>
      <c r="D17" s="765">
        <f>CustomOperations!D19</f>
        <v>20.38</v>
      </c>
      <c r="E17" s="771">
        <f>BASEBUDGETS!E232/BASEBUDGETS!C185</f>
        <v>0</v>
      </c>
      <c r="F17" s="770" t="str">
        <f>BASEBUDGETS!C232</f>
        <v>acre</v>
      </c>
      <c r="G17" s="756">
        <v>0</v>
      </c>
      <c r="H17" s="756">
        <v>0</v>
      </c>
      <c r="I17" s="756">
        <f>IF(E17=0,0,BASEBUDGETS!D232*E17)</f>
        <v>0</v>
      </c>
      <c r="J17" s="756">
        <f t="shared" si="0"/>
        <v>0</v>
      </c>
      <c r="L17" s="772">
        <f>N17*'AcresYieldsPrices&amp;Water'!D$4</f>
        <v>0</v>
      </c>
      <c r="M17" s="611" t="s">
        <v>405</v>
      </c>
      <c r="N17" s="653">
        <f>IFERROR((J80+J79+J78+J63+J53+J42+J41+J34+J33+SUM(J10:J18)),0)</f>
        <v>0</v>
      </c>
    </row>
    <row r="18" spans="2:14" s="611" customFormat="1" ht="21">
      <c r="C18" s="660" t="str">
        <f>BASEBUDGETS!B233</f>
        <v>Bed Shape, Custom</v>
      </c>
      <c r="D18" s="765">
        <f>CustomOperations!D21</f>
        <v>13.69</v>
      </c>
      <c r="E18" s="771">
        <f>BASEBUDGETS!E233/BASEBUDGETS!C185</f>
        <v>0</v>
      </c>
      <c r="F18" s="770" t="str">
        <f>BASEBUDGETS!C233</f>
        <v>acre</v>
      </c>
      <c r="G18" s="756">
        <v>0</v>
      </c>
      <c r="H18" s="756">
        <v>0</v>
      </c>
      <c r="I18" s="756">
        <f>IF(E18=0,0,BASEBUDGETS!D233*E18)</f>
        <v>0</v>
      </c>
      <c r="J18" s="756">
        <f t="shared" si="0"/>
        <v>0</v>
      </c>
    </row>
    <row r="19" spans="2:14" s="611" customFormat="1" ht="21">
      <c r="C19" s="660" t="str">
        <f>TillageOperations!$B$7</f>
        <v>V-Ripper</v>
      </c>
      <c r="D19" s="765"/>
      <c r="E19" s="771">
        <f>(BASEBUDGETS!E237)/BASEBUDGETS!C185</f>
        <v>1</v>
      </c>
      <c r="F19" s="770" t="str">
        <f>BASEBUDGETS!C237</f>
        <v>acre</v>
      </c>
      <c r="G19" s="756">
        <f>IF(E19=0,0,BASEBUDGETS!D238*E19)</f>
        <v>13.529312500000001</v>
      </c>
      <c r="H19" s="756">
        <f>IF(E19=0,0,BASEBUDGETS!D237*E19)</f>
        <v>30.16333889180672</v>
      </c>
      <c r="I19" s="756">
        <v>0</v>
      </c>
      <c r="J19" s="756">
        <f t="shared" si="0"/>
        <v>43.69265139180672</v>
      </c>
    </row>
    <row r="20" spans="2:14" s="611" customFormat="1" ht="21">
      <c r="C20" s="660" t="str">
        <f>TillageOperations!$B$8</f>
        <v>Offset Disk</v>
      </c>
      <c r="D20" s="765"/>
      <c r="E20" s="771">
        <f>BASEBUDGETS!E239/BASEBUDGETS!C185</f>
        <v>2.15</v>
      </c>
      <c r="F20" s="770" t="str">
        <f>BASEBUDGETS!C239</f>
        <v>acre</v>
      </c>
      <c r="G20" s="756">
        <f>IF(E20=0,0,BASEBUDGETS!D240*E20)</f>
        <v>10.139615468409589</v>
      </c>
      <c r="H20" s="756">
        <f>IF(E20=0,0,BASEBUDGETS!D239*E20)</f>
        <v>22.214484921092623</v>
      </c>
      <c r="I20" s="756">
        <v>0</v>
      </c>
      <c r="J20" s="756">
        <f t="shared" si="0"/>
        <v>32.354100389502214</v>
      </c>
    </row>
    <row r="21" spans="2:14" s="611" customFormat="1" ht="21">
      <c r="C21" s="660" t="str">
        <f>TillageOperations!$B$9</f>
        <v>Drag</v>
      </c>
      <c r="D21" s="765"/>
      <c r="E21" s="771">
        <f>BASEBUDGETS!E241/BASEBUDGETS!C185</f>
        <v>0</v>
      </c>
      <c r="F21" s="770" t="str">
        <f>BASEBUDGETS!C241</f>
        <v>acre</v>
      </c>
      <c r="G21" s="756">
        <f>IF(E21=0,0,BASEBUDGETS!D242*E21)</f>
        <v>0</v>
      </c>
      <c r="H21" s="756">
        <f>IF(E21=0,0,BASEBUDGETS!D241*E21)</f>
        <v>0</v>
      </c>
      <c r="I21" s="756">
        <v>0</v>
      </c>
      <c r="J21" s="756">
        <f t="shared" si="0"/>
        <v>0</v>
      </c>
    </row>
    <row r="22" spans="2:14" s="611" customFormat="1" ht="21">
      <c r="C22" s="660" t="str">
        <f>TillageOperations!$B$10</f>
        <v>Chisel</v>
      </c>
      <c r="D22" s="765"/>
      <c r="E22" s="771">
        <f>BASEBUDGETS!E243/BASEBUDGETS!C185</f>
        <v>0</v>
      </c>
      <c r="F22" s="770" t="str">
        <f>BASEBUDGETS!C243</f>
        <v>acre</v>
      </c>
      <c r="G22" s="756">
        <f>IF(E22=0,0,BASEBUDGETS!D244*E22)</f>
        <v>0</v>
      </c>
      <c r="H22" s="756">
        <f>IF(E22=0,0,BASEBUDGETS!D243*E22)</f>
        <v>0</v>
      </c>
      <c r="I22" s="756">
        <v>0</v>
      </c>
      <c r="J22" s="756">
        <f t="shared" si="0"/>
        <v>0</v>
      </c>
    </row>
    <row r="23" spans="2:14" s="611" customFormat="1" ht="21">
      <c r="C23" s="660" t="str">
        <f>TillageOperations!$B$11</f>
        <v>Moldboard Plow</v>
      </c>
      <c r="D23" s="765"/>
      <c r="E23" s="771">
        <f>BASEBUDGETS!E245/BASEBUDGETS!C185</f>
        <v>0</v>
      </c>
      <c r="F23" s="770" t="str">
        <f>BASEBUDGETS!C245</f>
        <v>acre</v>
      </c>
      <c r="G23" s="756">
        <f>IF(E23=0,0,BASEBUDGETS!D246*E23)</f>
        <v>0</v>
      </c>
      <c r="H23" s="756">
        <f>IF(E23=0,0,BASEBUDGETS!D245*E23)</f>
        <v>0</v>
      </c>
      <c r="I23" s="756">
        <v>0</v>
      </c>
      <c r="J23" s="756">
        <f t="shared" si="0"/>
        <v>0</v>
      </c>
    </row>
    <row r="24" spans="2:14" s="611" customFormat="1" ht="21">
      <c r="C24" s="660" t="str">
        <f>TillageOperations!$B$12</f>
        <v>Cultivator</v>
      </c>
      <c r="D24" s="765"/>
      <c r="E24" s="771">
        <f>BASEBUDGETS!E247/BASEBUDGETS!C185</f>
        <v>0</v>
      </c>
      <c r="F24" s="770" t="str">
        <f>BASEBUDGETS!C247</f>
        <v>acre</v>
      </c>
      <c r="G24" s="756">
        <f>IF(E24=0,0,BASEBUDGETS!D248*E24)</f>
        <v>0</v>
      </c>
      <c r="H24" s="756">
        <f>IF(E24=0,0,BASEBUDGETS!D247*E24)</f>
        <v>0</v>
      </c>
      <c r="I24" s="756">
        <v>0</v>
      </c>
      <c r="J24" s="756">
        <f t="shared" si="0"/>
        <v>0</v>
      </c>
    </row>
    <row r="25" spans="2:14" s="611" customFormat="1" ht="21">
      <c r="C25" s="660" t="str">
        <f>TillageOperations!$B$13</f>
        <v>Landplane</v>
      </c>
      <c r="D25" s="765"/>
      <c r="E25" s="771">
        <f>BASEBUDGETS!E249/BASEBUDGETS!C185</f>
        <v>1</v>
      </c>
      <c r="F25" s="770" t="str">
        <f>BASEBUDGETS!C249</f>
        <v>acre</v>
      </c>
      <c r="G25" s="756">
        <f>IF(E25=0,0,BASEBUDGETS!D250*E25)</f>
        <v>3.8655178571428577</v>
      </c>
      <c r="H25" s="756">
        <f>IF(E25=0,0,BASEBUDGETS!D249*E25)</f>
        <v>8.0445253976590632</v>
      </c>
      <c r="I25" s="756">
        <v>0</v>
      </c>
      <c r="J25" s="756">
        <f t="shared" si="0"/>
        <v>11.91004325480192</v>
      </c>
    </row>
    <row r="26" spans="2:14" s="611" customFormat="1" ht="21">
      <c r="C26" s="660" t="str">
        <f>TillageOperations!$B$14</f>
        <v>Float</v>
      </c>
      <c r="D26" s="765"/>
      <c r="E26" s="771">
        <f>BASEBUDGETS!E251/BASEBUDGETS!C185</f>
        <v>0</v>
      </c>
      <c r="F26" s="770" t="str">
        <f>BASEBUDGETS!C251</f>
        <v>acre</v>
      </c>
      <c r="G26" s="756">
        <f>IF(E26=0,0,BASEBUDGETS!D252*E26)</f>
        <v>0</v>
      </c>
      <c r="H26" s="756">
        <f>IF(E26=0,0,BASEBUDGETS!D251*E26)</f>
        <v>0</v>
      </c>
      <c r="I26" s="756">
        <v>0</v>
      </c>
      <c r="J26" s="756">
        <f t="shared" si="0"/>
        <v>0</v>
      </c>
    </row>
    <row r="27" spans="2:14" s="611" customFormat="1" ht="21">
      <c r="C27" s="660" t="str">
        <f>TillageOperations!$B$15</f>
        <v>Lister</v>
      </c>
      <c r="D27" s="765"/>
      <c r="E27" s="771">
        <f>BASEBUDGETS!E253/BASEBUDGETS!C185</f>
        <v>1</v>
      </c>
      <c r="F27" s="770" t="str">
        <f>BASEBUDGETS!C253</f>
        <v>acre</v>
      </c>
      <c r="G27" s="756">
        <f>IF(E27=0,0,BASEBUDGETS!D254*E27)</f>
        <v>6.1848285714285725</v>
      </c>
      <c r="H27" s="756">
        <f>IF(E27=0,0,BASEBUDGETS!D253*E27)</f>
        <v>11.879642797844287</v>
      </c>
      <c r="I27" s="756">
        <v>0</v>
      </c>
      <c r="J27" s="756">
        <f t="shared" si="0"/>
        <v>18.064471369272859</v>
      </c>
    </row>
    <row r="28" spans="2:14" s="611" customFormat="1" ht="21">
      <c r="C28" s="660" t="str">
        <f>TillageOperations!$B$16</f>
        <v>Bed Shaper</v>
      </c>
      <c r="D28" s="765"/>
      <c r="E28" s="771">
        <f>BASEBUDGETS!E255/BASEBUDGETS!C185</f>
        <v>1</v>
      </c>
      <c r="F28" s="770" t="str">
        <f>BASEBUDGETS!C255</f>
        <v>acre</v>
      </c>
      <c r="G28" s="756">
        <f>IF(E28=0,0,BASEBUDGETS!D256*E28)</f>
        <v>3.0924142857142862</v>
      </c>
      <c r="H28" s="756">
        <f>IF(E28=0,0,BASEBUDGETS!D255*E28)</f>
        <v>5.9574634784635725</v>
      </c>
      <c r="I28" s="756">
        <v>0</v>
      </c>
      <c r="J28" s="756">
        <f t="shared" si="0"/>
        <v>9.0498777641778592</v>
      </c>
    </row>
    <row r="29" spans="2:14" s="611" customFormat="1" ht="21">
      <c r="C29" s="660" t="str">
        <f>TillageOperations!$B$17</f>
        <v>Cotton Shredder/Root Puller</v>
      </c>
      <c r="D29" s="765"/>
      <c r="E29" s="771">
        <f>BASEBUDGETS!E269/BASEBUDGETS!C185</f>
        <v>0</v>
      </c>
      <c r="F29" s="770" t="str">
        <f>BASEBUDGETS!C269</f>
        <v>acre</v>
      </c>
      <c r="G29" s="756">
        <f>IF(E29=0,0,BASEBUDGETS!D270*E29)</f>
        <v>0</v>
      </c>
      <c r="H29" s="756">
        <f>IF(E29=0,0,BASEBUDGETS!D269*E29)</f>
        <v>0</v>
      </c>
      <c r="I29" s="756">
        <v>0</v>
      </c>
      <c r="J29" s="756">
        <f>G29+H29+I29</f>
        <v>0</v>
      </c>
    </row>
    <row r="30" spans="2:14" s="611" customFormat="1" ht="21">
      <c r="C30" s="660" t="str">
        <f>BASEBUDGETS!B294</f>
        <v>Additional Land Prep. Labor</v>
      </c>
      <c r="D30" s="765">
        <f>GeneralInputPrices!$D$30</f>
        <v>14.55</v>
      </c>
      <c r="E30" s="758">
        <f>BASEBUDGETS!E294/BASEBUDGETS!C185</f>
        <v>0</v>
      </c>
      <c r="F30" s="773" t="str">
        <f>BASEBUDGETS!C294</f>
        <v>hour</v>
      </c>
      <c r="G30" s="756">
        <f>D30*E30</f>
        <v>0</v>
      </c>
      <c r="H30" s="756">
        <v>0</v>
      </c>
      <c r="I30" s="756">
        <v>0</v>
      </c>
      <c r="J30" s="765">
        <f t="shared" si="0"/>
        <v>0</v>
      </c>
    </row>
    <row r="31" spans="2:14" s="611" customFormat="1" ht="21">
      <c r="C31" s="660" t="str">
        <f>BASEBUDGETS!B295</f>
        <v>Additional Land Prep. Labor</v>
      </c>
      <c r="D31" s="765">
        <f>GeneralInputPrices!$D$30</f>
        <v>14.55</v>
      </c>
      <c r="E31" s="758">
        <f>BASEBUDGETS!E295/BASEBUDGETS!C185</f>
        <v>0</v>
      </c>
      <c r="F31" s="773" t="str">
        <f>BASEBUDGETS!C295</f>
        <v>hour</v>
      </c>
      <c r="G31" s="756">
        <f>D31*E31</f>
        <v>0</v>
      </c>
      <c r="H31" s="756">
        <v>0</v>
      </c>
      <c r="I31" s="756">
        <v>0</v>
      </c>
      <c r="J31" s="765">
        <f t="shared" si="0"/>
        <v>0</v>
      </c>
    </row>
    <row r="32" spans="2:14" s="611" customFormat="1" ht="21">
      <c r="B32" s="760" t="s">
        <v>175</v>
      </c>
      <c r="C32" s="760"/>
      <c r="D32" s="765"/>
      <c r="E32" s="774"/>
      <c r="G32" s="757"/>
      <c r="H32" s="757"/>
      <c r="I32" s="757"/>
      <c r="J32" s="757"/>
    </row>
    <row r="33" spans="3:10" s="611" customFormat="1" ht="21">
      <c r="C33" s="660" t="str">
        <f>BASEBUDGETS!B222</f>
        <v>Drill, Custom</v>
      </c>
      <c r="D33" s="765">
        <f>CustomOperations!D24</f>
        <v>0</v>
      </c>
      <c r="E33" s="771">
        <f>BASEBUDGETS!E222/BASEBUDGETS!C185</f>
        <v>0</v>
      </c>
      <c r="F33" s="770" t="str">
        <f>BASEBUDGETS!C222</f>
        <v>acre</v>
      </c>
      <c r="G33" s="756">
        <v>0</v>
      </c>
      <c r="H33" s="756">
        <v>0</v>
      </c>
      <c r="I33" s="756">
        <f>IF(E33=0,0,(BASEBUDGETS!D222*E33))</f>
        <v>0</v>
      </c>
      <c r="J33" s="756">
        <f t="shared" si="0"/>
        <v>0</v>
      </c>
    </row>
    <row r="34" spans="3:10" s="611" customFormat="1" ht="21">
      <c r="C34" s="660" t="str">
        <f>BASEBUDGETS!B223</f>
        <v>Row Planter, Custom</v>
      </c>
      <c r="D34" s="765">
        <f>CustomOperations!D26</f>
        <v>0</v>
      </c>
      <c r="E34" s="771">
        <f>BASEBUDGETS!E223/BASEBUDGETS!C185</f>
        <v>0</v>
      </c>
      <c r="F34" s="770" t="str">
        <f>BASEBUDGETS!C223</f>
        <v>acre</v>
      </c>
      <c r="G34" s="756">
        <v>0</v>
      </c>
      <c r="H34" s="756">
        <v>0</v>
      </c>
      <c r="I34" s="756">
        <f>IF(E34=0,0,(BASEBUDGETS!D223*E34))</f>
        <v>0</v>
      </c>
      <c r="J34" s="756">
        <f t="shared" si="0"/>
        <v>0</v>
      </c>
    </row>
    <row r="35" spans="3:10" s="611" customFormat="1" ht="21">
      <c r="C35" s="660" t="str">
        <f>TillageOperations!$B$21</f>
        <v>Drill</v>
      </c>
      <c r="D35" s="765"/>
      <c r="E35" s="771">
        <f>BASEBUDGETS!E261/BASEBUDGETS!C185</f>
        <v>0</v>
      </c>
      <c r="F35" s="770" t="str">
        <f>BASEBUDGETS!C261</f>
        <v>acre</v>
      </c>
      <c r="G35" s="756">
        <f>IF(E35=0,0,BASEBUDGETS!D262*E35)</f>
        <v>0</v>
      </c>
      <c r="H35" s="756">
        <f>IF(E35=0,0,BASEBUDGETS!D261*E35)</f>
        <v>0</v>
      </c>
      <c r="I35" s="756">
        <v>0</v>
      </c>
      <c r="J35" s="756">
        <f t="shared" si="0"/>
        <v>0</v>
      </c>
    </row>
    <row r="36" spans="3:10" s="611" customFormat="1" ht="21">
      <c r="C36" s="660" t="str">
        <f>TillageOperations!$B$19</f>
        <v>Row Planter</v>
      </c>
      <c r="D36" s="765"/>
      <c r="E36" s="771">
        <f>BASEBUDGETS!E257/BASEBUDGETS!C185</f>
        <v>1</v>
      </c>
      <c r="F36" s="770" t="str">
        <f>BASEBUDGETS!C257</f>
        <v>acre</v>
      </c>
      <c r="G36" s="756">
        <f>IF(E36=0,0,BASEBUDGETS!D258*E36)</f>
        <v>4.5097708333333344</v>
      </c>
      <c r="H36" s="756">
        <f>IF(E36=0,0,BASEBUDGETS!D257*E36)</f>
        <v>8.8400048303091552</v>
      </c>
      <c r="I36" s="756">
        <v>0</v>
      </c>
      <c r="J36" s="756">
        <f>G36+H36+I36</f>
        <v>13.34977566364249</v>
      </c>
    </row>
    <row r="37" spans="3:10" s="611" customFormat="1" ht="21">
      <c r="C37" s="660" t="str">
        <f>TillageOperations!$B$22</f>
        <v>Transplanter</v>
      </c>
      <c r="D37" s="765"/>
      <c r="E37" s="771">
        <f>BASEBUDGETS!E292/BASEBUDGETS!C185</f>
        <v>0</v>
      </c>
      <c r="F37" s="770" t="str">
        <f>BASEBUDGETS!C292</f>
        <v>acre</v>
      </c>
      <c r="G37" s="756">
        <f>IF(E37=0,0,BASEBUDGETS!D293*E37)</f>
        <v>0</v>
      </c>
      <c r="H37" s="756">
        <f>IF(E37=0,0,BASEBUDGETS!D292*E37)</f>
        <v>0</v>
      </c>
      <c r="I37" s="756">
        <v>0</v>
      </c>
      <c r="J37" s="756">
        <f>G37+H37+I37</f>
        <v>0</v>
      </c>
    </row>
    <row r="38" spans="3:10" s="611" customFormat="1" ht="21">
      <c r="C38" s="660" t="s">
        <v>439</v>
      </c>
      <c r="D38" s="765"/>
      <c r="E38" s="771"/>
      <c r="F38" s="770"/>
      <c r="G38" s="756">
        <v>0</v>
      </c>
      <c r="H38" s="756">
        <v>0</v>
      </c>
      <c r="I38" s="756">
        <f>(D39*E39)+(D40*E40)</f>
        <v>6</v>
      </c>
      <c r="J38" s="765">
        <f>G38+H38+I38</f>
        <v>6</v>
      </c>
    </row>
    <row r="39" spans="3:10" s="611" customFormat="1" ht="21">
      <c r="C39" s="660" t="str">
        <f>BASEBUDGETS!B194</f>
        <v xml:space="preserve">   - Seed</v>
      </c>
      <c r="D39" s="765">
        <f>BASEBUDGETS!F194/BASEBUDGETS!C185</f>
        <v>0</v>
      </c>
      <c r="E39" s="775">
        <v>1</v>
      </c>
      <c r="F39" s="769" t="s">
        <v>157</v>
      </c>
      <c r="G39" s="757"/>
      <c r="H39" s="757"/>
      <c r="I39" s="757"/>
      <c r="J39" s="757"/>
    </row>
    <row r="40" spans="3:10" s="611" customFormat="1" ht="21">
      <c r="C40" s="660" t="str">
        <f>'Inputs&amp;PricesbyCrop'!B22</f>
        <v xml:space="preserve">   - Inoculant</v>
      </c>
      <c r="D40" s="765">
        <f>BASEBUDGETS!D195</f>
        <v>3</v>
      </c>
      <c r="E40" s="775">
        <f>BASEBUDGETS!E195/BASEBUDGETS!C185</f>
        <v>2</v>
      </c>
      <c r="F40" s="769" t="str">
        <f>BASEBUDGETS!C195</f>
        <v>pounds</v>
      </c>
      <c r="G40" s="765"/>
      <c r="H40" s="765"/>
      <c r="I40" s="765"/>
      <c r="J40" s="765"/>
    </row>
    <row r="41" spans="3:10" s="611" customFormat="1" ht="21">
      <c r="C41" s="660" t="str">
        <f>BASEBUDGETS!B234</f>
        <v>Fertilizer Spreader, Custom</v>
      </c>
      <c r="D41" s="765">
        <f>CustomOperations!D32</f>
        <v>10.08</v>
      </c>
      <c r="E41" s="771">
        <f>BASEBUDGETS!E234/BASEBUDGETS!C185</f>
        <v>0</v>
      </c>
      <c r="F41" s="770" t="str">
        <f>BASEBUDGETS!C234</f>
        <v>acre</v>
      </c>
      <c r="G41" s="756">
        <v>0</v>
      </c>
      <c r="H41" s="756">
        <v>0</v>
      </c>
      <c r="I41" s="756">
        <f>IF(E41=0,0,BASEBUDGETS!D234*E41)</f>
        <v>0</v>
      </c>
      <c r="J41" s="756">
        <f>G41+H41+I41</f>
        <v>0</v>
      </c>
    </row>
    <row r="42" spans="3:10" s="611" customFormat="1" ht="21">
      <c r="C42" s="660" t="str">
        <f>BASEBUDGETS!B235</f>
        <v>Laser Landplaning, Custom</v>
      </c>
      <c r="D42" s="765">
        <f>CustomOperations!D34</f>
        <v>0</v>
      </c>
      <c r="E42" s="771">
        <f>BASEBUDGETS!E235/BASEBUDGETS!C185</f>
        <v>0</v>
      </c>
      <c r="F42" s="770" t="str">
        <f>BASEBUDGETS!C235</f>
        <v>acre</v>
      </c>
      <c r="G42" s="756">
        <v>0</v>
      </c>
      <c r="H42" s="756">
        <v>0</v>
      </c>
      <c r="I42" s="756">
        <f>IF(E42=0,0,BASEBUDGETS!D235*E42)</f>
        <v>0</v>
      </c>
      <c r="J42" s="756">
        <f>G42+H42+I42</f>
        <v>0</v>
      </c>
    </row>
    <row r="43" spans="3:10" s="611" customFormat="1" ht="21">
      <c r="C43" s="660" t="str">
        <f>TillageOperations!$B$23</f>
        <v>Fertilizer Spreader</v>
      </c>
      <c r="D43" s="765"/>
      <c r="E43" s="771">
        <f>BASEBUDGETS!E286/BASEBUDGETS!C185</f>
        <v>1</v>
      </c>
      <c r="F43" s="770" t="str">
        <f>BASEBUDGETS!C286</f>
        <v>acre</v>
      </c>
      <c r="G43" s="756">
        <f>IF(E43=0,0,BASEBUDGETS!D287*E43)</f>
        <v>1.879071180555556</v>
      </c>
      <c r="H43" s="756">
        <f>IF(E43=0,0,BASEBUDGETS!D286*E43)</f>
        <v>2.6573732562743069</v>
      </c>
      <c r="I43" s="756">
        <v>0</v>
      </c>
      <c r="J43" s="756">
        <f>G43+H43+I43</f>
        <v>4.5364444368298624</v>
      </c>
    </row>
    <row r="44" spans="3:10" s="611" customFormat="1" ht="21">
      <c r="C44" s="660" t="str">
        <f>TillageOperations!$B$24</f>
        <v>Fertilizer Injection System</v>
      </c>
      <c r="D44" s="765"/>
      <c r="E44" s="771">
        <f>BASEBUDGETS!E288/BASEBUDGETS!C185</f>
        <v>0</v>
      </c>
      <c r="F44" s="770" t="str">
        <f>BASEBUDGETS!C288</f>
        <v>acre</v>
      </c>
      <c r="G44" s="756">
        <f>IF(E44=0,0,BASEBUDGETS!D289*E44)</f>
        <v>0</v>
      </c>
      <c r="H44" s="756">
        <f>IF(E44=0,0,BASEBUDGETS!D288*E44)</f>
        <v>0</v>
      </c>
      <c r="I44" s="756">
        <v>0</v>
      </c>
      <c r="J44" s="756">
        <f>G44+H44+I44</f>
        <v>0</v>
      </c>
    </row>
    <row r="45" spans="3:10" s="611" customFormat="1" ht="21">
      <c r="C45" s="660" t="s">
        <v>407</v>
      </c>
      <c r="D45" s="765"/>
      <c r="E45" s="771"/>
      <c r="F45" s="770"/>
      <c r="G45" s="756">
        <v>0</v>
      </c>
      <c r="H45" s="756">
        <v>0</v>
      </c>
      <c r="I45" s="756">
        <f>(D46*E46)+(D47*E47)+(D48*E48)+(D49*E49)+(D50*E50)+(D51*E51)+(D52*E52)</f>
        <v>99.6</v>
      </c>
      <c r="J45" s="765">
        <f>G45+H45+I45</f>
        <v>99.6</v>
      </c>
    </row>
    <row r="46" spans="3:10" s="611" customFormat="1" ht="21">
      <c r="C46" s="660" t="str">
        <f>BASEBUDGETS!B196</f>
        <v xml:space="preserve">   - Nitrogen</v>
      </c>
      <c r="D46" s="765">
        <f>BASEBUDGETS!D196</f>
        <v>0.46</v>
      </c>
      <c r="E46" s="775">
        <f>BASEBUDGETS!E196/BASEBUDGETS!C185</f>
        <v>60</v>
      </c>
      <c r="F46" s="769" t="str">
        <f>BASEBUDGETS!C196</f>
        <v>pounds</v>
      </c>
      <c r="G46" s="765"/>
      <c r="H46" s="765"/>
      <c r="I46" s="765"/>
      <c r="J46" s="765"/>
    </row>
    <row r="47" spans="3:10" s="611" customFormat="1" ht="21">
      <c r="C47" s="660" t="str">
        <f>BASEBUDGETS!B197</f>
        <v xml:space="preserve">   - Phosphorus</v>
      </c>
      <c r="D47" s="765">
        <f>BASEBUDGETS!D197</f>
        <v>0.36</v>
      </c>
      <c r="E47" s="775">
        <f>BASEBUDGETS!E197/BASEBUDGETS!C185</f>
        <v>200</v>
      </c>
      <c r="F47" s="769" t="str">
        <f>BASEBUDGETS!C197</f>
        <v>pounds</v>
      </c>
      <c r="G47" s="765"/>
      <c r="H47" s="765"/>
      <c r="I47" s="765"/>
      <c r="J47" s="765"/>
    </row>
    <row r="48" spans="3:10" s="611" customFormat="1" ht="21">
      <c r="C48" s="660" t="str">
        <f>BASEBUDGETS!B198</f>
        <v xml:space="preserve">   - Anhydrous Ammonia</v>
      </c>
      <c r="D48" s="765">
        <f>BASEBUDGETS!D198</f>
        <v>0.21</v>
      </c>
      <c r="E48" s="775">
        <f>BASEBUDGETS!E198/BASEBUDGETS!C185</f>
        <v>0</v>
      </c>
      <c r="F48" s="769" t="str">
        <f>BASEBUDGETS!C198</f>
        <v>pounds</v>
      </c>
      <c r="G48" s="765"/>
      <c r="H48" s="765"/>
      <c r="I48" s="765"/>
      <c r="J48" s="765"/>
    </row>
    <row r="49" spans="3:10" s="611" customFormat="1" ht="21">
      <c r="C49" s="660" t="str">
        <f>BASEBUDGETS!B199</f>
        <v xml:space="preserve">   - Trace Elements</v>
      </c>
      <c r="D49" s="765">
        <f>BASEBUDGETS!D199</f>
        <v>0.24</v>
      </c>
      <c r="E49" s="775">
        <f>BASEBUDGETS!E199/BASEBUDGETS!C185</f>
        <v>0</v>
      </c>
      <c r="F49" s="769" t="str">
        <f>BASEBUDGETS!C199</f>
        <v>pounds</v>
      </c>
      <c r="G49" s="765"/>
      <c r="H49" s="765"/>
      <c r="I49" s="765"/>
      <c r="J49" s="765"/>
    </row>
    <row r="50" spans="3:10" s="611" customFormat="1" ht="21">
      <c r="C50" s="660" t="str">
        <f>BASEBUDGETS!B200</f>
        <v xml:space="preserve">   - Nitrogen</v>
      </c>
      <c r="D50" s="765">
        <f>BASEBUDGETS!D200</f>
        <v>0</v>
      </c>
      <c r="E50" s="775">
        <f>BASEBUDGETS!E200/BASEBUDGETS!C185</f>
        <v>1</v>
      </c>
      <c r="F50" s="769" t="str">
        <f>BASEBUDGETS!C200</f>
        <v>acre</v>
      </c>
      <c r="G50" s="765"/>
      <c r="H50" s="765"/>
      <c r="I50" s="765"/>
      <c r="J50" s="765"/>
    </row>
    <row r="51" spans="3:10" s="611" customFormat="1" ht="21">
      <c r="C51" s="660" t="str">
        <f>BASEBUDGETS!B201</f>
        <v xml:space="preserve">   - Phosphorus</v>
      </c>
      <c r="D51" s="765">
        <f>BASEBUDGETS!D201</f>
        <v>0</v>
      </c>
      <c r="E51" s="775">
        <f>BASEBUDGETS!E201/BASEBUDGETS!C185</f>
        <v>1</v>
      </c>
      <c r="F51" s="769" t="str">
        <f>BASEBUDGETS!C201</f>
        <v>acre</v>
      </c>
      <c r="G51" s="765"/>
      <c r="H51" s="765"/>
      <c r="I51" s="765"/>
      <c r="J51" s="765"/>
    </row>
    <row r="52" spans="3:10" s="611" customFormat="1" ht="21">
      <c r="C52" s="660" t="str">
        <f>BASEBUDGETS!B202</f>
        <v xml:space="preserve">   - Fertilizer - Anhydrous Applicator</v>
      </c>
      <c r="D52" s="765">
        <f>BASEBUDGETS!D202</f>
        <v>0</v>
      </c>
      <c r="E52" s="775">
        <f>BASEBUDGETS!E202/BASEBUDGETS!C185</f>
        <v>1</v>
      </c>
      <c r="F52" s="769" t="str">
        <f>BASEBUDGETS!C202</f>
        <v>acre</v>
      </c>
      <c r="G52" s="765"/>
      <c r="H52" s="765"/>
      <c r="I52" s="765"/>
      <c r="J52" s="765"/>
    </row>
    <row r="53" spans="3:10" s="611" customFormat="1" ht="21">
      <c r="C53" s="660" t="str">
        <f>BASEBUDGETS!B236</f>
        <v>Boom Sprayer, Custom</v>
      </c>
      <c r="D53" s="765">
        <f>CustomOperations!D30</f>
        <v>10.050000000000001</v>
      </c>
      <c r="E53" s="771">
        <f>BASEBUDGETS!E236/BASEBUDGETS!C185</f>
        <v>0</v>
      </c>
      <c r="F53" s="770" t="str">
        <f>BASEBUDGETS!C236</f>
        <v>acre</v>
      </c>
      <c r="G53" s="756">
        <v>0</v>
      </c>
      <c r="H53" s="756">
        <v>0</v>
      </c>
      <c r="I53" s="756">
        <f>IF(E53=0,0,BASEBUDGETS!D236*E53)</f>
        <v>0</v>
      </c>
      <c r="J53" s="756">
        <f>G53+H53+I53</f>
        <v>0</v>
      </c>
    </row>
    <row r="54" spans="3:10" s="611" customFormat="1" ht="21">
      <c r="C54" s="660" t="str">
        <f>TillageOperations!$B$25</f>
        <v>Boom Sprayer</v>
      </c>
      <c r="D54" s="765"/>
      <c r="E54" s="771">
        <f>BASEBUDGETS!E290/BASEBUDGETS!C185</f>
        <v>3</v>
      </c>
      <c r="F54" s="770" t="str">
        <f>BASEBUDGETS!C290</f>
        <v>acre</v>
      </c>
      <c r="G54" s="756">
        <f>IF(E54=0,0,BASEBUDGETS!D291*E54)</f>
        <v>3.5681703296703295</v>
      </c>
      <c r="H54" s="756">
        <f>IF(E54=0,0,BASEBUDGETS!D290*E54)</f>
        <v>4.7988921145404344</v>
      </c>
      <c r="I54" s="756">
        <v>0</v>
      </c>
      <c r="J54" s="756">
        <f>G54+H54+I54</f>
        <v>8.3670624442107631</v>
      </c>
    </row>
    <row r="55" spans="3:10" s="611" customFormat="1" ht="21">
      <c r="C55" s="660" t="s">
        <v>408</v>
      </c>
      <c r="D55" s="765"/>
      <c r="E55" s="771"/>
      <c r="F55" s="770"/>
      <c r="G55" s="756">
        <v>0</v>
      </c>
      <c r="H55" s="756">
        <v>0</v>
      </c>
      <c r="I55" s="756">
        <f>(D56*E56)+(D57*E57)+(D58*E58)+(D59*E59)+(D60*E60)+(D61*E61)+(D62*E62)</f>
        <v>90.25</v>
      </c>
      <c r="J55" s="765">
        <f>G55+H55+I55</f>
        <v>90.25</v>
      </c>
    </row>
    <row r="56" spans="3:10" s="611" customFormat="1" ht="21">
      <c r="C56" s="660" t="str">
        <f>BASEBUDGETS!B203</f>
        <v xml:space="preserve">   - Prowl</v>
      </c>
      <c r="D56" s="765">
        <f>BASEBUDGETS!D203</f>
        <v>6.0625</v>
      </c>
      <c r="E56" s="775">
        <f>BASEBUDGETS!E203/BASEBUDGETS!C185</f>
        <v>9</v>
      </c>
      <c r="F56" s="769" t="str">
        <f>BASEBUDGETS!C203</f>
        <v>pints</v>
      </c>
      <c r="G56" s="765"/>
      <c r="H56" s="765"/>
      <c r="I56" s="765"/>
      <c r="J56" s="765"/>
    </row>
    <row r="57" spans="3:10" s="611" customFormat="1" ht="21">
      <c r="C57" s="660" t="str">
        <f>BASEBUDGETS!B204</f>
        <v xml:space="preserve">   - Aim</v>
      </c>
      <c r="D57" s="765">
        <f>BASEBUDGETS!D204</f>
        <v>5.9375</v>
      </c>
      <c r="E57" s="775">
        <f>BASEBUDGETS!E204/BASEBUDGETS!C185</f>
        <v>1.8</v>
      </c>
      <c r="F57" s="769" t="str">
        <f>BASEBUDGETS!C204</f>
        <v>ounces</v>
      </c>
      <c r="G57" s="765"/>
      <c r="H57" s="765"/>
      <c r="I57" s="765"/>
      <c r="J57" s="765"/>
    </row>
    <row r="58" spans="3:10" s="611" customFormat="1" ht="21">
      <c r="C58" s="660" t="str">
        <f>BASEBUDGETS!B205</f>
        <v xml:space="preserve">   - Fusilade</v>
      </c>
      <c r="D58" s="765">
        <f>BASEBUDGETS!D205</f>
        <v>1.25</v>
      </c>
      <c r="E58" s="775">
        <f>BASEBUDGETS!E205/BASEBUDGETS!C185</f>
        <v>20</v>
      </c>
      <c r="F58" s="769" t="str">
        <f>BASEBUDGETS!C205</f>
        <v>ounces</v>
      </c>
      <c r="G58" s="765"/>
      <c r="H58" s="765"/>
      <c r="I58" s="765"/>
      <c r="J58" s="765"/>
    </row>
    <row r="59" spans="3:10" s="611" customFormat="1" ht="21">
      <c r="C59" s="660" t="str">
        <f>BASEBUDGETS!B206</f>
        <v xml:space="preserve">   - Herbicides</v>
      </c>
      <c r="D59" s="765">
        <f>BASEBUDGETS!D206</f>
        <v>0</v>
      </c>
      <c r="E59" s="775">
        <f>BASEBUDGETS!E206/BASEBUDGETS!C185</f>
        <v>1</v>
      </c>
      <c r="F59" s="769" t="str">
        <f>BASEBUDGETS!C206</f>
        <v>acre</v>
      </c>
      <c r="G59" s="765"/>
      <c r="H59" s="765"/>
      <c r="I59" s="765"/>
      <c r="J59" s="765"/>
    </row>
    <row r="60" spans="3:10" s="611" customFormat="1" ht="21">
      <c r="C60" s="660" t="str">
        <f>BASEBUDGETS!B207</f>
        <v xml:space="preserve">   - Herbicide - #2</v>
      </c>
      <c r="D60" s="765">
        <f>BASEBUDGETS!D207</f>
        <v>0</v>
      </c>
      <c r="E60" s="775">
        <f>BASEBUDGETS!E207/BASEBUDGETS!C185</f>
        <v>1</v>
      </c>
      <c r="F60" s="769" t="str">
        <f>BASEBUDGETS!C207</f>
        <v>acre</v>
      </c>
      <c r="G60" s="765"/>
      <c r="H60" s="765"/>
      <c r="I60" s="765"/>
      <c r="J60" s="765"/>
    </row>
    <row r="61" spans="3:10" s="611" customFormat="1" ht="21">
      <c r="C61" s="660" t="str">
        <f>BASEBUDGETS!B208</f>
        <v xml:space="preserve">   - Insecticides</v>
      </c>
      <c r="D61" s="765">
        <f>BASEBUDGETS!D208</f>
        <v>0</v>
      </c>
      <c r="E61" s="775">
        <f>BASEBUDGETS!E208/BASEBUDGETS!C185</f>
        <v>1</v>
      </c>
      <c r="F61" s="769" t="str">
        <f>BASEBUDGETS!C208</f>
        <v>acre</v>
      </c>
      <c r="G61" s="765"/>
      <c r="H61" s="765"/>
      <c r="I61" s="765"/>
      <c r="J61" s="765"/>
    </row>
    <row r="62" spans="3:10" s="611" customFormat="1" ht="21">
      <c r="C62" s="660" t="str">
        <f>BASEBUDGETS!B209</f>
        <v xml:space="preserve">   - Insecticide - #2</v>
      </c>
      <c r="D62" s="765">
        <f>BASEBUDGETS!D209</f>
        <v>0</v>
      </c>
      <c r="E62" s="775">
        <f>BASEBUDGETS!E209/BASEBUDGETS!C185</f>
        <v>1</v>
      </c>
      <c r="F62" s="769" t="str">
        <f>BASEBUDGETS!C209</f>
        <v>acre</v>
      </c>
      <c r="G62" s="765"/>
      <c r="H62" s="765"/>
      <c r="I62" s="765"/>
      <c r="J62" s="765"/>
    </row>
    <row r="63" spans="3:10" s="611" customFormat="1" ht="21">
      <c r="C63" s="660" t="str">
        <f>BASEBUDGETS!B224</f>
        <v>Row Cultivator, Custom</v>
      </c>
      <c r="D63" s="765">
        <f>CustomOperations!D28</f>
        <v>0</v>
      </c>
      <c r="E63" s="771">
        <f>BASEBUDGETS!E224/BASEBUDGETS!C185</f>
        <v>0</v>
      </c>
      <c r="F63" s="770" t="str">
        <f>BASEBUDGETS!C224</f>
        <v>acre</v>
      </c>
      <c r="G63" s="756">
        <v>0</v>
      </c>
      <c r="H63" s="756">
        <v>0</v>
      </c>
      <c r="I63" s="756">
        <f>IF(E63=0,0,BASEBUDGETS!D224*E63)</f>
        <v>0</v>
      </c>
      <c r="J63" s="756">
        <f>G63+H63+I63</f>
        <v>0</v>
      </c>
    </row>
    <row r="64" spans="3:10" s="611" customFormat="1" ht="21">
      <c r="C64" s="660" t="str">
        <f>TillageOperations!$B$20</f>
        <v>Row Cultivator</v>
      </c>
      <c r="D64" s="765"/>
      <c r="E64" s="771">
        <f>BASEBUDGETS!E259/BASEBUDGETS!C185</f>
        <v>2</v>
      </c>
      <c r="F64" s="770" t="str">
        <f>BASEBUDGETS!C259</f>
        <v>acre</v>
      </c>
      <c r="G64" s="756">
        <f>IF(E64=0,0,BASEBUDGETS!D260*E64)</f>
        <v>6.0130277777777783</v>
      </c>
      <c r="H64" s="756">
        <f>IF(E64=0,0,BASEBUDGETS!D259*E64)</f>
        <v>7.1646282065450748</v>
      </c>
      <c r="I64" s="756">
        <v>0</v>
      </c>
      <c r="J64" s="756">
        <f>G64+H64+I64</f>
        <v>13.177655984322854</v>
      </c>
    </row>
    <row r="65" spans="2:10" s="611" customFormat="1" ht="21">
      <c r="C65" s="660" t="s">
        <v>151</v>
      </c>
      <c r="D65" s="765"/>
      <c r="E65" s="776" t="s">
        <v>10</v>
      </c>
      <c r="F65" s="777" t="s">
        <v>10</v>
      </c>
      <c r="G65" s="756">
        <f>(D67*E67)+(D70*E70)+(D73*E73)</f>
        <v>57.036000000000001</v>
      </c>
      <c r="H65" s="756">
        <v>0</v>
      </c>
      <c r="I65" s="765">
        <f>(D66*E66)+(D69*E69)+(D72*E72)+(D68*E68)+(D71*E71)+(D74*E74)</f>
        <v>218.6</v>
      </c>
      <c r="J65" s="765">
        <f>G65+H65+I65</f>
        <v>275.63599999999997</v>
      </c>
    </row>
    <row r="66" spans="2:10" s="611" customFormat="1" ht="21">
      <c r="B66" s="660"/>
      <c r="C66" s="660" t="str">
        <f>BASEBUDGETS!B210</f>
        <v>Flood - Irrigation Water</v>
      </c>
      <c r="D66" s="765">
        <f>BASEBUDGETS!D210</f>
        <v>55</v>
      </c>
      <c r="E66" s="775">
        <f>BASEBUDGETS!E210/BASEBUDGETS!C$185</f>
        <v>3.92</v>
      </c>
      <c r="F66" s="769" t="str">
        <f>BASEBUDGETS!C210</f>
        <v>ac ft</v>
      </c>
      <c r="G66" s="756"/>
      <c r="H66" s="756"/>
      <c r="I66" s="765"/>
      <c r="J66" s="765"/>
    </row>
    <row r="67" spans="2:10" s="611" customFormat="1" ht="21">
      <c r="B67" s="660"/>
      <c r="C67" s="660" t="str">
        <f>BASEBUDGETS!B211</f>
        <v>Flood - Irrigation Labor</v>
      </c>
      <c r="D67" s="765">
        <f>BASEBUDGETS!D211</f>
        <v>14.55</v>
      </c>
      <c r="E67" s="775">
        <f>BASEBUDGETS!E211/BASEBUDGETS!C$185</f>
        <v>3.92</v>
      </c>
      <c r="F67" s="769" t="str">
        <f>BASEBUDGETS!C211</f>
        <v>hour</v>
      </c>
      <c r="G67" s="756"/>
      <c r="H67" s="756"/>
      <c r="I67" s="765"/>
      <c r="J67" s="765"/>
    </row>
    <row r="68" spans="2:10" s="611" customFormat="1" ht="21">
      <c r="C68" s="660" t="str">
        <f>BASEBUDGETS!B212</f>
        <v xml:space="preserve">   - Annual Repairs &amp; Maintenance</v>
      </c>
      <c r="D68" s="765">
        <f>BASEBUDGETS!D212</f>
        <v>3</v>
      </c>
      <c r="E68" s="775">
        <f>BASEBUDGETS!E212/BASEBUDGETS!C$185</f>
        <v>1</v>
      </c>
      <c r="F68" s="769" t="str">
        <f>BASEBUDGETS!C212</f>
        <v>acre</v>
      </c>
      <c r="G68" s="757"/>
      <c r="H68" s="757"/>
      <c r="I68" s="756"/>
      <c r="J68" s="778" t="s">
        <v>10</v>
      </c>
    </row>
    <row r="69" spans="2:10" s="611" customFormat="1" ht="21">
      <c r="C69" s="660" t="str">
        <f>BASEBUDGETS!B213</f>
        <v>Drip-tape - Irrigation Water</v>
      </c>
      <c r="D69" s="765">
        <f>BASEBUDGETS!D213</f>
        <v>55</v>
      </c>
      <c r="E69" s="775">
        <f>BASEBUDGETS!E213/BASEBUDGETS!C$185</f>
        <v>0</v>
      </c>
      <c r="F69" s="769" t="str">
        <f>BASEBUDGETS!C213</f>
        <v>ac ft</v>
      </c>
      <c r="G69" s="756"/>
      <c r="H69" s="756"/>
      <c r="I69" s="756"/>
      <c r="J69" s="765"/>
    </row>
    <row r="70" spans="2:10" s="611" customFormat="1" ht="21">
      <c r="C70" s="660" t="str">
        <f>BASEBUDGETS!B214</f>
        <v>Drip-tape - Irrigation Labor</v>
      </c>
      <c r="D70" s="765">
        <f>BASEBUDGETS!D214</f>
        <v>14.55</v>
      </c>
      <c r="E70" s="775">
        <f>BASEBUDGETS!E214/BASEBUDGETS!C$185</f>
        <v>0</v>
      </c>
      <c r="F70" s="769" t="str">
        <f>BASEBUDGETS!C214</f>
        <v>hour</v>
      </c>
      <c r="G70" s="756"/>
      <c r="H70" s="756"/>
      <c r="I70" s="756"/>
      <c r="J70" s="765"/>
    </row>
    <row r="71" spans="2:10" s="611" customFormat="1" ht="21">
      <c r="C71" s="660" t="str">
        <f>BASEBUDGETS!B215</f>
        <v xml:space="preserve">   - Annual Repairs &amp; Maintenance</v>
      </c>
      <c r="D71" s="765">
        <f>BASEBUDGETS!D215</f>
        <v>7.5</v>
      </c>
      <c r="E71" s="775">
        <f>BASEBUDGETS!E215/BASEBUDGETS!C$185</f>
        <v>0</v>
      </c>
      <c r="F71" s="769" t="str">
        <f>BASEBUDGETS!C215</f>
        <v>acre</v>
      </c>
      <c r="G71" s="756"/>
      <c r="H71" s="756"/>
      <c r="I71" s="756"/>
      <c r="J71" s="765"/>
    </row>
    <row r="72" spans="2:10" s="611" customFormat="1" ht="21">
      <c r="C72" s="660" t="str">
        <f>BASEBUDGETS!B216</f>
        <v>Sprinkler - Irrigation Water</v>
      </c>
      <c r="D72" s="765">
        <f>BASEBUDGETS!D216</f>
        <v>55</v>
      </c>
      <c r="E72" s="775">
        <f>BASEBUDGETS!E216/BASEBUDGETS!C$185</f>
        <v>0</v>
      </c>
      <c r="F72" s="769" t="str">
        <f>BASEBUDGETS!C216</f>
        <v>ac ft</v>
      </c>
      <c r="G72" s="756"/>
      <c r="H72" s="756"/>
      <c r="I72" s="756"/>
      <c r="J72" s="765"/>
    </row>
    <row r="73" spans="2:10" s="611" customFormat="1" ht="21">
      <c r="C73" s="660" t="str">
        <f>BASEBUDGETS!B217</f>
        <v>Sprinkler - Irrigation Labor</v>
      </c>
      <c r="D73" s="765">
        <f>BASEBUDGETS!D217</f>
        <v>14.55</v>
      </c>
      <c r="E73" s="775">
        <f>BASEBUDGETS!E217/BASEBUDGETS!C$185</f>
        <v>0</v>
      </c>
      <c r="F73" s="769" t="str">
        <f>BASEBUDGETS!C217</f>
        <v>hour</v>
      </c>
      <c r="G73" s="756"/>
      <c r="H73" s="756"/>
      <c r="I73" s="756"/>
      <c r="J73" s="765"/>
    </row>
    <row r="74" spans="2:10" s="611" customFormat="1" ht="21">
      <c r="C74" s="660" t="str">
        <f>BASEBUDGETS!B218</f>
        <v xml:space="preserve">   - Annual Repairs &amp; Maintenance</v>
      </c>
      <c r="D74" s="765">
        <f>BASEBUDGETS!D218</f>
        <v>15</v>
      </c>
      <c r="E74" s="775">
        <f>BASEBUDGETS!E218/BASEBUDGETS!C$185</f>
        <v>0</v>
      </c>
      <c r="F74" s="769" t="str">
        <f>BASEBUDGETS!C218</f>
        <v>acre</v>
      </c>
      <c r="G74" s="756"/>
      <c r="H74" s="756"/>
      <c r="I74" s="756"/>
      <c r="J74" s="765"/>
    </row>
    <row r="75" spans="2:10" s="611" customFormat="1" ht="21">
      <c r="C75" s="660" t="str">
        <f>BASEBUDGETS!B296</f>
        <v>Additional Crop Prod. Labor</v>
      </c>
      <c r="D75" s="765">
        <f>GeneralInputPrices!$D$31</f>
        <v>14.55</v>
      </c>
      <c r="E75" s="771">
        <f>BASEBUDGETS!E296/BASEBUDGETS!C185</f>
        <v>0</v>
      </c>
      <c r="F75" s="770" t="str">
        <f>BASEBUDGETS!C296</f>
        <v>hour</v>
      </c>
      <c r="G75" s="756">
        <f>D75*E75</f>
        <v>0</v>
      </c>
      <c r="H75" s="756">
        <v>0</v>
      </c>
      <c r="I75" s="756">
        <v>0</v>
      </c>
      <c r="J75" s="765">
        <f t="shared" ref="J75:J76" si="1">G75+H75+I75</f>
        <v>0</v>
      </c>
    </row>
    <row r="76" spans="2:10" s="611" customFormat="1" ht="21">
      <c r="C76" s="660" t="str">
        <f>BASEBUDGETS!B297</f>
        <v>Additional Crop Prod. Labor</v>
      </c>
      <c r="D76" s="765">
        <f>GeneralInputPrices!$D$31</f>
        <v>14.55</v>
      </c>
      <c r="E76" s="771">
        <f>BASEBUDGETS!E297/BASEBUDGETS!C185</f>
        <v>0</v>
      </c>
      <c r="F76" s="770" t="str">
        <f>BASEBUDGETS!C297</f>
        <v>hour</v>
      </c>
      <c r="G76" s="756">
        <f>D76*E76</f>
        <v>0</v>
      </c>
      <c r="H76" s="756">
        <v>0</v>
      </c>
      <c r="I76" s="756">
        <v>0</v>
      </c>
      <c r="J76" s="765">
        <f t="shared" si="1"/>
        <v>0</v>
      </c>
    </row>
    <row r="77" spans="2:10" s="611" customFormat="1" ht="20.100000000000001" customHeight="1">
      <c r="B77" s="779" t="s">
        <v>44</v>
      </c>
      <c r="C77" s="779"/>
      <c r="D77" s="778"/>
      <c r="E77" s="758"/>
      <c r="F77" s="780" t="s">
        <v>10</v>
      </c>
      <c r="G77" s="777" t="s">
        <v>10</v>
      </c>
      <c r="H77" s="777" t="s">
        <v>10</v>
      </c>
      <c r="I77" s="777" t="s">
        <v>10</v>
      </c>
      <c r="J77" s="777" t="s">
        <v>10</v>
      </c>
    </row>
    <row r="78" spans="2:10" s="611" customFormat="1" ht="21">
      <c r="C78" s="660" t="str">
        <f>BASEBUDGETS!B219</f>
        <v>Harvest, Custom</v>
      </c>
      <c r="D78" s="765">
        <f>CustomOperations!D37</f>
        <v>0</v>
      </c>
      <c r="E78" s="771">
        <f>BASEBUDGETS!E219/BASEBUDGETS!C185</f>
        <v>0</v>
      </c>
      <c r="F78" s="770" t="str">
        <f>BASEBUDGETS!C219</f>
        <v>acre</v>
      </c>
      <c r="G78" s="756">
        <v>0</v>
      </c>
      <c r="H78" s="756">
        <v>0</v>
      </c>
      <c r="I78" s="756">
        <f>IF(E78=0,0,BASEBUDGETS!D219*E78)</f>
        <v>0</v>
      </c>
      <c r="J78" s="756">
        <f t="shared" ref="J78:J93" si="2">G78+H78+I78</f>
        <v>0</v>
      </c>
    </row>
    <row r="79" spans="2:10" s="611" customFormat="1" ht="21">
      <c r="C79" s="660" t="str">
        <f>BASEBUDGETS!B220</f>
        <v>Hauling, Custom</v>
      </c>
      <c r="D79" s="765">
        <f>CustomOperations!D39</f>
        <v>0</v>
      </c>
      <c r="E79" s="771">
        <f>BASEBUDGETS!E220/BASEBUDGETS!C185</f>
        <v>0</v>
      </c>
      <c r="F79" s="770" t="str">
        <f>BASEBUDGETS!C220</f>
        <v>mile</v>
      </c>
      <c r="G79" s="756">
        <v>0</v>
      </c>
      <c r="H79" s="756">
        <v>0</v>
      </c>
      <c r="I79" s="756">
        <f>IF(E79=0,0,BASEBUDGETS!D220*E79)</f>
        <v>0</v>
      </c>
      <c r="J79" s="756">
        <f t="shared" si="2"/>
        <v>0</v>
      </c>
    </row>
    <row r="80" spans="2:10" s="611" customFormat="1" ht="21">
      <c r="C80" s="660" t="str">
        <f>BASEBUDGETS!B221</f>
        <v>Gin Cotton/Drying/Swathing, Custom</v>
      </c>
      <c r="D80" s="765">
        <f>CustomOperations!D41</f>
        <v>0</v>
      </c>
      <c r="E80" s="771">
        <f>BASEBUDGETS!E221/BASEBUDGETS!C185</f>
        <v>0</v>
      </c>
      <c r="F80" s="770" t="str">
        <f>BASEBUDGETS!C221</f>
        <v>bale</v>
      </c>
      <c r="G80" s="756">
        <v>0</v>
      </c>
      <c r="H80" s="756">
        <v>0</v>
      </c>
      <c r="I80" s="756">
        <f>IF(E80=0,0,BASEBUDGETS!D221*E80)</f>
        <v>0</v>
      </c>
      <c r="J80" s="756">
        <f t="shared" si="2"/>
        <v>0</v>
      </c>
    </row>
    <row r="81" spans="2:10" s="611" customFormat="1" ht="21">
      <c r="C81" s="660" t="str">
        <f>TillageOperations!$B$27</f>
        <v>Cotton Picker</v>
      </c>
      <c r="D81" s="765"/>
      <c r="E81" s="771">
        <f>BASEBUDGETS!E263/BASEBUDGETS!C185</f>
        <v>0</v>
      </c>
      <c r="F81" s="770" t="str">
        <f>BASEBUDGETS!C263</f>
        <v>acre</v>
      </c>
      <c r="G81" s="756">
        <f>IF(E81=0,0,BASEBUDGETS!D264*E81)</f>
        <v>0</v>
      </c>
      <c r="H81" s="756">
        <f>IF(E81=0,0,BASEBUDGETS!D263*E81)</f>
        <v>0</v>
      </c>
      <c r="I81" s="756">
        <v>0</v>
      </c>
      <c r="J81" s="756">
        <f t="shared" si="2"/>
        <v>0</v>
      </c>
    </row>
    <row r="82" spans="2:10" s="611" customFormat="1" ht="21">
      <c r="C82" s="781" t="s">
        <v>287</v>
      </c>
      <c r="D82" s="765"/>
      <c r="E82" s="771">
        <f>BASEBUDGETS!E265/BASEBUDGETS!C185</f>
        <v>0</v>
      </c>
      <c r="F82" s="770" t="str">
        <f>BASEBUDGETS!C265</f>
        <v>acre</v>
      </c>
      <c r="G82" s="756">
        <f>IF(E82=0,0,BASEBUDGETS!D266*E82)</f>
        <v>0</v>
      </c>
      <c r="H82" s="756">
        <f>IF(E82=0,0,BASEBUDGETS!D265*E82)</f>
        <v>0</v>
      </c>
      <c r="I82" s="756">
        <v>0</v>
      </c>
      <c r="J82" s="756">
        <f t="shared" ref="J82" si="3">G82+H82+I82</f>
        <v>0</v>
      </c>
    </row>
    <row r="83" spans="2:10" s="611" customFormat="1" ht="21">
      <c r="C83" s="660" t="str">
        <f>TillageOperations!$B$29</f>
        <v>Haul Cotton</v>
      </c>
      <c r="D83" s="765"/>
      <c r="E83" s="771">
        <f>BASEBUDGETS!E267/BASEBUDGETS!C185</f>
        <v>0</v>
      </c>
      <c r="F83" s="770" t="str">
        <f>BASEBUDGETS!C267</f>
        <v>acre</v>
      </c>
      <c r="G83" s="756">
        <f>IF(E83=0,0,BASEBUDGETS!D268*E83)</f>
        <v>0</v>
      </c>
      <c r="H83" s="756">
        <f>IF(E83=0,0,BASEBUDGETS!D267*E83)</f>
        <v>0</v>
      </c>
      <c r="I83" s="756">
        <v>0</v>
      </c>
      <c r="J83" s="756">
        <f t="shared" si="2"/>
        <v>0</v>
      </c>
    </row>
    <row r="84" spans="2:10" s="611" customFormat="1" ht="21">
      <c r="C84" s="660" t="str">
        <f>TillageOperations!$B$30</f>
        <v>Combine</v>
      </c>
      <c r="D84" s="765"/>
      <c r="E84" s="771">
        <f>BASEBUDGETS!E271/BASEBUDGETS!C185</f>
        <v>0</v>
      </c>
      <c r="F84" s="770" t="str">
        <f>BASEBUDGETS!C271</f>
        <v>acre</v>
      </c>
      <c r="G84" s="756">
        <f>IF(E84=0,0,BASEBUDGETS!D272*E84)</f>
        <v>0</v>
      </c>
      <c r="H84" s="756">
        <f>IF(E84=0,0,BASEBUDGETS!D271*E84)</f>
        <v>0</v>
      </c>
      <c r="I84" s="756">
        <v>0</v>
      </c>
      <c r="J84" s="756">
        <f t="shared" si="2"/>
        <v>0</v>
      </c>
    </row>
    <row r="85" spans="2:10" s="611" customFormat="1" ht="21">
      <c r="C85" s="660" t="str">
        <f>TillageOperations!$B$31</f>
        <v>Grain Cart</v>
      </c>
      <c r="D85" s="765"/>
      <c r="E85" s="771">
        <f>BASEBUDGETS!E273/BASEBUDGETS!C185</f>
        <v>0</v>
      </c>
      <c r="F85" s="770" t="str">
        <f>BASEBUDGETS!C273</f>
        <v>acre</v>
      </c>
      <c r="G85" s="756">
        <f>IF(E85=0,0,BASEBUDGETS!D274*E85)</f>
        <v>0</v>
      </c>
      <c r="H85" s="756">
        <f>IF(E85=0,0,BASEBUDGETS!D273*E85)</f>
        <v>0</v>
      </c>
      <c r="I85" s="756">
        <v>0</v>
      </c>
      <c r="J85" s="756">
        <f t="shared" si="2"/>
        <v>0</v>
      </c>
    </row>
    <row r="86" spans="2:10" s="611" customFormat="1" ht="21">
      <c r="C86" s="660" t="str">
        <f>TillageOperations!$B$32</f>
        <v>Swather</v>
      </c>
      <c r="D86" s="765"/>
      <c r="E86" s="771">
        <f>BASEBUDGETS!E275/BASEBUDGETS!C185</f>
        <v>0</v>
      </c>
      <c r="F86" s="770" t="str">
        <f>BASEBUDGETS!C275</f>
        <v>acre</v>
      </c>
      <c r="G86" s="756">
        <f>IF(E86=0,0,BASEBUDGETS!D276*E86)</f>
        <v>0</v>
      </c>
      <c r="H86" s="756">
        <f>IF(E86=0,0,BASEBUDGETS!D275*E86)</f>
        <v>0</v>
      </c>
      <c r="I86" s="756">
        <v>0</v>
      </c>
      <c r="J86" s="756">
        <f t="shared" si="2"/>
        <v>0</v>
      </c>
    </row>
    <row r="87" spans="2:10" s="611" customFormat="1" ht="21">
      <c r="C87" s="660" t="str">
        <f>TillageOperations!$B$33</f>
        <v>Baler</v>
      </c>
      <c r="D87" s="765"/>
      <c r="E87" s="771">
        <f>BASEBUDGETS!E277/BASEBUDGETS!C185</f>
        <v>0</v>
      </c>
      <c r="F87" s="770" t="str">
        <f>BASEBUDGETS!C277</f>
        <v>acre</v>
      </c>
      <c r="G87" s="756">
        <f>IF(E87=0,0,BASEBUDGETS!D278*E87)</f>
        <v>0</v>
      </c>
      <c r="H87" s="756">
        <f>IF(E87=0,0,BASEBUDGETS!D277*E87)</f>
        <v>0</v>
      </c>
      <c r="I87" s="756">
        <f>IF(E87=0,0,D90*E90)</f>
        <v>0</v>
      </c>
      <c r="J87" s="756">
        <f t="shared" si="2"/>
        <v>0</v>
      </c>
    </row>
    <row r="88" spans="2:10" s="611" customFormat="1" ht="21">
      <c r="C88" s="660" t="str">
        <f>TillageOperations!$B$34</f>
        <v>Swather</v>
      </c>
      <c r="D88" s="765"/>
      <c r="E88" s="771">
        <f>BASEBUDGETS!E279/BASEBUDGETS!C185</f>
        <v>0</v>
      </c>
      <c r="F88" s="770" t="str">
        <f>BASEBUDGETS!C279</f>
        <v>acre</v>
      </c>
      <c r="G88" s="756">
        <f>IF(E88=0,0,BASEBUDGETS!D280*E88)</f>
        <v>0</v>
      </c>
      <c r="H88" s="756">
        <f>IF(E88=0,0,BASEBUDGETS!D279*E88)</f>
        <v>0</v>
      </c>
      <c r="I88" s="756">
        <v>0</v>
      </c>
      <c r="J88" s="756">
        <f t="shared" si="2"/>
        <v>0</v>
      </c>
    </row>
    <row r="89" spans="2:10" s="611" customFormat="1" ht="21">
      <c r="C89" s="660" t="str">
        <f>TillageOperations!$B$35</f>
        <v>Baler</v>
      </c>
      <c r="D89" s="765"/>
      <c r="E89" s="771">
        <f>BASEBUDGETS!E281/BASEBUDGETS!C185</f>
        <v>0</v>
      </c>
      <c r="F89" s="770" t="str">
        <f>BASEBUDGETS!C281</f>
        <v>acre</v>
      </c>
      <c r="G89" s="756">
        <f>IF(E89=0,0,BASEBUDGETS!D282*E89)</f>
        <v>0</v>
      </c>
      <c r="H89" s="756">
        <f>IF(E89=0,0,BASEBUDGETS!D281*E89)</f>
        <v>0</v>
      </c>
      <c r="I89" s="756">
        <f>IF(E89=0,0,D90*E90)</f>
        <v>0</v>
      </c>
      <c r="J89" s="756">
        <f t="shared" si="2"/>
        <v>0</v>
      </c>
    </row>
    <row r="90" spans="2:10" s="611" customFormat="1" ht="21">
      <c r="C90" s="660" t="str">
        <f>'Inputs&amp;PricesbyCrop'!$B$31</f>
        <v xml:space="preserve">   - Baling Twine</v>
      </c>
      <c r="D90" s="765">
        <f>BASEBUDGETS!D283</f>
        <v>0</v>
      </c>
      <c r="E90" s="775">
        <f>BASEBUDGETS!E283/BASEBUDGETS!C185</f>
        <v>1</v>
      </c>
      <c r="F90" s="769" t="str">
        <f>'Inputs&amp;PricesbyCrop'!$C$31</f>
        <v>acre</v>
      </c>
      <c r="G90" s="756"/>
      <c r="H90" s="756"/>
      <c r="I90" s="756"/>
      <c r="J90" s="756"/>
    </row>
    <row r="91" spans="2:10" s="611" customFormat="1" ht="21">
      <c r="C91" s="660" t="str">
        <f>TillageOperations!$B$36</f>
        <v>Bale Wagon</v>
      </c>
      <c r="D91" s="765"/>
      <c r="E91" s="771">
        <f>BASEBUDGETS!E284/BASEBUDGETS!C185</f>
        <v>0</v>
      </c>
      <c r="F91" s="770" t="str">
        <f>BASEBUDGETS!C284</f>
        <v>acre</v>
      </c>
      <c r="G91" s="756">
        <f>IF(E91=0,0,BASEBUDGETS!D285*E91)</f>
        <v>0</v>
      </c>
      <c r="H91" s="756">
        <f>IF(E91=0,0,BASEBUDGETS!D284*E91)</f>
        <v>0</v>
      </c>
      <c r="I91" s="756">
        <v>0</v>
      </c>
      <c r="J91" s="756">
        <f t="shared" si="2"/>
        <v>0</v>
      </c>
    </row>
    <row r="92" spans="2:10" s="611" customFormat="1" ht="21">
      <c r="C92" s="660" t="str">
        <f>BASEBUDGETS!B298</f>
        <v>Additional Harvest Labor</v>
      </c>
      <c r="D92" s="765">
        <f>GeneralInputPrices!$D$32</f>
        <v>17.89</v>
      </c>
      <c r="E92" s="771">
        <f>BASEBUDGETS!E298/BASEBUDGETS!C185</f>
        <v>0</v>
      </c>
      <c r="F92" s="770" t="str">
        <f>BASEBUDGETS!C298</f>
        <v>hour</v>
      </c>
      <c r="G92" s="756">
        <f>D92*E92</f>
        <v>0</v>
      </c>
      <c r="H92" s="756">
        <v>0</v>
      </c>
      <c r="I92" s="756">
        <v>0</v>
      </c>
      <c r="J92" s="765">
        <f t="shared" si="2"/>
        <v>0</v>
      </c>
    </row>
    <row r="93" spans="2:10" s="611" customFormat="1" ht="21">
      <c r="C93" s="660" t="str">
        <f>BASEBUDGETS!B299</f>
        <v>Additional Harvest Labor</v>
      </c>
      <c r="D93" s="765">
        <f>GeneralInputPrices!$D$32</f>
        <v>17.89</v>
      </c>
      <c r="E93" s="771">
        <f>BASEBUDGETS!E299/BASEBUDGETS!C185</f>
        <v>0</v>
      </c>
      <c r="F93" s="770" t="str">
        <f>BASEBUDGETS!C299</f>
        <v>hour</v>
      </c>
      <c r="G93" s="756">
        <f>D93*E93</f>
        <v>0</v>
      </c>
      <c r="H93" s="756">
        <v>0</v>
      </c>
      <c r="I93" s="756">
        <v>0</v>
      </c>
      <c r="J93" s="765">
        <f t="shared" si="2"/>
        <v>0</v>
      </c>
    </row>
    <row r="94" spans="2:10" s="611" customFormat="1" ht="21">
      <c r="B94" s="782" t="s">
        <v>184</v>
      </c>
      <c r="C94" s="782"/>
      <c r="D94" s="765"/>
      <c r="E94" s="771"/>
      <c r="F94" s="770"/>
      <c r="G94" s="756"/>
      <c r="H94" s="756"/>
      <c r="I94" s="756"/>
      <c r="J94" s="756"/>
    </row>
    <row r="95" spans="2:10" s="611" customFormat="1" ht="21">
      <c r="C95" s="660" t="str">
        <f>BASEBUDGETS!B300</f>
        <v>Other Expenses</v>
      </c>
      <c r="D95" s="765"/>
      <c r="E95" s="783">
        <f>BASEBUDGETS!D300</f>
        <v>0.05</v>
      </c>
      <c r="F95" s="780" t="s">
        <v>10</v>
      </c>
      <c r="G95" s="756">
        <v>0</v>
      </c>
      <c r="H95" s="756">
        <v>0</v>
      </c>
      <c r="I95" s="756">
        <f>SUM(J9:J93)*E95</f>
        <v>31.299404134928377</v>
      </c>
      <c r="J95" s="765">
        <f>G95+H95+I95</f>
        <v>31.299404134928377</v>
      </c>
    </row>
    <row r="96" spans="2:10" s="611" customFormat="1" ht="21">
      <c r="C96" s="660" t="str">
        <f>BASEBUDGETS!B301</f>
        <v>Interest on Operating Capital</v>
      </c>
      <c r="D96" s="765"/>
      <c r="E96" s="783">
        <f>BASEBUDGETS!D301</f>
        <v>0.06</v>
      </c>
      <c r="F96" s="780" t="s">
        <v>10</v>
      </c>
      <c r="G96" s="784">
        <v>0</v>
      </c>
      <c r="H96" s="784">
        <v>0</v>
      </c>
      <c r="I96" s="784">
        <f>SUM(J9:J95)*((E96/12)*GeneralInputPrices!$D$39)</f>
        <v>19.718624605004877</v>
      </c>
      <c r="J96" s="785">
        <f>G96+H96+I96</f>
        <v>19.718624605004877</v>
      </c>
    </row>
    <row r="97" spans="2:12" s="611" customFormat="1" ht="21">
      <c r="B97" s="782" t="s">
        <v>153</v>
      </c>
      <c r="C97" s="782"/>
      <c r="D97" s="782"/>
      <c r="E97" s="782"/>
      <c r="F97" s="782"/>
      <c r="G97" s="756">
        <f>SUM(G10:G96)</f>
        <v>109.8177288040323</v>
      </c>
      <c r="H97" s="756">
        <f>SUM(H10:H96)</f>
        <v>101.72035389453524</v>
      </c>
      <c r="I97" s="756">
        <f>SUM(I10:I96)</f>
        <v>465.46802873993323</v>
      </c>
      <c r="J97" s="756">
        <f>SUM(J9:J96)</f>
        <v>677.00611143850074</v>
      </c>
    </row>
    <row r="98" spans="2:12" s="611" customFormat="1">
      <c r="D98" s="786"/>
      <c r="E98" s="774"/>
      <c r="G98" s="757"/>
      <c r="H98" s="757"/>
      <c r="I98" s="757"/>
      <c r="J98" s="757"/>
    </row>
    <row r="99" spans="2:12" s="611" customFormat="1" ht="21">
      <c r="B99" s="787" t="s">
        <v>78</v>
      </c>
      <c r="C99" s="787"/>
      <c r="D99" s="788"/>
      <c r="E99" s="789"/>
      <c r="F99" s="790"/>
      <c r="G99" s="791"/>
      <c r="H99" s="792" t="s">
        <v>1</v>
      </c>
      <c r="I99" s="767" t="s">
        <v>24</v>
      </c>
      <c r="J99" s="767" t="s">
        <v>0</v>
      </c>
    </row>
    <row r="100" spans="2:12" s="611" customFormat="1" ht="20.100000000000001" customHeight="1">
      <c r="B100" s="793" t="str">
        <f>BASEBUDGETS!B336</f>
        <v>Crop Insurance</v>
      </c>
      <c r="C100" s="793"/>
      <c r="D100" s="793"/>
      <c r="E100" s="793"/>
      <c r="F100" s="793"/>
      <c r="G100" s="793"/>
      <c r="H100" s="770" t="str">
        <f>BASEBUDGETS!C336</f>
        <v>acre</v>
      </c>
      <c r="I100" s="756">
        <f>BASEBUDGETS!F336/BASEBUDGETS!C185</f>
        <v>0</v>
      </c>
      <c r="J100" s="756">
        <f>I100</f>
        <v>0</v>
      </c>
    </row>
    <row r="101" spans="2:12" s="611" customFormat="1" ht="21">
      <c r="B101" s="782" t="str">
        <f>BASEBUDGETS!B337</f>
        <v>Property Insurance</v>
      </c>
      <c r="C101" s="782"/>
      <c r="D101" s="782"/>
      <c r="E101" s="782"/>
      <c r="F101" s="782"/>
      <c r="G101" s="782"/>
      <c r="H101" s="770" t="str">
        <f>BASEBUDGETS!C337</f>
        <v>acre</v>
      </c>
      <c r="I101" s="756">
        <f>BASEBUDGETS!F337/BASEBUDGETS!C185</f>
        <v>0</v>
      </c>
      <c r="J101" s="756">
        <f>I101</f>
        <v>0</v>
      </c>
    </row>
    <row r="102" spans="2:12" s="611" customFormat="1" ht="21">
      <c r="B102" s="782" t="str">
        <f>BASEBUDGETS!B338</f>
        <v>Property Taxes</v>
      </c>
      <c r="C102" s="782"/>
      <c r="D102" s="782"/>
      <c r="E102" s="782"/>
      <c r="F102" s="782"/>
      <c r="G102" s="782"/>
      <c r="H102" s="770" t="str">
        <f>BASEBUDGETS!C338</f>
        <v>acre</v>
      </c>
      <c r="I102" s="756">
        <f>BASEBUDGETS!F338/BASEBUDGETS!C185</f>
        <v>0</v>
      </c>
      <c r="J102" s="756">
        <f t="shared" ref="J102:J105" si="4">I102</f>
        <v>0</v>
      </c>
    </row>
    <row r="103" spans="2:12" s="611" customFormat="1" ht="20.100000000000001" customHeight="1">
      <c r="B103" s="782" t="str">
        <f>BASEBUDGETS!B341</f>
        <v>Licenses and Fees</v>
      </c>
      <c r="C103" s="782"/>
      <c r="D103" s="782"/>
      <c r="E103" s="782"/>
      <c r="F103" s="782"/>
      <c r="G103" s="782"/>
      <c r="H103" s="770" t="str">
        <f>BASEBUDGETS!C341</f>
        <v>acre</v>
      </c>
      <c r="I103" s="756">
        <f>BASEBUDGETS!F341/BASEBUDGETS!C185</f>
        <v>0</v>
      </c>
      <c r="J103" s="756">
        <f t="shared" si="4"/>
        <v>0</v>
      </c>
    </row>
    <row r="104" spans="2:12" s="611" customFormat="1" ht="21">
      <c r="B104" s="794" t="s">
        <v>484</v>
      </c>
      <c r="C104" s="794"/>
      <c r="D104" s="794"/>
      <c r="E104" s="794"/>
      <c r="F104" s="794"/>
      <c r="G104" s="794"/>
      <c r="H104" s="770" t="s">
        <v>157</v>
      </c>
      <c r="I104" s="756">
        <f>IF('AcresYieldsPrices&amp;Water'!D9=0,0,(((Fallow!$L$17*(('AcresYieldsPrices&amp;Water'!Q28/'AcresYieldsPrices&amp;Water'!Q31))/'AcresYieldsPrices&amp;Water'!D4)*-1)))</f>
        <v>0</v>
      </c>
      <c r="J104" s="765">
        <f>I104</f>
        <v>0</v>
      </c>
    </row>
    <row r="105" spans="2:12" s="611" customFormat="1" ht="21">
      <c r="B105" s="782" t="str">
        <f>BASEBUDGETS!B339</f>
        <v>Annual Cash Rent Payment</v>
      </c>
      <c r="C105" s="782"/>
      <c r="D105" s="782"/>
      <c r="E105" s="782"/>
      <c r="F105" s="782"/>
      <c r="G105" s="782"/>
      <c r="H105" s="770" t="str">
        <f>BASEBUDGETS!C339</f>
        <v>acre</v>
      </c>
      <c r="I105" s="756">
        <f>BASEBUDGETS!F339/BASEBUDGETS!C185</f>
        <v>170</v>
      </c>
      <c r="J105" s="795">
        <f t="shared" si="4"/>
        <v>170</v>
      </c>
    </row>
    <row r="106" spans="2:12" s="611" customFormat="1" ht="21">
      <c r="B106" s="782" t="s">
        <v>79</v>
      </c>
      <c r="C106" s="782"/>
      <c r="D106" s="782"/>
      <c r="E106" s="782"/>
      <c r="F106" s="782"/>
      <c r="G106" s="782"/>
      <c r="H106" s="756"/>
      <c r="I106" s="756"/>
      <c r="J106" s="765">
        <f>SUM(J100:J105)</f>
        <v>170</v>
      </c>
    </row>
    <row r="107" spans="2:12" s="611" customFormat="1">
      <c r="D107" s="786"/>
      <c r="E107" s="774"/>
      <c r="G107" s="757"/>
      <c r="H107" s="757"/>
      <c r="I107" s="757"/>
      <c r="J107" s="786"/>
    </row>
    <row r="108" spans="2:12" s="611" customFormat="1" ht="21">
      <c r="B108" s="787" t="s">
        <v>154</v>
      </c>
      <c r="C108" s="787"/>
      <c r="D108" s="788"/>
      <c r="E108" s="789"/>
      <c r="F108" s="790"/>
      <c r="G108" s="791"/>
      <c r="H108" s="792" t="s">
        <v>1</v>
      </c>
      <c r="I108" s="767" t="s">
        <v>24</v>
      </c>
      <c r="J108" s="767" t="s">
        <v>0</v>
      </c>
    </row>
    <row r="109" spans="2:12" s="611" customFormat="1" ht="21">
      <c r="B109" s="760" t="s">
        <v>534</v>
      </c>
      <c r="C109" s="760"/>
      <c r="D109" s="760"/>
      <c r="E109" s="760"/>
      <c r="F109" s="760"/>
      <c r="G109" s="760"/>
      <c r="H109" s="770" t="s">
        <v>157</v>
      </c>
      <c r="I109" s="756">
        <f>SUM(BASEBUDGETS!F305:F307)/BASEBUDGETS!C185</f>
        <v>0</v>
      </c>
      <c r="J109" s="765">
        <f>I109</f>
        <v>0</v>
      </c>
    </row>
    <row r="110" spans="2:12" s="611" customFormat="1" ht="21">
      <c r="B110" s="796" t="s">
        <v>156</v>
      </c>
      <c r="C110" s="796"/>
      <c r="D110" s="796"/>
      <c r="E110" s="796"/>
      <c r="F110" s="796"/>
      <c r="G110" s="796"/>
      <c r="H110" s="770" t="str">
        <f>BASEBUDGETS!C305</f>
        <v>acre</v>
      </c>
      <c r="I110" s="758">
        <f>SUM(BASEBUDGETS!F308:F335)/BASEBUDGETS!C185</f>
        <v>1021.0609771853037</v>
      </c>
      <c r="J110" s="797">
        <f>I110</f>
        <v>1021.0609771853037</v>
      </c>
    </row>
    <row r="111" spans="2:12" s="611" customFormat="1" ht="21">
      <c r="B111" s="798" t="s">
        <v>77</v>
      </c>
      <c r="C111" s="798"/>
      <c r="D111" s="798"/>
      <c r="E111" s="798"/>
      <c r="F111" s="798"/>
      <c r="G111" s="798"/>
      <c r="H111" s="756"/>
      <c r="I111" s="756"/>
      <c r="J111" s="765">
        <f>J110+J109</f>
        <v>1021.0609771853037</v>
      </c>
      <c r="L111" s="799" t="s">
        <v>10</v>
      </c>
    </row>
    <row r="112" spans="2:12" s="611" customFormat="1" ht="21">
      <c r="B112" s="660"/>
      <c r="C112" s="660"/>
      <c r="D112" s="765"/>
      <c r="E112" s="758"/>
      <c r="F112" s="660"/>
      <c r="G112" s="756"/>
      <c r="H112" s="756"/>
      <c r="I112" s="756"/>
      <c r="J112" s="765"/>
    </row>
    <row r="113" spans="2:14" s="611" customFormat="1" ht="20.399999999999999">
      <c r="B113" s="800" t="s">
        <v>63</v>
      </c>
      <c r="C113" s="800"/>
      <c r="D113" s="800"/>
      <c r="E113" s="800"/>
      <c r="F113" s="800"/>
      <c r="G113" s="800"/>
      <c r="H113" s="764"/>
      <c r="I113" s="764"/>
      <c r="J113" s="801">
        <f>IF(BASEBUDGETS!C185=0,0,J97+J106+J111)</f>
        <v>1868.0670886238045</v>
      </c>
    </row>
    <row r="114" spans="2:14" ht="20.399999999999999">
      <c r="B114" s="802" t="s">
        <v>64</v>
      </c>
      <c r="C114" s="802"/>
      <c r="D114" s="802"/>
      <c r="E114" s="802"/>
      <c r="F114" s="802"/>
      <c r="G114" s="802"/>
      <c r="H114" s="803"/>
      <c r="I114" s="803"/>
      <c r="J114" s="788">
        <f>J6-J113</f>
        <v>-1868.0670886238045</v>
      </c>
      <c r="L114" s="611"/>
      <c r="M114" s="611"/>
      <c r="N114" s="611"/>
    </row>
    <row r="115" spans="2:14">
      <c r="L115" s="611"/>
      <c r="M115" s="611"/>
      <c r="N115" s="611"/>
    </row>
    <row r="116" spans="2:14">
      <c r="L116" s="611"/>
      <c r="M116" s="611"/>
      <c r="N116" s="611"/>
    </row>
    <row r="117" spans="2:14">
      <c r="L117" s="611"/>
      <c r="M117" s="611"/>
      <c r="N117" s="611"/>
    </row>
    <row r="118" spans="2:14">
      <c r="L118" s="611"/>
      <c r="M118" s="611"/>
      <c r="N118" s="611"/>
    </row>
    <row r="119" spans="2:14">
      <c r="L119" s="611"/>
      <c r="M119" s="611"/>
      <c r="N119" s="611"/>
    </row>
    <row r="120" spans="2:14">
      <c r="L120" s="611"/>
      <c r="M120" s="611"/>
      <c r="N120" s="611"/>
    </row>
    <row r="121" spans="2:14">
      <c r="L121" s="611"/>
      <c r="M121" s="611"/>
      <c r="N121" s="611"/>
    </row>
    <row r="122" spans="2:14">
      <c r="L122" s="611"/>
      <c r="M122" s="611"/>
      <c r="N122" s="611"/>
    </row>
    <row r="123" spans="2:14">
      <c r="L123" s="611"/>
      <c r="M123" s="611"/>
      <c r="N123" s="611"/>
    </row>
    <row r="124" spans="2:14">
      <c r="L124" s="611"/>
      <c r="M124" s="611"/>
      <c r="N124" s="611"/>
    </row>
    <row r="125" spans="2:14">
      <c r="L125" s="611"/>
      <c r="M125" s="611"/>
      <c r="N125" s="611"/>
    </row>
    <row r="126" spans="2:14">
      <c r="L126" s="611"/>
      <c r="M126" s="611"/>
      <c r="N126" s="611"/>
    </row>
    <row r="127" spans="2:14">
      <c r="L127" s="611"/>
      <c r="M127" s="611"/>
      <c r="N127" s="611"/>
    </row>
    <row r="128" spans="2:14">
      <c r="L128" s="611"/>
      <c r="M128" s="611"/>
      <c r="N128" s="611"/>
    </row>
    <row r="129" spans="12:14">
      <c r="L129" s="611"/>
      <c r="M129" s="611"/>
      <c r="N129" s="611"/>
    </row>
    <row r="130" spans="12:14">
      <c r="L130" s="611"/>
      <c r="M130" s="611"/>
      <c r="N130" s="611"/>
    </row>
    <row r="131" spans="12:14">
      <c r="L131" s="611"/>
      <c r="M131" s="611"/>
      <c r="N131" s="611"/>
    </row>
    <row r="132" spans="12:14">
      <c r="L132" s="611"/>
      <c r="M132" s="611"/>
      <c r="N132" s="611"/>
    </row>
    <row r="133" spans="12:14">
      <c r="L133" s="611"/>
      <c r="M133" s="611"/>
      <c r="N133" s="611"/>
    </row>
    <row r="134" spans="12:14">
      <c r="L134" s="611"/>
      <c r="M134" s="611"/>
      <c r="N134" s="611"/>
    </row>
    <row r="135" spans="12:14">
      <c r="L135" s="611"/>
      <c r="M135" s="611"/>
      <c r="N135" s="611"/>
    </row>
    <row r="136" spans="12:14">
      <c r="L136" s="611"/>
      <c r="M136" s="611"/>
      <c r="N136" s="611"/>
    </row>
    <row r="137" spans="12:14">
      <c r="L137" s="611"/>
      <c r="M137" s="611"/>
      <c r="N137" s="611"/>
    </row>
    <row r="138" spans="12:14">
      <c r="L138" s="611"/>
      <c r="M138" s="611"/>
      <c r="N138" s="611"/>
    </row>
    <row r="139" spans="12:14">
      <c r="L139" s="611"/>
      <c r="M139" s="611"/>
      <c r="N139" s="611"/>
    </row>
    <row r="140" spans="12:14">
      <c r="L140" s="611"/>
      <c r="M140" s="611"/>
      <c r="N140" s="611"/>
    </row>
    <row r="141" spans="12:14">
      <c r="L141" s="611"/>
      <c r="M141" s="611"/>
      <c r="N141" s="611"/>
    </row>
    <row r="142" spans="12:14">
      <c r="L142" s="611"/>
      <c r="M142" s="611"/>
      <c r="N142" s="611"/>
    </row>
    <row r="143" spans="12:14">
      <c r="L143" s="611"/>
      <c r="M143" s="611"/>
      <c r="N143" s="611"/>
    </row>
    <row r="144" spans="12:14">
      <c r="L144" s="611"/>
      <c r="M144" s="611"/>
      <c r="N144" s="611"/>
    </row>
    <row r="145" spans="12:14">
      <c r="L145" s="611"/>
      <c r="M145" s="611"/>
      <c r="N145" s="611"/>
    </row>
    <row r="146" spans="12:14">
      <c r="L146" s="611"/>
      <c r="M146" s="611"/>
      <c r="N146" s="611"/>
    </row>
    <row r="147" spans="12:14">
      <c r="L147" s="611"/>
      <c r="M147" s="611"/>
      <c r="N147" s="611"/>
    </row>
    <row r="148" spans="12:14">
      <c r="L148" s="611"/>
      <c r="M148" s="611"/>
      <c r="N148" s="611"/>
    </row>
    <row r="149" spans="12:14">
      <c r="L149" s="611"/>
      <c r="M149" s="611"/>
      <c r="N149" s="611"/>
    </row>
    <row r="150" spans="12:14">
      <c r="L150" s="611"/>
      <c r="M150" s="611"/>
      <c r="N150" s="611"/>
    </row>
    <row r="151" spans="12:14">
      <c r="L151" s="611"/>
      <c r="M151" s="611"/>
      <c r="N151" s="611"/>
    </row>
    <row r="152" spans="12:14">
      <c r="L152" s="611"/>
      <c r="M152" s="611"/>
      <c r="N152" s="611"/>
    </row>
    <row r="153" spans="12:14">
      <c r="L153" s="611"/>
      <c r="M153" s="611"/>
      <c r="N153" s="611"/>
    </row>
    <row r="154" spans="12:14">
      <c r="L154" s="611"/>
      <c r="M154" s="611"/>
      <c r="N154" s="611"/>
    </row>
    <row r="155" spans="12:14">
      <c r="L155" s="611"/>
      <c r="M155" s="611"/>
      <c r="N155" s="611"/>
    </row>
    <row r="156" spans="12:14">
      <c r="L156" s="611"/>
      <c r="M156" s="611"/>
      <c r="N156" s="611"/>
    </row>
    <row r="157" spans="12:14">
      <c r="L157" s="611"/>
      <c r="M157" s="611"/>
      <c r="N157" s="611"/>
    </row>
    <row r="158" spans="12:14">
      <c r="L158" s="611"/>
      <c r="M158" s="611"/>
      <c r="N158" s="611"/>
    </row>
    <row r="159" spans="12:14">
      <c r="L159" s="611"/>
      <c r="M159" s="611"/>
      <c r="N159" s="611"/>
    </row>
    <row r="160" spans="12:14">
      <c r="L160" s="611"/>
      <c r="M160" s="611"/>
      <c r="N160" s="611"/>
    </row>
    <row r="161" spans="12:14">
      <c r="L161" s="611"/>
      <c r="M161" s="611"/>
      <c r="N161" s="611"/>
    </row>
    <row r="162" spans="12:14">
      <c r="L162" s="611"/>
      <c r="M162" s="611"/>
      <c r="N162" s="611"/>
    </row>
    <row r="163" spans="12:14">
      <c r="L163" s="611"/>
      <c r="M163" s="611"/>
      <c r="N163" s="611"/>
    </row>
    <row r="164" spans="12:14">
      <c r="L164" s="611"/>
      <c r="M164" s="611"/>
      <c r="N164" s="611"/>
    </row>
    <row r="165" spans="12:14">
      <c r="L165" s="611"/>
      <c r="M165" s="611"/>
      <c r="N165" s="611"/>
    </row>
    <row r="166" spans="12:14">
      <c r="L166" s="611"/>
      <c r="M166" s="611"/>
      <c r="N166" s="611"/>
    </row>
    <row r="167" spans="12:14">
      <c r="L167" s="611"/>
      <c r="M167" s="611"/>
      <c r="N167" s="611"/>
    </row>
    <row r="168" spans="12:14">
      <c r="L168" s="611"/>
      <c r="M168" s="611"/>
      <c r="N168" s="611"/>
    </row>
    <row r="169" spans="12:14">
      <c r="L169" s="611"/>
      <c r="M169" s="611"/>
      <c r="N169" s="611"/>
    </row>
    <row r="170" spans="12:14">
      <c r="L170" s="611"/>
      <c r="M170" s="611"/>
      <c r="N170" s="611"/>
    </row>
    <row r="171" spans="12:14">
      <c r="L171" s="611"/>
      <c r="M171" s="611"/>
      <c r="N171" s="611"/>
    </row>
    <row r="172" spans="12:14">
      <c r="L172" s="611"/>
      <c r="M172" s="611"/>
      <c r="N172" s="611"/>
    </row>
    <row r="173" spans="12:14">
      <c r="L173" s="611"/>
      <c r="M173" s="611"/>
      <c r="N173" s="611"/>
    </row>
    <row r="174" spans="12:14">
      <c r="L174" s="611"/>
      <c r="M174" s="611"/>
      <c r="N174" s="611"/>
    </row>
    <row r="175" spans="12:14">
      <c r="L175" s="611"/>
      <c r="M175" s="611"/>
      <c r="N175" s="611"/>
    </row>
    <row r="176" spans="12:14">
      <c r="L176" s="611"/>
      <c r="M176" s="611"/>
      <c r="N176" s="611"/>
    </row>
    <row r="177" spans="12:14">
      <c r="L177" s="611"/>
      <c r="M177" s="611"/>
      <c r="N177" s="611"/>
    </row>
    <row r="178" spans="12:14">
      <c r="L178" s="611"/>
      <c r="M178" s="611"/>
      <c r="N178" s="611"/>
    </row>
    <row r="179" spans="12:14">
      <c r="L179" s="611"/>
      <c r="M179" s="611"/>
      <c r="N179" s="611"/>
    </row>
    <row r="180" spans="12:14">
      <c r="L180" s="611"/>
      <c r="M180" s="611"/>
      <c r="N180" s="611"/>
    </row>
    <row r="181" spans="12:14">
      <c r="L181" s="611"/>
      <c r="M181" s="611"/>
      <c r="N181" s="611"/>
    </row>
    <row r="182" spans="12:14">
      <c r="L182" s="611"/>
      <c r="M182" s="611"/>
      <c r="N182" s="611"/>
    </row>
    <row r="183" spans="12:14">
      <c r="L183" s="611"/>
      <c r="M183" s="611"/>
      <c r="N183" s="611"/>
    </row>
    <row r="184" spans="12:14">
      <c r="L184" s="611"/>
      <c r="M184" s="611"/>
      <c r="N184" s="611"/>
    </row>
    <row r="185" spans="12:14">
      <c r="L185" s="611"/>
      <c r="M185" s="611"/>
      <c r="N185" s="611"/>
    </row>
    <row r="186" spans="12:14">
      <c r="L186" s="611"/>
      <c r="M186" s="611"/>
      <c r="N186" s="611"/>
    </row>
    <row r="187" spans="12:14">
      <c r="L187" s="611"/>
      <c r="M187" s="611"/>
      <c r="N187" s="611"/>
    </row>
    <row r="188" spans="12:14">
      <c r="L188" s="611"/>
      <c r="M188" s="611"/>
      <c r="N188" s="611"/>
    </row>
    <row r="189" spans="12:14">
      <c r="L189" s="611"/>
      <c r="M189" s="611"/>
      <c r="N189" s="611"/>
    </row>
    <row r="190" spans="12:14">
      <c r="L190" s="611"/>
      <c r="M190" s="611"/>
      <c r="N190" s="611"/>
    </row>
    <row r="191" spans="12:14">
      <c r="L191" s="611"/>
      <c r="M191" s="611"/>
      <c r="N191" s="611"/>
    </row>
    <row r="192" spans="12:14">
      <c r="L192" s="611"/>
      <c r="M192" s="611"/>
      <c r="N192" s="611"/>
    </row>
    <row r="193" spans="12:14">
      <c r="L193" s="611"/>
      <c r="M193" s="611"/>
      <c r="N193" s="611"/>
    </row>
    <row r="194" spans="12:14">
      <c r="L194" s="611"/>
      <c r="M194" s="611"/>
      <c r="N194" s="611"/>
    </row>
    <row r="195" spans="12:14">
      <c r="L195" s="611"/>
      <c r="M195" s="611"/>
      <c r="N195" s="611"/>
    </row>
    <row r="196" spans="12:14">
      <c r="L196" s="611"/>
      <c r="M196" s="611"/>
      <c r="N196" s="611"/>
    </row>
    <row r="197" spans="12:14">
      <c r="L197" s="611"/>
      <c r="M197" s="611"/>
      <c r="N197" s="611"/>
    </row>
    <row r="198" spans="12:14">
      <c r="L198" s="611"/>
      <c r="M198" s="611"/>
      <c r="N198" s="611"/>
    </row>
    <row r="199" spans="12:14">
      <c r="L199" s="611"/>
      <c r="M199" s="611"/>
      <c r="N199" s="611"/>
    </row>
    <row r="200" spans="12:14">
      <c r="L200" s="611"/>
      <c r="M200" s="611"/>
      <c r="N200" s="611"/>
    </row>
    <row r="201" spans="12:14">
      <c r="L201" s="611"/>
      <c r="M201" s="611"/>
      <c r="N201" s="611"/>
    </row>
    <row r="202" spans="12:14">
      <c r="L202" s="611"/>
      <c r="M202" s="611"/>
      <c r="N202" s="611"/>
    </row>
    <row r="203" spans="12:14">
      <c r="L203" s="611"/>
      <c r="M203" s="611"/>
      <c r="N203" s="611"/>
    </row>
    <row r="204" spans="12:14">
      <c r="L204" s="611"/>
      <c r="M204" s="611"/>
      <c r="N204" s="611"/>
    </row>
    <row r="205" spans="12:14">
      <c r="L205" s="611"/>
      <c r="M205" s="611"/>
      <c r="N205" s="611"/>
    </row>
    <row r="206" spans="12:14">
      <c r="L206" s="611"/>
      <c r="M206" s="611"/>
      <c r="N206" s="611"/>
    </row>
    <row r="207" spans="12:14">
      <c r="L207" s="611"/>
      <c r="M207" s="611"/>
      <c r="N207" s="611"/>
    </row>
    <row r="208" spans="12:14">
      <c r="L208" s="611"/>
      <c r="M208" s="611"/>
      <c r="N208" s="611"/>
    </row>
    <row r="209" spans="12:14">
      <c r="L209" s="611"/>
      <c r="M209" s="611"/>
      <c r="N209" s="611"/>
    </row>
    <row r="210" spans="12:14">
      <c r="L210" s="611"/>
      <c r="M210" s="611"/>
      <c r="N210" s="611"/>
    </row>
    <row r="211" spans="12:14">
      <c r="L211" s="611"/>
      <c r="M211" s="611"/>
      <c r="N211" s="611"/>
    </row>
    <row r="212" spans="12:14">
      <c r="L212" s="611"/>
      <c r="M212" s="611"/>
      <c r="N212" s="611"/>
    </row>
  </sheetData>
  <sheetProtection algorithmName="SHA-512" hashValue="AFO54PbxX6493VjE1QAdQTa8TbuzrmJwFGc39qCN044F0xF6wNpXS0aB/SvyXgnsvdxxJ9c0ev4PXNMEyu4Nng==" saltValue="qFh8VJA26GSNbYJph6Ejlg==" spinCount="100000" sheet="1" objects="1" scenarios="1"/>
  <mergeCells count="9">
    <mergeCell ref="B109:G109"/>
    <mergeCell ref="B2:F2"/>
    <mergeCell ref="B104:G104"/>
    <mergeCell ref="B32:C32"/>
    <mergeCell ref="B3:C3"/>
    <mergeCell ref="B9:C9"/>
    <mergeCell ref="G2:I2"/>
    <mergeCell ref="B4:E4"/>
    <mergeCell ref="B5:E5"/>
  </mergeCells>
  <pageMargins left="0.7" right="0.7" top="0.75" bottom="0.75" header="0.3" footer="0.3"/>
  <pageSetup scale="57" fitToHeight="2" orientation="portrait" horizontalDpi="0" verticalDpi="0"/>
  <ignoredErrors>
    <ignoredError sqref="B8:D8 G8:I8 H105:H106 H113:J113 C94:E96 C112:J112 C107:H108 B9:E9 C98:F98 B5 B4 B6:E7 B32:C32 G4:J7 G9:J9 B77:B81 B68:B74 C99:J99 C37 K37 B110:B113 B94:B98 H100:H103 H110:H111 G2 B10:C28 B33:C36 B39:C44 B46:C54 C56:C63 F4:F28 F39:F44 F46:F54 F30:F37 G10:H18 K39:K44 K46:K54 B83:B91 K68:K93 C29:C31 D40:D63 D10:D38 K56:K66 B56:B66 C64:D93 F56:F95 B105:B108 B99:B103 I65:J65" unlockedFormula="1"/>
    <ignoredError sqref="E81:E83 E75:E77 E36 E35 E37 E54 E43:E44 E46:E52 E40 E56:E62 E19 E30 E20:E28 E32 E78:E80 E63 E53 E41:E42 E33:E34 E11:E18 E10 I10:J18 G19:J28 G81:J83 G68:J77 G36:H36 G35:J35 G37:H37 G54:H54 G43:H44 G46:J52 G40:H40 G56:J62 G30:J30 G78:J80 G63:J63 G53:H53 G41:H42 G33:J34 J36 J38 G39:H39 I37:J37 J95 G95:H95 G96:J98 J55 J53:J54 J45 J41:J44 G31:J32 G94:J94 I104:J104 I100:J103 I107:J108 I105:J106 E84:E93 G84:J93 E29:J29 J40 J39 I39 I40 I41:I42 I38 I45 I43:I44 D39 G64:J64 E64:E65 G66:J66 I53 I55 I54 J111 I109:J109 I110 J110 I111" evalError="1" unlockedFormula="1"/>
    <ignoredError sqref="E45 E55 E31 E38:E39 I95 G45:H45 G55:H55 G38:H38 I36" evalError="1"/>
  </ignoredError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49FA0-AE6D-5849-ADA8-4920A2DCC714}">
  <sheetPr codeName="Sheet15">
    <pageSetUpPr fitToPage="1"/>
  </sheetPr>
  <dimension ref="A1:N117"/>
  <sheetViews>
    <sheetView topLeftCell="A12" zoomScale="110" zoomScaleNormal="110" workbookViewId="0">
      <selection activeCell="H23" sqref="H23"/>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'AcresYieldsPrices&amp;Water'!B4&amp;" Harvest"</f>
        <v>Guayule Harvest</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BASEBUDGETS!B515</f>
        <v>Guayule Biomass</v>
      </c>
      <c r="C4" s="754"/>
      <c r="D4" s="754"/>
      <c r="E4" s="754"/>
      <c r="F4" s="755" t="str">
        <f>BASEBUDGETS!C515</f>
        <v>pound</v>
      </c>
      <c r="G4" s="756">
        <f>BASEBUDGETS!D515</f>
        <v>0.08</v>
      </c>
      <c r="H4" s="757"/>
      <c r="I4" s="758">
        <f>IF(BASEBUDGETS!E515=0,0,BASEBUDGETS!E515/BASEBUDGETS!C511)</f>
        <v>22000</v>
      </c>
      <c r="J4" s="761">
        <f>G4*I4</f>
        <v>1760</v>
      </c>
    </row>
    <row r="5" spans="2:14" s="611" customFormat="1" ht="21">
      <c r="B5" s="760" t="str">
        <f>BASEBUDGETS!B516</f>
        <v>Guayule Rubber Content</v>
      </c>
      <c r="C5" s="760"/>
      <c r="D5" s="760"/>
      <c r="E5" s="760"/>
      <c r="F5" s="755" t="str">
        <f>BASEBUDGETS!C516</f>
        <v>kilogram</v>
      </c>
      <c r="G5" s="756">
        <f>BASEBUDGETS!D516</f>
        <v>0</v>
      </c>
      <c r="H5" s="757"/>
      <c r="I5" s="758">
        <f>IF(BASEBUDGETS!E516=0,0,BASEBUDGETS!E516/BASEBUDGETS!C511)</f>
        <v>0</v>
      </c>
      <c r="J5" s="761">
        <f>G5*I5</f>
        <v>0</v>
      </c>
    </row>
    <row r="6" spans="2:14" s="611" customFormat="1" ht="20.399999999999999">
      <c r="B6" s="679" t="s">
        <v>27</v>
      </c>
      <c r="C6" s="679"/>
      <c r="D6" s="762"/>
      <c r="E6" s="763"/>
      <c r="F6" s="679"/>
      <c r="G6" s="764"/>
      <c r="H6" s="764"/>
      <c r="I6" s="764"/>
      <c r="J6" s="764">
        <f>SUM(J4:J5)</f>
        <v>1760</v>
      </c>
    </row>
    <row r="7" spans="2:14" s="611" customFormat="1" ht="21">
      <c r="B7" s="660"/>
      <c r="C7" s="660"/>
      <c r="D7" s="765"/>
      <c r="E7" s="758"/>
      <c r="F7" s="660"/>
      <c r="G7" s="756"/>
      <c r="H7" s="756"/>
      <c r="I7" s="756"/>
      <c r="J7" s="756"/>
    </row>
    <row r="8" spans="2:14" s="611" customFormat="1" ht="21">
      <c r="B8" s="766" t="s">
        <v>76</v>
      </c>
      <c r="C8" s="766"/>
      <c r="D8" s="767" t="s">
        <v>45</v>
      </c>
      <c r="E8" s="768" t="s">
        <v>25</v>
      </c>
      <c r="F8" s="627" t="s">
        <v>1</v>
      </c>
      <c r="G8" s="767" t="s">
        <v>149</v>
      </c>
      <c r="H8" s="767" t="s">
        <v>8</v>
      </c>
      <c r="I8" s="767" t="s">
        <v>150</v>
      </c>
      <c r="J8" s="767" t="s">
        <v>7</v>
      </c>
    </row>
    <row r="9" spans="2:14" s="611" customFormat="1" ht="21">
      <c r="B9" s="754" t="s">
        <v>210</v>
      </c>
      <c r="C9" s="754"/>
      <c r="D9" s="765"/>
      <c r="E9" s="758"/>
      <c r="F9" s="769"/>
      <c r="G9" s="770"/>
      <c r="H9" s="770"/>
      <c r="I9" s="770"/>
      <c r="J9" s="770"/>
    </row>
    <row r="10" spans="2:14" s="611" customFormat="1" ht="21">
      <c r="C10" s="660" t="str">
        <f>BASEBUDGETS!B551</f>
        <v>V Ripper, Custom</v>
      </c>
      <c r="D10" s="765">
        <f>CustomOperations!F5</f>
        <v>44.25</v>
      </c>
      <c r="E10" s="771">
        <f>BASEBUDGETS!E551/BASEBUDGETS!C511</f>
        <v>0</v>
      </c>
      <c r="F10" s="770" t="str">
        <f>BASEBUDGETS!C551</f>
        <v>acre</v>
      </c>
      <c r="G10" s="756">
        <v>0</v>
      </c>
      <c r="H10" s="756">
        <v>0</v>
      </c>
      <c r="I10" s="756">
        <f>IF(E10=0,0,BASEBUDGETS!D551*E10)</f>
        <v>0</v>
      </c>
      <c r="J10" s="756">
        <f>G10+H10+I10</f>
        <v>0</v>
      </c>
      <c r="L10" s="772">
        <f>N10*'AcresYieldsPrices&amp;Water'!D$4</f>
        <v>0</v>
      </c>
      <c r="M10" s="611" t="s">
        <v>394</v>
      </c>
      <c r="N10" s="653">
        <f>IFERROR(I38,0)</f>
        <v>0</v>
      </c>
    </row>
    <row r="11" spans="2:14" s="611" customFormat="1" ht="21">
      <c r="C11" s="660" t="str">
        <f>BASEBUDGETS!B552</f>
        <v>Disk, Custom</v>
      </c>
      <c r="D11" s="765">
        <f>CustomOperations!F7</f>
        <v>0</v>
      </c>
      <c r="E11" s="771">
        <f>BASEBUDGETS!E552/BASEBUDGETS!C511</f>
        <v>0</v>
      </c>
      <c r="F11" s="770" t="str">
        <f>BASEBUDGETS!C552</f>
        <v>acre</v>
      </c>
      <c r="G11" s="756">
        <v>0</v>
      </c>
      <c r="H11" s="756">
        <v>0</v>
      </c>
      <c r="I11" s="756">
        <f>IF(E11=0,0,BASEBUDGETS!D552*E11)</f>
        <v>0</v>
      </c>
      <c r="J11" s="756">
        <f t="shared" ref="J11:J31" si="0">G11+H11+I11</f>
        <v>0</v>
      </c>
      <c r="L11" s="772">
        <f>N11*'AcresYieldsPrices&amp;Water'!D$4</f>
        <v>4140</v>
      </c>
      <c r="M11" s="611" t="s">
        <v>395</v>
      </c>
      <c r="N11" s="653">
        <f>IFERROR(I45,0)</f>
        <v>27.6</v>
      </c>
    </row>
    <row r="12" spans="2:14" s="611" customFormat="1" ht="21">
      <c r="C12" s="660" t="str">
        <f>BASEBUDGETS!B553</f>
        <v>Drag, Custom</v>
      </c>
      <c r="D12" s="765">
        <f>CustomOperations!F9</f>
        <v>0</v>
      </c>
      <c r="E12" s="771">
        <f>BASEBUDGETS!E553/BASEBUDGETS!C511</f>
        <v>0</v>
      </c>
      <c r="F12" s="770" t="str">
        <f>BASEBUDGETS!C553</f>
        <v>acre</v>
      </c>
      <c r="G12" s="756">
        <v>0</v>
      </c>
      <c r="H12" s="756">
        <v>0</v>
      </c>
      <c r="I12" s="756">
        <f>IF(E12=0,0,BASEBUDGETS!D553*E12)</f>
        <v>0</v>
      </c>
      <c r="J12" s="756">
        <f t="shared" si="0"/>
        <v>0</v>
      </c>
      <c r="L12" s="772">
        <f>N12*'AcresYieldsPrices&amp;Water'!D$4</f>
        <v>0</v>
      </c>
      <c r="M12" s="611" t="s">
        <v>396</v>
      </c>
      <c r="N12" s="653">
        <f>IFERROR(I55,0)</f>
        <v>0</v>
      </c>
    </row>
    <row r="13" spans="2:14" s="611" customFormat="1" ht="21">
      <c r="C13" s="660" t="str">
        <f>BASEBUDGETS!B554</f>
        <v>Chisel, Custom</v>
      </c>
      <c r="D13" s="765">
        <f>CustomOperations!F11</f>
        <v>0</v>
      </c>
      <c r="E13" s="771">
        <f>BASEBUDGETS!E554/BASEBUDGETS!C511</f>
        <v>0</v>
      </c>
      <c r="F13" s="770" t="str">
        <f>BASEBUDGETS!C554</f>
        <v>acre</v>
      </c>
      <c r="G13" s="756">
        <v>0</v>
      </c>
      <c r="H13" s="756">
        <v>0</v>
      </c>
      <c r="I13" s="756">
        <f>IF(E13=0,0,BASEBUDGETS!D554*E13)</f>
        <v>0</v>
      </c>
      <c r="J13" s="756">
        <f t="shared" si="0"/>
        <v>0</v>
      </c>
      <c r="L13" s="772">
        <f>N13*'AcresYieldsPrices&amp;Water'!D$4</f>
        <v>500</v>
      </c>
      <c r="M13" s="611" t="s">
        <v>392</v>
      </c>
      <c r="N13" s="653">
        <f>IFERROR(E30+E31+E75+E76+E92+E93+E73+E70+E67,0)</f>
        <v>3.3333333333333335</v>
      </c>
    </row>
    <row r="14" spans="2:14" s="611" customFormat="1" ht="21">
      <c r="C14" s="660" t="str">
        <f>BASEBUDGETS!B555</f>
        <v>Moldboard Plow, Custom</v>
      </c>
      <c r="D14" s="765">
        <f>CustomOperations!F13</f>
        <v>0</v>
      </c>
      <c r="E14" s="771">
        <f>BASEBUDGETS!E555/BASEBUDGETS!C511</f>
        <v>0</v>
      </c>
      <c r="F14" s="770" t="str">
        <f>BASEBUDGETS!C555</f>
        <v>acre</v>
      </c>
      <c r="G14" s="756">
        <v>0</v>
      </c>
      <c r="H14" s="756">
        <v>0</v>
      </c>
      <c r="I14" s="756">
        <f>IF(E14=0,0,BASEBUDGETS!D555*E14)</f>
        <v>0</v>
      </c>
      <c r="J14" s="756">
        <f t="shared" si="0"/>
        <v>0</v>
      </c>
      <c r="L14" s="772">
        <f>N14*'AcresYieldsPrices&amp;Water'!D$4</f>
        <v>0</v>
      </c>
      <c r="M14" s="611" t="s">
        <v>393</v>
      </c>
      <c r="N14" s="653">
        <f>IFERROR(((SUM(G19:G29)+G37+G35+G36+G44+G43+G54+G64+SUM(G81:G91))/[2]GeneralInputPrices!$D$20),0)</f>
        <v>0</v>
      </c>
    </row>
    <row r="15" spans="2:14" s="611" customFormat="1" ht="21">
      <c r="C15" s="660" t="str">
        <f>BASEBUDGETS!B556</f>
        <v>Landplane, Custom</v>
      </c>
      <c r="D15" s="765">
        <f>CustomOperations!F15</f>
        <v>17.940000000000001</v>
      </c>
      <c r="E15" s="771">
        <f>BASEBUDGETS!E556/BASEBUDGETS!C511</f>
        <v>0</v>
      </c>
      <c r="F15" s="770" t="str">
        <f>BASEBUDGETS!C556</f>
        <v>acre</v>
      </c>
      <c r="G15" s="756">
        <v>0</v>
      </c>
      <c r="H15" s="756">
        <v>0</v>
      </c>
      <c r="I15" s="756">
        <f>IF(E15=0,0,BASEBUDGETS!D556*E15)</f>
        <v>0</v>
      </c>
      <c r="J15" s="756">
        <f t="shared" si="0"/>
        <v>0</v>
      </c>
      <c r="L15" s="772">
        <f>N15*'AcresYieldsPrices&amp;Water'!D$4</f>
        <v>154.98477851925088</v>
      </c>
      <c r="M15" s="611" t="s">
        <v>186</v>
      </c>
      <c r="N15" s="653">
        <f>IFERROR(H97,0)</f>
        <v>1.0332318567950058</v>
      </c>
    </row>
    <row r="16" spans="2:14" s="611" customFormat="1" ht="21">
      <c r="C16" s="660" t="str">
        <f>BASEBUDGETS!B557</f>
        <v>Float, Custom</v>
      </c>
      <c r="D16" s="765">
        <f>CustomOperations!F17</f>
        <v>17.940000000000001</v>
      </c>
      <c r="E16" s="771">
        <f>BASEBUDGETS!E557/BASEBUDGETS!C511</f>
        <v>0</v>
      </c>
      <c r="F16" s="770" t="str">
        <f>BASEBUDGETS!C557</f>
        <v>acre</v>
      </c>
      <c r="G16" s="756">
        <v>0</v>
      </c>
      <c r="H16" s="756">
        <v>0</v>
      </c>
      <c r="I16" s="756">
        <f>IF(E16=0,0,BASEBUDGETS!D557*E16)</f>
        <v>0</v>
      </c>
      <c r="J16" s="756">
        <f t="shared" si="0"/>
        <v>0</v>
      </c>
      <c r="L16" s="772">
        <f>N16*'AcresYieldsPrices&amp;Water'!D$4</f>
        <v>637.01162483337032</v>
      </c>
      <c r="M16" s="611" t="s">
        <v>401</v>
      </c>
      <c r="N16" s="653">
        <f>IFERROR(J111,0)</f>
        <v>4.2467441655558025</v>
      </c>
    </row>
    <row r="17" spans="2:14" s="611" customFormat="1" ht="21">
      <c r="C17" s="660" t="str">
        <f>BASEBUDGETS!B558</f>
        <v>Lister, Custom</v>
      </c>
      <c r="D17" s="765">
        <f>CustomOperations!F19</f>
        <v>20.38</v>
      </c>
      <c r="E17" s="771">
        <f>BASEBUDGETS!E558/BASEBUDGETS!C511</f>
        <v>0</v>
      </c>
      <c r="F17" s="770" t="str">
        <f>BASEBUDGETS!C558</f>
        <v>acre</v>
      </c>
      <c r="G17" s="756">
        <v>0</v>
      </c>
      <c r="H17" s="756">
        <v>0</v>
      </c>
      <c r="I17" s="756">
        <f>IF(E17=0,0,BASEBUDGETS!D558*E17)</f>
        <v>0</v>
      </c>
      <c r="J17" s="756">
        <f t="shared" si="0"/>
        <v>0</v>
      </c>
      <c r="L17" s="772">
        <f>N17*'AcresYieldsPrices&amp;Water'!D$4</f>
        <v>0</v>
      </c>
      <c r="M17" s="611" t="s">
        <v>405</v>
      </c>
      <c r="N17" s="653">
        <f>IFERROR((J80+J79+J78+J63+J53+J42+J41+J34+J33+SUM(J10:J18)),0)</f>
        <v>0</v>
      </c>
    </row>
    <row r="18" spans="2:14" s="611" customFormat="1" ht="21">
      <c r="C18" s="660" t="str">
        <f>BASEBUDGETS!B559</f>
        <v>Bed Shape, Custom</v>
      </c>
      <c r="D18" s="765">
        <f>CustomOperations!F21</f>
        <v>13.69</v>
      </c>
      <c r="E18" s="771">
        <f>BASEBUDGETS!E559/BASEBUDGETS!C511</f>
        <v>0</v>
      </c>
      <c r="F18" s="770" t="str">
        <f>BASEBUDGETS!C559</f>
        <v>acre</v>
      </c>
      <c r="G18" s="756">
        <v>0</v>
      </c>
      <c r="H18" s="756">
        <v>0</v>
      </c>
      <c r="I18" s="756">
        <f>IF(E18=0,0,BASEBUDGETS!D559*E18)</f>
        <v>0</v>
      </c>
      <c r="J18" s="756">
        <f t="shared" si="0"/>
        <v>0</v>
      </c>
    </row>
    <row r="19" spans="2:14" s="611" customFormat="1" ht="21">
      <c r="C19" s="660" t="str">
        <f>TillageOperations!$B$7</f>
        <v>V-Ripper</v>
      </c>
      <c r="D19" s="765"/>
      <c r="E19" s="771">
        <f>BASEBUDGETS!E563/BASEBUDGETS!C511</f>
        <v>0</v>
      </c>
      <c r="F19" s="770" t="str">
        <f>BASEBUDGETS!C563</f>
        <v>acre</v>
      </c>
      <c r="G19" s="756">
        <f>IF(E19=0,0,BASEBUDGETS!D564*E19)</f>
        <v>0</v>
      </c>
      <c r="H19" s="756">
        <f>IF(E19=0,0,BASEBUDGETS!D563*E19)</f>
        <v>0</v>
      </c>
      <c r="I19" s="756">
        <v>0</v>
      </c>
      <c r="J19" s="756">
        <f t="shared" si="0"/>
        <v>0</v>
      </c>
    </row>
    <row r="20" spans="2:14" s="611" customFormat="1" ht="21">
      <c r="C20" s="660" t="str">
        <f>TillageOperations!$B$8</f>
        <v>Offset Disk</v>
      </c>
      <c r="D20" s="765"/>
      <c r="E20" s="771">
        <f>BASEBUDGETS!E565/BASEBUDGETS!C511</f>
        <v>0.1</v>
      </c>
      <c r="F20" s="770" t="str">
        <f>BASEBUDGETS!C565</f>
        <v>acre</v>
      </c>
      <c r="G20" s="756">
        <f>IF(E20=0,0,BASEBUDGETS!D566*E20)</f>
        <v>0.47161002178649253</v>
      </c>
      <c r="H20" s="756">
        <f>IF(E20=0,0,BASEBUDGETS!D565*E20)</f>
        <v>1.0332318567950058</v>
      </c>
      <c r="I20" s="756">
        <v>0</v>
      </c>
      <c r="J20" s="756">
        <f t="shared" si="0"/>
        <v>1.5048418785814983</v>
      </c>
    </row>
    <row r="21" spans="2:14" s="611" customFormat="1" ht="21">
      <c r="C21" s="660" t="str">
        <f>TillageOperations!$B$9</f>
        <v>Drag</v>
      </c>
      <c r="D21" s="765"/>
      <c r="E21" s="771">
        <f>BASEBUDGETS!E567/BASEBUDGETS!C511</f>
        <v>0</v>
      </c>
      <c r="F21" s="770" t="str">
        <f>BASEBUDGETS!C567</f>
        <v>acre</v>
      </c>
      <c r="G21" s="756">
        <f>IF(E21=0,0,BASEBUDGETS!D568*E21)</f>
        <v>0</v>
      </c>
      <c r="H21" s="756">
        <f>IF(E21=0,0,BASEBUDGETS!D567*E21)</f>
        <v>0</v>
      </c>
      <c r="I21" s="756">
        <v>0</v>
      </c>
      <c r="J21" s="756">
        <f t="shared" si="0"/>
        <v>0</v>
      </c>
    </row>
    <row r="22" spans="2:14" s="611" customFormat="1" ht="21">
      <c r="C22" s="660" t="str">
        <f>TillageOperations!$B$10</f>
        <v>Chisel</v>
      </c>
      <c r="D22" s="765"/>
      <c r="E22" s="771">
        <f>BASEBUDGETS!E569/BASEBUDGETS!C511</f>
        <v>0</v>
      </c>
      <c r="F22" s="770" t="str">
        <f>BASEBUDGETS!C569</f>
        <v>acre</v>
      </c>
      <c r="G22" s="756">
        <f>IF(E22=0,0,BASEBUDGETS!D570*E22)</f>
        <v>0</v>
      </c>
      <c r="H22" s="756">
        <f>IF(E22=0,0,BASEBUDGETS!D569*E22)</f>
        <v>0</v>
      </c>
      <c r="I22" s="756">
        <v>0</v>
      </c>
      <c r="J22" s="756">
        <f t="shared" si="0"/>
        <v>0</v>
      </c>
    </row>
    <row r="23" spans="2:14" s="611" customFormat="1" ht="21">
      <c r="C23" s="660" t="str">
        <f>TillageOperations!$B$11</f>
        <v>Moldboard Plow</v>
      </c>
      <c r="D23" s="765"/>
      <c r="E23" s="771">
        <f>BASEBUDGETS!E571/BASEBUDGETS!C511</f>
        <v>0</v>
      </c>
      <c r="F23" s="770" t="str">
        <f>BASEBUDGETS!C571</f>
        <v>acre</v>
      </c>
      <c r="G23" s="756">
        <f>IF(E23=0,0,BASEBUDGETS!D572*E23)</f>
        <v>0</v>
      </c>
      <c r="H23" s="756">
        <f>IF(E23=0,0,BASEBUDGETS!D571*E23)</f>
        <v>0</v>
      </c>
      <c r="I23" s="756">
        <v>0</v>
      </c>
      <c r="J23" s="756">
        <f t="shared" si="0"/>
        <v>0</v>
      </c>
    </row>
    <row r="24" spans="2:14" s="611" customFormat="1" ht="21">
      <c r="C24" s="660" t="str">
        <f>TillageOperations!$B$12</f>
        <v>Cultivator</v>
      </c>
      <c r="D24" s="765"/>
      <c r="E24" s="771">
        <f>BASEBUDGETS!E573/BASEBUDGETS!C511</f>
        <v>0</v>
      </c>
      <c r="F24" s="770" t="str">
        <f>BASEBUDGETS!C573</f>
        <v>acre</v>
      </c>
      <c r="G24" s="756">
        <f>IF(E24=0,0,BASEBUDGETS!D574*E24)</f>
        <v>0</v>
      </c>
      <c r="H24" s="756">
        <f>IF(E24=0,0,BASEBUDGETS!D573*E24)</f>
        <v>0</v>
      </c>
      <c r="I24" s="756">
        <v>0</v>
      </c>
      <c r="J24" s="756">
        <f t="shared" si="0"/>
        <v>0</v>
      </c>
    </row>
    <row r="25" spans="2:14" s="611" customFormat="1" ht="21">
      <c r="C25" s="660" t="str">
        <f>TillageOperations!$B$13</f>
        <v>Landplane</v>
      </c>
      <c r="D25" s="765"/>
      <c r="E25" s="771">
        <f>BASEBUDGETS!E575/BASEBUDGETS!C511</f>
        <v>0</v>
      </c>
      <c r="F25" s="770" t="str">
        <f>BASEBUDGETS!C575</f>
        <v>acre</v>
      </c>
      <c r="G25" s="756">
        <f>IF(E25=0,0,BASEBUDGETS!D576*E25)</f>
        <v>0</v>
      </c>
      <c r="H25" s="756">
        <f>IF(E25=0,0,BASEBUDGETS!D575*E25)</f>
        <v>0</v>
      </c>
      <c r="I25" s="756">
        <v>0</v>
      </c>
      <c r="J25" s="756">
        <f t="shared" si="0"/>
        <v>0</v>
      </c>
    </row>
    <row r="26" spans="2:14" s="611" customFormat="1" ht="21">
      <c r="C26" s="660" t="str">
        <f>TillageOperations!$B$14</f>
        <v>Float</v>
      </c>
      <c r="D26" s="765"/>
      <c r="E26" s="771">
        <f>BASEBUDGETS!E577/BASEBUDGETS!C511</f>
        <v>0</v>
      </c>
      <c r="F26" s="770" t="str">
        <f>BASEBUDGETS!C577</f>
        <v>acre</v>
      </c>
      <c r="G26" s="756">
        <f>IF(E26=0,0,BASEBUDGETS!D578*E26)</f>
        <v>0</v>
      </c>
      <c r="H26" s="756">
        <f>IF(E26=0,0,BASEBUDGETS!D577*E26)</f>
        <v>0</v>
      </c>
      <c r="I26" s="756">
        <v>0</v>
      </c>
      <c r="J26" s="756">
        <f t="shared" si="0"/>
        <v>0</v>
      </c>
    </row>
    <row r="27" spans="2:14" s="611" customFormat="1" ht="21">
      <c r="C27" s="660" t="str">
        <f>TillageOperations!$B$15</f>
        <v>Lister</v>
      </c>
      <c r="D27" s="765"/>
      <c r="E27" s="771">
        <f>BASEBUDGETS!E579/BASEBUDGETS!C511</f>
        <v>0</v>
      </c>
      <c r="F27" s="770" t="str">
        <f>BASEBUDGETS!C579</f>
        <v>acre</v>
      </c>
      <c r="G27" s="756">
        <f>IF(E27=0,0,BASEBUDGETS!D580*E27)</f>
        <v>0</v>
      </c>
      <c r="H27" s="756">
        <f>IF(E27=0,0,BASEBUDGETS!D579*E27)</f>
        <v>0</v>
      </c>
      <c r="I27" s="756">
        <v>0</v>
      </c>
      <c r="J27" s="756">
        <f t="shared" si="0"/>
        <v>0</v>
      </c>
    </row>
    <row r="28" spans="2:14" s="611" customFormat="1" ht="21">
      <c r="C28" s="660" t="str">
        <f>TillageOperations!$B$16</f>
        <v>Bed Shaper</v>
      </c>
      <c r="D28" s="765"/>
      <c r="E28" s="771">
        <f>BASEBUDGETS!E581/BASEBUDGETS!C511</f>
        <v>0</v>
      </c>
      <c r="F28" s="770" t="str">
        <f>BASEBUDGETS!C581</f>
        <v>acre</v>
      </c>
      <c r="G28" s="756">
        <f>IF(E28=0,0,BASEBUDGETS!D582*E28)</f>
        <v>0</v>
      </c>
      <c r="H28" s="756">
        <f>IF(E28=0,0,BASEBUDGETS!D581*E28)</f>
        <v>0</v>
      </c>
      <c r="I28" s="756">
        <v>0</v>
      </c>
      <c r="J28" s="756">
        <f t="shared" si="0"/>
        <v>0</v>
      </c>
    </row>
    <row r="29" spans="2:14" s="611" customFormat="1" ht="21">
      <c r="C29" s="660" t="str">
        <f>TillageOperations!$B$17</f>
        <v>Cotton Shredder/Root Puller</v>
      </c>
      <c r="D29" s="765"/>
      <c r="E29" s="771">
        <f>BASEBUDGETS!E595/BASEBUDGETS!C511</f>
        <v>0</v>
      </c>
      <c r="F29" s="770" t="str">
        <f>BASEBUDGETS!C595</f>
        <v>acre</v>
      </c>
      <c r="G29" s="756">
        <f>IF(E29=0,0,BASEBUDGETS!D596*E29)</f>
        <v>0</v>
      </c>
      <c r="H29" s="756">
        <f>IF(E29=0,0,BASEBUDGETS!D595*E29)</f>
        <v>0</v>
      </c>
      <c r="I29" s="756">
        <v>0</v>
      </c>
      <c r="J29" s="756">
        <f>G29+H29+I29</f>
        <v>0</v>
      </c>
    </row>
    <row r="30" spans="2:14" s="611" customFormat="1" ht="21">
      <c r="C30" s="660" t="str">
        <f>BASEBUDGETS!B620</f>
        <v>Additional Land Prep. Labor</v>
      </c>
      <c r="D30" s="765">
        <f>GeneralInputPrices!$D$30</f>
        <v>14.55</v>
      </c>
      <c r="E30" s="758">
        <f>BASEBUDGETS!E620/BASEBUDGETS!C511</f>
        <v>0</v>
      </c>
      <c r="F30" s="773" t="str">
        <f>BASEBUDGETS!C620</f>
        <v>hour</v>
      </c>
      <c r="G30" s="756">
        <f>D30*E30</f>
        <v>0</v>
      </c>
      <c r="H30" s="756">
        <v>0</v>
      </c>
      <c r="I30" s="756">
        <v>0</v>
      </c>
      <c r="J30" s="765">
        <f t="shared" si="0"/>
        <v>0</v>
      </c>
    </row>
    <row r="31" spans="2:14" s="611" customFormat="1" ht="21">
      <c r="C31" s="660" t="str">
        <f>BASEBUDGETS!B621</f>
        <v>Additional Land Prep. Labor</v>
      </c>
      <c r="D31" s="765">
        <f>GeneralInputPrices!$D$30</f>
        <v>14.55</v>
      </c>
      <c r="E31" s="758">
        <f>BASEBUDGETS!E621/BASEBUDGETS!C511</f>
        <v>0</v>
      </c>
      <c r="F31" s="773" t="str">
        <f>BASEBUDGETS!C621</f>
        <v>hour</v>
      </c>
      <c r="G31" s="756">
        <f>D31*E31</f>
        <v>0</v>
      </c>
      <c r="H31" s="756">
        <v>0</v>
      </c>
      <c r="I31" s="756">
        <v>0</v>
      </c>
      <c r="J31" s="765">
        <f t="shared" si="0"/>
        <v>0</v>
      </c>
    </row>
    <row r="32" spans="2:14" s="611" customFormat="1" ht="21">
      <c r="B32" s="760" t="s">
        <v>175</v>
      </c>
      <c r="C32" s="760"/>
      <c r="D32" s="765"/>
      <c r="E32" s="774"/>
      <c r="G32" s="757"/>
      <c r="H32" s="757"/>
      <c r="I32" s="757"/>
      <c r="J32" s="757"/>
    </row>
    <row r="33" spans="3:10" s="611" customFormat="1" ht="21">
      <c r="C33" s="660" t="str">
        <f>BASEBUDGETS!B548</f>
        <v>Drill, Custom</v>
      </c>
      <c r="D33" s="765">
        <f>CustomOperations!F24</f>
        <v>0</v>
      </c>
      <c r="E33" s="771">
        <f>BASEBUDGETS!E548/BASEBUDGETS!C511</f>
        <v>0</v>
      </c>
      <c r="F33" s="770" t="str">
        <f>BASEBUDGETS!C548</f>
        <v>acre</v>
      </c>
      <c r="G33" s="756">
        <v>0</v>
      </c>
      <c r="H33" s="756">
        <v>0</v>
      </c>
      <c r="I33" s="756">
        <f>IF(E33=0,0,(BASEBUDGETS!D548*E33))</f>
        <v>0</v>
      </c>
      <c r="J33" s="756">
        <f t="shared" ref="J33:J36" si="1">G33+H33+I33</f>
        <v>0</v>
      </c>
    </row>
    <row r="34" spans="3:10" s="611" customFormat="1" ht="21">
      <c r="C34" s="660" t="str">
        <f>BASEBUDGETS!B549</f>
        <v>Row Planter, Custom</v>
      </c>
      <c r="D34" s="765">
        <f>CustomOperations!F26</f>
        <v>0</v>
      </c>
      <c r="E34" s="771">
        <f>BASEBUDGETS!E549/BASEBUDGETS!C511</f>
        <v>0</v>
      </c>
      <c r="F34" s="770" t="str">
        <f>BASEBUDGETS!C549</f>
        <v>acre</v>
      </c>
      <c r="G34" s="756">
        <v>0</v>
      </c>
      <c r="H34" s="756">
        <v>0</v>
      </c>
      <c r="I34" s="756">
        <f>IF(E34=0,0,(BASEBUDGETS!D549*E34))</f>
        <v>0</v>
      </c>
      <c r="J34" s="756">
        <f t="shared" si="1"/>
        <v>0</v>
      </c>
    </row>
    <row r="35" spans="3:10" s="611" customFormat="1" ht="21">
      <c r="C35" s="660" t="str">
        <f>TillageOperations!$B$21</f>
        <v>Drill</v>
      </c>
      <c r="D35" s="765"/>
      <c r="E35" s="771">
        <f>BASEBUDGETS!E587/BASEBUDGETS!C511</f>
        <v>0</v>
      </c>
      <c r="F35" s="770" t="str">
        <f>BASEBUDGETS!C587</f>
        <v>acre</v>
      </c>
      <c r="G35" s="756">
        <f>IF(E35=0,0,BASEBUDGETS!D588*E35)</f>
        <v>0</v>
      </c>
      <c r="H35" s="756">
        <f>IF(E35=0,0,BASEBUDGETS!D587*E35)</f>
        <v>0</v>
      </c>
      <c r="I35" s="756">
        <v>0</v>
      </c>
      <c r="J35" s="756">
        <f t="shared" si="1"/>
        <v>0</v>
      </c>
    </row>
    <row r="36" spans="3:10" s="611" customFormat="1" ht="21">
      <c r="C36" s="660" t="str">
        <f>TillageOperations!$B$19</f>
        <v>Row Planter</v>
      </c>
      <c r="D36" s="765"/>
      <c r="E36" s="771">
        <f>BASEBUDGETS!E583/BASEBUDGETS!C511</f>
        <v>0</v>
      </c>
      <c r="F36" s="770" t="str">
        <f>BASEBUDGETS!C585</f>
        <v>acre</v>
      </c>
      <c r="G36" s="756">
        <f>IF(E36=0,0,BASEBUDGETS!D584*E36)</f>
        <v>0</v>
      </c>
      <c r="H36" s="756">
        <f>IF(E36=0,0,BASEBUDGETS!D583*E36)</f>
        <v>0</v>
      </c>
      <c r="I36" s="756">
        <v>0</v>
      </c>
      <c r="J36" s="756">
        <f t="shared" si="1"/>
        <v>0</v>
      </c>
    </row>
    <row r="37" spans="3:10" s="611" customFormat="1" ht="21">
      <c r="C37" s="660" t="str">
        <f>TillageOperations!$B$22</f>
        <v>Transplanter</v>
      </c>
      <c r="D37" s="765"/>
      <c r="E37" s="771">
        <f>BASEBUDGETS!E618/BASEBUDGETS!C511</f>
        <v>0</v>
      </c>
      <c r="F37" s="770" t="str">
        <f>BASEBUDGETS!C618</f>
        <v>acre</v>
      </c>
      <c r="G37" s="756">
        <f>IF(E37=0,0,BASEBUDGETS!D619*E37)</f>
        <v>0</v>
      </c>
      <c r="H37" s="756">
        <f>IF(E37=0,0,BASEBUDGETS!D618*E37)</f>
        <v>0</v>
      </c>
      <c r="I37" s="756">
        <v>0</v>
      </c>
      <c r="J37" s="756">
        <f>G37+H37+I37</f>
        <v>0</v>
      </c>
    </row>
    <row r="38" spans="3:10" s="611" customFormat="1" ht="21">
      <c r="C38" s="660" t="s">
        <v>439</v>
      </c>
      <c r="D38" s="765"/>
      <c r="E38" s="771"/>
      <c r="F38" s="770"/>
      <c r="G38" s="756">
        <v>0</v>
      </c>
      <c r="H38" s="756">
        <v>0</v>
      </c>
      <c r="I38" s="756">
        <f>(D39*E39)+(D40*E40)</f>
        <v>0</v>
      </c>
      <c r="J38" s="765">
        <f>G38+H38+I38</f>
        <v>0</v>
      </c>
    </row>
    <row r="39" spans="3:10" s="611" customFormat="1" ht="21">
      <c r="C39" s="660" t="str">
        <f>BASEBUDGETS!B520</f>
        <v xml:space="preserve">   - Seed</v>
      </c>
      <c r="D39" s="765">
        <f>BASEBUDGETS!D520</f>
        <v>0</v>
      </c>
      <c r="E39" s="775">
        <f>BASEBUDGETS!E520/BASEBUDGETS!C511</f>
        <v>0</v>
      </c>
      <c r="F39" s="769" t="str">
        <f>BASEBUDGETS!C520</f>
        <v>cwt</v>
      </c>
      <c r="G39" s="757"/>
      <c r="H39" s="757"/>
      <c r="I39" s="757"/>
      <c r="J39" s="757"/>
    </row>
    <row r="40" spans="3:10" s="611" customFormat="1" ht="21">
      <c r="C40" s="660" t="str">
        <f>'Inputs&amp;PricesbyCrop'!B22</f>
        <v xml:space="preserve">   - Inoculant</v>
      </c>
      <c r="D40" s="765">
        <f>BASEBUDGETS!D521</f>
        <v>3</v>
      </c>
      <c r="E40" s="775">
        <f>BASEBUDGETS!E521/BASEBUDGETS!C511</f>
        <v>0</v>
      </c>
      <c r="F40" s="769" t="str">
        <f>BASEBUDGETS!C521</f>
        <v>pounds</v>
      </c>
      <c r="G40" s="765"/>
      <c r="H40" s="765"/>
      <c r="I40" s="765"/>
      <c r="J40" s="765"/>
    </row>
    <row r="41" spans="3:10" s="611" customFormat="1" ht="21">
      <c r="C41" s="660" t="str">
        <f>BASEBUDGETS!B560</f>
        <v>Fertilizer Spreader, Custom</v>
      </c>
      <c r="D41" s="765">
        <f>CustomOperations!F32</f>
        <v>10.08</v>
      </c>
      <c r="E41" s="771">
        <f>BASEBUDGETS!E560/BASEBUDGETS!C511</f>
        <v>0</v>
      </c>
      <c r="F41" s="770" t="str">
        <f>BASEBUDGETS!C560</f>
        <v>acre</v>
      </c>
      <c r="G41" s="756">
        <v>0</v>
      </c>
      <c r="H41" s="756">
        <v>0</v>
      </c>
      <c r="I41" s="756">
        <f>IF(E41=0,0,BASEBUDGETS!D560*E41)</f>
        <v>0</v>
      </c>
      <c r="J41" s="756">
        <f t="shared" ref="J41:J45" si="2">G41+H41+I41</f>
        <v>0</v>
      </c>
    </row>
    <row r="42" spans="3:10" s="611" customFormat="1" ht="21">
      <c r="C42" s="660" t="str">
        <f>BASEBUDGETS!B561</f>
        <v>Laser Landplaning, Custom</v>
      </c>
      <c r="D42" s="765">
        <f>CustomOperations!F34</f>
        <v>0</v>
      </c>
      <c r="E42" s="771">
        <f>BASEBUDGETS!E561/BASEBUDGETS!C511</f>
        <v>0</v>
      </c>
      <c r="F42" s="770" t="str">
        <f>BASEBUDGETS!C561</f>
        <v>acre</v>
      </c>
      <c r="G42" s="756">
        <v>0</v>
      </c>
      <c r="H42" s="756">
        <v>0</v>
      </c>
      <c r="I42" s="756">
        <f>IF(E42=0,0,BASEBUDGETS!D561*E42)</f>
        <v>0</v>
      </c>
      <c r="J42" s="756">
        <f t="shared" si="2"/>
        <v>0</v>
      </c>
    </row>
    <row r="43" spans="3:10" s="611" customFormat="1" ht="21">
      <c r="C43" s="660" t="str">
        <f>TillageOperations!$B$23</f>
        <v>Fertilizer Spreader</v>
      </c>
      <c r="D43" s="765"/>
      <c r="E43" s="771">
        <f>BASEBUDGETS!E612/BASEBUDGETS!C511</f>
        <v>0</v>
      </c>
      <c r="F43" s="770" t="str">
        <f>BASEBUDGETS!C612</f>
        <v>acre</v>
      </c>
      <c r="G43" s="756">
        <f>IF(E43=0,0,BASEBUDGETS!D613*E43)</f>
        <v>0</v>
      </c>
      <c r="H43" s="756">
        <f>IF(E43=0,0,BASEBUDGETS!D612*E43)</f>
        <v>0</v>
      </c>
      <c r="I43" s="756">
        <v>0</v>
      </c>
      <c r="J43" s="756">
        <f t="shared" si="2"/>
        <v>0</v>
      </c>
    </row>
    <row r="44" spans="3:10" s="611" customFormat="1" ht="21">
      <c r="C44" s="660" t="str">
        <f>TillageOperations!$B$24</f>
        <v>Fertilizer Injection System</v>
      </c>
      <c r="D44" s="765"/>
      <c r="E44" s="771">
        <f>BASEBUDGETS!E614/BASEBUDGETS!C511</f>
        <v>0</v>
      </c>
      <c r="F44" s="770" t="str">
        <f>BASEBUDGETS!C614</f>
        <v>acre</v>
      </c>
      <c r="G44" s="756">
        <f>IF(E44=0,0,BASEBUDGETS!D615*E44)</f>
        <v>0</v>
      </c>
      <c r="H44" s="756">
        <f>IF(E44=0,0,BASEBUDGETS!D614*E44)</f>
        <v>0</v>
      </c>
      <c r="I44" s="756">
        <v>0</v>
      </c>
      <c r="J44" s="756">
        <f t="shared" si="2"/>
        <v>0</v>
      </c>
    </row>
    <row r="45" spans="3:10" s="611" customFormat="1" ht="21">
      <c r="C45" s="660" t="s">
        <v>407</v>
      </c>
      <c r="D45" s="765"/>
      <c r="E45" s="771"/>
      <c r="F45" s="770"/>
      <c r="G45" s="756">
        <v>0</v>
      </c>
      <c r="H45" s="756">
        <v>0</v>
      </c>
      <c r="I45" s="756">
        <f>(D46*E46)+(D47*E47)+(D48*E48)+(D49*E49)+(D50*E50)+(D51*E51)+(D52*E52)</f>
        <v>27.6</v>
      </c>
      <c r="J45" s="765">
        <f t="shared" si="2"/>
        <v>27.6</v>
      </c>
    </row>
    <row r="46" spans="3:10" s="611" customFormat="1" ht="21">
      <c r="C46" s="660" t="str">
        <f>BASEBUDGETS!B522</f>
        <v xml:space="preserve">   - Nitrogen</v>
      </c>
      <c r="D46" s="765">
        <f>BASEBUDGETS!D522</f>
        <v>0.46</v>
      </c>
      <c r="E46" s="775">
        <f>BASEBUDGETS!E522/BASEBUDGETS!C511</f>
        <v>60</v>
      </c>
      <c r="F46" s="769" t="str">
        <f>BASEBUDGETS!C522</f>
        <v>pounds</v>
      </c>
      <c r="G46" s="765"/>
      <c r="H46" s="765"/>
      <c r="I46" s="765"/>
      <c r="J46" s="765"/>
    </row>
    <row r="47" spans="3:10" s="611" customFormat="1" ht="21">
      <c r="C47" s="660" t="str">
        <f>BASEBUDGETS!B523</f>
        <v xml:space="preserve">   - Phosphorus</v>
      </c>
      <c r="D47" s="765">
        <f>BASEBUDGETS!D523</f>
        <v>0.36</v>
      </c>
      <c r="E47" s="775">
        <f>BASEBUDGETS!E523/BASEBUDGETS!C511</f>
        <v>0</v>
      </c>
      <c r="F47" s="769" t="str">
        <f>BASEBUDGETS!C523</f>
        <v>pounds</v>
      </c>
      <c r="G47" s="765"/>
      <c r="H47" s="765"/>
      <c r="I47" s="765"/>
      <c r="J47" s="765"/>
    </row>
    <row r="48" spans="3:10" s="611" customFormat="1" ht="21">
      <c r="C48" s="660" t="str">
        <f>BASEBUDGETS!B524</f>
        <v xml:space="preserve">   - Anhydrous Ammonia</v>
      </c>
      <c r="D48" s="765">
        <f>BASEBUDGETS!D524</f>
        <v>0.21</v>
      </c>
      <c r="E48" s="775">
        <f>BASEBUDGETS!E524/BASEBUDGETS!C511</f>
        <v>0</v>
      </c>
      <c r="F48" s="769" t="str">
        <f>BASEBUDGETS!C524</f>
        <v>pounds</v>
      </c>
      <c r="G48" s="765"/>
      <c r="H48" s="765"/>
      <c r="I48" s="765"/>
      <c r="J48" s="765"/>
    </row>
    <row r="49" spans="3:10" s="611" customFormat="1" ht="21">
      <c r="C49" s="660" t="str">
        <f>BASEBUDGETS!B525</f>
        <v xml:space="preserve">   - Trace Elements</v>
      </c>
      <c r="D49" s="765">
        <f>BASEBUDGETS!D525</f>
        <v>0.24</v>
      </c>
      <c r="E49" s="775">
        <f>BASEBUDGETS!E525/BASEBUDGETS!C511</f>
        <v>0</v>
      </c>
      <c r="F49" s="769" t="str">
        <f>BASEBUDGETS!C525</f>
        <v>pounds</v>
      </c>
      <c r="G49" s="765"/>
      <c r="H49" s="765"/>
      <c r="I49" s="765"/>
      <c r="J49" s="765"/>
    </row>
    <row r="50" spans="3:10" s="611" customFormat="1" ht="21">
      <c r="C50" s="660" t="str">
        <f>BASEBUDGETS!B526</f>
        <v xml:space="preserve">   - Nitrogen</v>
      </c>
      <c r="D50" s="765">
        <f>BASEBUDGETS!D526</f>
        <v>0</v>
      </c>
      <c r="E50" s="775">
        <f>BASEBUDGETS!E526/BASEBUDGETS!C511</f>
        <v>1</v>
      </c>
      <c r="F50" s="769" t="str">
        <f>BASEBUDGETS!C526</f>
        <v>acre</v>
      </c>
      <c r="G50" s="765"/>
      <c r="H50" s="765"/>
      <c r="I50" s="765"/>
      <c r="J50" s="765"/>
    </row>
    <row r="51" spans="3:10" s="611" customFormat="1" ht="21">
      <c r="C51" s="660" t="str">
        <f>BASEBUDGETS!B527</f>
        <v xml:space="preserve">   - Phosphorus</v>
      </c>
      <c r="D51" s="765">
        <f>BASEBUDGETS!D527</f>
        <v>0</v>
      </c>
      <c r="E51" s="775">
        <f>BASEBUDGETS!E527/BASEBUDGETS!C511</f>
        <v>1</v>
      </c>
      <c r="F51" s="769" t="str">
        <f>BASEBUDGETS!C527</f>
        <v>acre</v>
      </c>
      <c r="G51" s="765"/>
      <c r="H51" s="765"/>
      <c r="I51" s="765"/>
      <c r="J51" s="765"/>
    </row>
    <row r="52" spans="3:10" s="611" customFormat="1" ht="21">
      <c r="C52" s="660" t="str">
        <f>BASEBUDGETS!B528</f>
        <v xml:space="preserve">   - Fertilizer - Anhydrous Applicator</v>
      </c>
      <c r="D52" s="765">
        <f>BASEBUDGETS!D528</f>
        <v>0</v>
      </c>
      <c r="E52" s="775">
        <f>BASEBUDGETS!E528/BASEBUDGETS!C511</f>
        <v>1</v>
      </c>
      <c r="F52" s="769" t="str">
        <f>BASEBUDGETS!C528</f>
        <v>acre</v>
      </c>
      <c r="G52" s="765"/>
      <c r="H52" s="765"/>
      <c r="I52" s="765"/>
      <c r="J52" s="765"/>
    </row>
    <row r="53" spans="3:10" s="611" customFormat="1" ht="21">
      <c r="C53" s="660" t="str">
        <f>BASEBUDGETS!B562</f>
        <v>Boom Sprayer, Custom</v>
      </c>
      <c r="D53" s="765">
        <f>CustomOperations!F30</f>
        <v>10.050000000000001</v>
      </c>
      <c r="E53" s="771">
        <f>BASEBUDGETS!E562/BASEBUDGETS!C511</f>
        <v>0</v>
      </c>
      <c r="F53" s="770" t="str">
        <f>BASEBUDGETS!C562</f>
        <v>acre</v>
      </c>
      <c r="G53" s="756">
        <v>0</v>
      </c>
      <c r="H53" s="756">
        <v>0</v>
      </c>
      <c r="I53" s="756">
        <f>IF(E53=0,0,BASEBUDGETS!D562*E53)</f>
        <v>0</v>
      </c>
      <c r="J53" s="756">
        <f>G53+H53+I53</f>
        <v>0</v>
      </c>
    </row>
    <row r="54" spans="3:10" s="611" customFormat="1" ht="21">
      <c r="C54" s="660" t="str">
        <f>TillageOperations!$B$25</f>
        <v>Boom Sprayer</v>
      </c>
      <c r="D54" s="765"/>
      <c r="E54" s="771">
        <f>BASEBUDGETS!E616/BASEBUDGETS!C511</f>
        <v>0</v>
      </c>
      <c r="F54" s="770" t="str">
        <f>BASEBUDGETS!C616</f>
        <v>acre</v>
      </c>
      <c r="G54" s="756">
        <f>IF(E54=0,0,BASEBUDGETS!D617*E54)</f>
        <v>0</v>
      </c>
      <c r="H54" s="756">
        <f>IF(E54=0,0,BASEBUDGETS!D616*E54)</f>
        <v>0</v>
      </c>
      <c r="I54" s="756">
        <v>0</v>
      </c>
      <c r="J54" s="756">
        <f>G54+H54+I54</f>
        <v>0</v>
      </c>
    </row>
    <row r="55" spans="3:10" s="611" customFormat="1" ht="21">
      <c r="C55" s="660" t="s">
        <v>408</v>
      </c>
      <c r="D55" s="765"/>
      <c r="E55" s="771"/>
      <c r="F55" s="770"/>
      <c r="G55" s="756">
        <v>0</v>
      </c>
      <c r="H55" s="756">
        <v>0</v>
      </c>
      <c r="I55" s="756">
        <f>(D56*E56)+(D57*E57)+(D58*E58)+(D59*E59)+(D60*E60)+(D61*E61)+(D62*E62)</f>
        <v>0</v>
      </c>
      <c r="J55" s="765">
        <f>G55+H55+I55</f>
        <v>0</v>
      </c>
    </row>
    <row r="56" spans="3:10" s="611" customFormat="1" ht="21">
      <c r="C56" s="660" t="str">
        <f>BASEBUDGETS!B529</f>
        <v xml:space="preserve">   - Prowl</v>
      </c>
      <c r="D56" s="765">
        <f>BASEBUDGETS!D529</f>
        <v>6.0625</v>
      </c>
      <c r="E56" s="775">
        <f>BASEBUDGETS!E529/BASEBUDGETS!C511</f>
        <v>0</v>
      </c>
      <c r="F56" s="769" t="str">
        <f>BASEBUDGETS!C529</f>
        <v>pints</v>
      </c>
      <c r="G56" s="765"/>
      <c r="H56" s="765"/>
      <c r="I56" s="765"/>
      <c r="J56" s="765"/>
    </row>
    <row r="57" spans="3:10" s="611" customFormat="1" ht="21">
      <c r="C57" s="660" t="str">
        <f>BASEBUDGETS!B530</f>
        <v xml:space="preserve">   - Aim</v>
      </c>
      <c r="D57" s="765">
        <f>BASEBUDGETS!D530</f>
        <v>5.9375</v>
      </c>
      <c r="E57" s="775">
        <f>BASEBUDGETS!E530/BASEBUDGETS!C511</f>
        <v>0</v>
      </c>
      <c r="F57" s="769" t="str">
        <f>BASEBUDGETS!C530</f>
        <v>ounces</v>
      </c>
      <c r="G57" s="765"/>
      <c r="H57" s="765"/>
      <c r="I57" s="765"/>
      <c r="J57" s="765"/>
    </row>
    <row r="58" spans="3:10" s="611" customFormat="1" ht="21">
      <c r="C58" s="660" t="str">
        <f>BASEBUDGETS!B531</f>
        <v xml:space="preserve">   - Fusilade</v>
      </c>
      <c r="D58" s="765">
        <f>BASEBUDGETS!D531</f>
        <v>1.25</v>
      </c>
      <c r="E58" s="775">
        <f>BASEBUDGETS!E531/BASEBUDGETS!C511</f>
        <v>0</v>
      </c>
      <c r="F58" s="769" t="str">
        <f>BASEBUDGETS!C531</f>
        <v>ounces</v>
      </c>
      <c r="G58" s="765"/>
      <c r="H58" s="765"/>
      <c r="I58" s="765"/>
      <c r="J58" s="765"/>
    </row>
    <row r="59" spans="3:10" s="611" customFormat="1" ht="21">
      <c r="C59" s="660" t="str">
        <f>BASEBUDGETS!B532</f>
        <v xml:space="preserve">   - Herbicides</v>
      </c>
      <c r="D59" s="765">
        <f>BASEBUDGETS!D532</f>
        <v>0</v>
      </c>
      <c r="E59" s="775">
        <f>BASEBUDGETS!E532/BASEBUDGETS!C511</f>
        <v>1</v>
      </c>
      <c r="F59" s="769" t="str">
        <f>BASEBUDGETS!C532</f>
        <v>acre</v>
      </c>
      <c r="G59" s="765"/>
      <c r="H59" s="765"/>
      <c r="I59" s="765"/>
      <c r="J59" s="765"/>
    </row>
    <row r="60" spans="3:10" s="611" customFormat="1" ht="21">
      <c r="C60" s="660" t="str">
        <f>BASEBUDGETS!B533</f>
        <v xml:space="preserve">   - Herbicide - #2</v>
      </c>
      <c r="D60" s="765">
        <f>BASEBUDGETS!D533</f>
        <v>0</v>
      </c>
      <c r="E60" s="775">
        <f>BASEBUDGETS!E533/BASEBUDGETS!C511</f>
        <v>1</v>
      </c>
      <c r="F60" s="769" t="str">
        <f>BASEBUDGETS!C533</f>
        <v>acre</v>
      </c>
      <c r="G60" s="765"/>
      <c r="H60" s="765"/>
      <c r="I60" s="765"/>
      <c r="J60" s="765"/>
    </row>
    <row r="61" spans="3:10" s="611" customFormat="1" ht="21">
      <c r="C61" s="660" t="str">
        <f>BASEBUDGETS!B534</f>
        <v xml:space="preserve">   - Insecticides</v>
      </c>
      <c r="D61" s="765">
        <f>BASEBUDGETS!D534</f>
        <v>0</v>
      </c>
      <c r="E61" s="775">
        <f>BASEBUDGETS!E534/BASEBUDGETS!C511</f>
        <v>1</v>
      </c>
      <c r="F61" s="769" t="str">
        <f>BASEBUDGETS!C534</f>
        <v>acre</v>
      </c>
      <c r="G61" s="765"/>
      <c r="H61" s="765"/>
      <c r="I61" s="765"/>
      <c r="J61" s="765"/>
    </row>
    <row r="62" spans="3:10" s="611" customFormat="1" ht="21">
      <c r="C62" s="660" t="str">
        <f>BASEBUDGETS!B535</f>
        <v xml:space="preserve">   - Insecticide - #2</v>
      </c>
      <c r="D62" s="765">
        <f>BASEBUDGETS!D535</f>
        <v>0</v>
      </c>
      <c r="E62" s="775">
        <f>BASEBUDGETS!E535/BASEBUDGETS!C511</f>
        <v>1</v>
      </c>
      <c r="F62" s="769" t="str">
        <f>BASEBUDGETS!C535</f>
        <v>acre</v>
      </c>
      <c r="G62" s="765"/>
      <c r="H62" s="765"/>
      <c r="I62" s="765"/>
      <c r="J62" s="765"/>
    </row>
    <row r="63" spans="3:10" s="611" customFormat="1" ht="21">
      <c r="C63" s="660" t="str">
        <f>BASEBUDGETS!B550</f>
        <v>Row Cultivator, Custom</v>
      </c>
      <c r="D63" s="765">
        <f>CustomOperations!F28</f>
        <v>0</v>
      </c>
      <c r="E63" s="771">
        <f>BASEBUDGETS!E550/BASEBUDGETS!C511</f>
        <v>0</v>
      </c>
      <c r="F63" s="770" t="str">
        <f>BASEBUDGETS!C550</f>
        <v>acre</v>
      </c>
      <c r="G63" s="756">
        <v>0</v>
      </c>
      <c r="H63" s="756">
        <v>0</v>
      </c>
      <c r="I63" s="756">
        <f>IF(E63=0,0,BASEBUDGETS!D550*E63)</f>
        <v>0</v>
      </c>
      <c r="J63" s="756">
        <f>G63+H63+I63</f>
        <v>0</v>
      </c>
    </row>
    <row r="64" spans="3:10" s="611" customFormat="1" ht="21">
      <c r="C64" s="660" t="str">
        <f>TillageOperations!$B$20</f>
        <v>Row Cultivator</v>
      </c>
      <c r="D64" s="765"/>
      <c r="E64" s="771">
        <f>BASEBUDGETS!E585/BASEBUDGETS!C511</f>
        <v>0</v>
      </c>
      <c r="F64" s="770" t="str">
        <f>BASEBUDGETS!C583</f>
        <v>acre</v>
      </c>
      <c r="G64" s="756">
        <f>IF(E64=0,0,BASEBUDGETS!D586*E64)</f>
        <v>0</v>
      </c>
      <c r="H64" s="756">
        <f>IF(E64=0,0,BASEBUDGETS!D585*E64)</f>
        <v>0</v>
      </c>
      <c r="I64" s="756">
        <v>0</v>
      </c>
      <c r="J64" s="756">
        <f>G64+H64+I64</f>
        <v>0</v>
      </c>
    </row>
    <row r="65" spans="2:10" s="611" customFormat="1" ht="21">
      <c r="C65" s="660" t="s">
        <v>151</v>
      </c>
      <c r="D65" s="765"/>
      <c r="E65" s="776" t="s">
        <v>10</v>
      </c>
      <c r="F65" s="777" t="s">
        <v>10</v>
      </c>
      <c r="G65" s="756">
        <f>(D67*E67)+(D70*E70)+(D73*E73)</f>
        <v>48.500000000000007</v>
      </c>
      <c r="H65" s="756">
        <v>0</v>
      </c>
      <c r="I65" s="765">
        <f>(D66*E66)+(D69*E69)+(D72*E72)+(D68*E68)+(D71*E71)+(D74*E74)</f>
        <v>186.33333333333334</v>
      </c>
      <c r="J65" s="765">
        <f>G65+H65+I65</f>
        <v>234.83333333333334</v>
      </c>
    </row>
    <row r="66" spans="2:10" s="611" customFormat="1" ht="21">
      <c r="B66" s="660"/>
      <c r="C66" s="660" t="str">
        <f>BASEBUDGETS!B536</f>
        <v>Flood - Irrigation Water</v>
      </c>
      <c r="D66" s="765">
        <f>BASEBUDGETS!D536</f>
        <v>55</v>
      </c>
      <c r="E66" s="775">
        <f>BASEBUDGETS!E536/BASEBUDGETS!C$511</f>
        <v>3.3333333333333335</v>
      </c>
      <c r="F66" s="769" t="str">
        <f>BASEBUDGETS!C536</f>
        <v>ac ft</v>
      </c>
      <c r="G66" s="756"/>
      <c r="H66" s="756"/>
      <c r="I66" s="765"/>
      <c r="J66" s="765"/>
    </row>
    <row r="67" spans="2:10" s="611" customFormat="1" ht="21">
      <c r="C67" s="660" t="str">
        <f>BASEBUDGETS!B537</f>
        <v>Flood - Irrigation Labor</v>
      </c>
      <c r="D67" s="765">
        <f>BASEBUDGETS!D537</f>
        <v>14.55</v>
      </c>
      <c r="E67" s="775">
        <f>BASEBUDGETS!E537/BASEBUDGETS!C$511</f>
        <v>3.3333333333333335</v>
      </c>
      <c r="F67" s="769" t="str">
        <f>BASEBUDGETS!C537</f>
        <v>hour</v>
      </c>
      <c r="G67" s="757"/>
      <c r="H67" s="757"/>
      <c r="I67" s="756"/>
      <c r="J67" s="778" t="s">
        <v>10</v>
      </c>
    </row>
    <row r="68" spans="2:10" s="611" customFormat="1" ht="21">
      <c r="C68" s="660" t="str">
        <f>BASEBUDGETS!B538</f>
        <v xml:space="preserve">   - Annual Repairs &amp; Maintenance</v>
      </c>
      <c r="D68" s="765">
        <f>BASEBUDGETS!D538</f>
        <v>3</v>
      </c>
      <c r="E68" s="775">
        <f>BASEBUDGETS!E538/BASEBUDGETS!C$511</f>
        <v>1</v>
      </c>
      <c r="F68" s="769" t="str">
        <f>BASEBUDGETS!C538</f>
        <v>acre</v>
      </c>
      <c r="G68" s="757"/>
      <c r="H68" s="757"/>
      <c r="I68" s="756"/>
      <c r="J68" s="778"/>
    </row>
    <row r="69" spans="2:10" s="611" customFormat="1" ht="21">
      <c r="C69" s="660" t="str">
        <f>BASEBUDGETS!B539</f>
        <v>Drip-tape - Irrigation Water</v>
      </c>
      <c r="D69" s="765">
        <f>BASEBUDGETS!D539</f>
        <v>55</v>
      </c>
      <c r="E69" s="775">
        <f>BASEBUDGETS!E539/BASEBUDGETS!C$511</f>
        <v>0</v>
      </c>
      <c r="F69" s="769" t="str">
        <f>BASEBUDGETS!C539</f>
        <v>ac ft</v>
      </c>
      <c r="G69" s="756"/>
      <c r="H69" s="756"/>
      <c r="I69" s="756"/>
      <c r="J69" s="765"/>
    </row>
    <row r="70" spans="2:10" s="611" customFormat="1" ht="21">
      <c r="C70" s="660" t="str">
        <f>BASEBUDGETS!B540</f>
        <v>Drip-tape - Irrigation Labor</v>
      </c>
      <c r="D70" s="765">
        <f>BASEBUDGETS!D540</f>
        <v>14.55</v>
      </c>
      <c r="E70" s="775">
        <f>BASEBUDGETS!E540/BASEBUDGETS!C$511</f>
        <v>0</v>
      </c>
      <c r="F70" s="769" t="str">
        <f>BASEBUDGETS!C540</f>
        <v>hour</v>
      </c>
      <c r="G70" s="756"/>
      <c r="H70" s="756"/>
      <c r="I70" s="756"/>
      <c r="J70" s="765"/>
    </row>
    <row r="71" spans="2:10" s="611" customFormat="1" ht="21">
      <c r="C71" s="660" t="str">
        <f>BASEBUDGETS!B541</f>
        <v xml:space="preserve">   - Annual Repairs &amp; Maintenance</v>
      </c>
      <c r="D71" s="765">
        <f>BASEBUDGETS!D541</f>
        <v>7.5</v>
      </c>
      <c r="E71" s="775">
        <f>BASEBUDGETS!E541/BASEBUDGETS!C$511</f>
        <v>0</v>
      </c>
      <c r="F71" s="769" t="str">
        <f>BASEBUDGETS!C541</f>
        <v>acre</v>
      </c>
      <c r="G71" s="756"/>
      <c r="H71" s="756"/>
      <c r="I71" s="756"/>
      <c r="J71" s="765"/>
    </row>
    <row r="72" spans="2:10" s="611" customFormat="1" ht="21">
      <c r="C72" s="660" t="str">
        <f>BASEBUDGETS!B542</f>
        <v>Sprinkler - Irrigation Water</v>
      </c>
      <c r="D72" s="765">
        <f>BASEBUDGETS!D542</f>
        <v>55</v>
      </c>
      <c r="E72" s="775">
        <f>BASEBUDGETS!E542/BASEBUDGETS!C$511</f>
        <v>0</v>
      </c>
      <c r="F72" s="769" t="str">
        <f>BASEBUDGETS!C542</f>
        <v>ac ft</v>
      </c>
      <c r="G72" s="756"/>
      <c r="H72" s="756"/>
      <c r="I72" s="756"/>
      <c r="J72" s="765"/>
    </row>
    <row r="73" spans="2:10" s="611" customFormat="1" ht="21">
      <c r="C73" s="660" t="str">
        <f>BASEBUDGETS!B543</f>
        <v>Sprinkler - Irrigation Labor</v>
      </c>
      <c r="D73" s="765">
        <f>BASEBUDGETS!D543</f>
        <v>14.55</v>
      </c>
      <c r="E73" s="775">
        <f>BASEBUDGETS!E543/BASEBUDGETS!C$511</f>
        <v>0</v>
      </c>
      <c r="F73" s="769" t="str">
        <f>BASEBUDGETS!C543</f>
        <v>hour</v>
      </c>
      <c r="G73" s="756"/>
      <c r="H73" s="756"/>
      <c r="I73" s="756"/>
      <c r="J73" s="765"/>
    </row>
    <row r="74" spans="2:10" s="611" customFormat="1" ht="21">
      <c r="C74" s="660" t="str">
        <f>BASEBUDGETS!B544</f>
        <v xml:space="preserve">   - Annual Repairs &amp; Maintenance</v>
      </c>
      <c r="D74" s="765">
        <f>BASEBUDGETS!D544</f>
        <v>15</v>
      </c>
      <c r="E74" s="775">
        <f>BASEBUDGETS!E544/BASEBUDGETS!C$511</f>
        <v>0</v>
      </c>
      <c r="F74" s="769" t="str">
        <f>BASEBUDGETS!C544</f>
        <v>acre</v>
      </c>
      <c r="G74" s="756"/>
      <c r="H74" s="756"/>
      <c r="I74" s="756"/>
      <c r="J74" s="765"/>
    </row>
    <row r="75" spans="2:10" s="611" customFormat="1" ht="21">
      <c r="C75" s="660" t="str">
        <f>BASEBUDGETS!B622</f>
        <v>Additional Crop Prod. Labor</v>
      </c>
      <c r="D75" s="765">
        <f>GeneralInputPrices!$D$31</f>
        <v>14.55</v>
      </c>
      <c r="E75" s="771">
        <f>BASEBUDGETS!E622/BASEBUDGETS!C511</f>
        <v>0</v>
      </c>
      <c r="F75" s="770" t="str">
        <f>BASEBUDGETS!C621</f>
        <v>hour</v>
      </c>
      <c r="G75" s="756">
        <f>D75*E75</f>
        <v>0</v>
      </c>
      <c r="H75" s="756">
        <v>0</v>
      </c>
      <c r="I75" s="756">
        <v>0</v>
      </c>
      <c r="J75" s="765">
        <f t="shared" ref="J75:J76" si="3">G75+H75+I75</f>
        <v>0</v>
      </c>
    </row>
    <row r="76" spans="2:10" s="611" customFormat="1" ht="21">
      <c r="C76" s="660" t="str">
        <f>BASEBUDGETS!B623</f>
        <v>Additional Crop Prod. Labor</v>
      </c>
      <c r="D76" s="765">
        <f>GeneralInputPrices!$D$31</f>
        <v>14.55</v>
      </c>
      <c r="E76" s="771">
        <f>BASEBUDGETS!E623/BASEBUDGETS!C511</f>
        <v>0</v>
      </c>
      <c r="F76" s="770" t="str">
        <f>BASEBUDGETS!C622</f>
        <v>hour</v>
      </c>
      <c r="G76" s="756">
        <f>D76*E76</f>
        <v>0</v>
      </c>
      <c r="H76" s="756">
        <v>0</v>
      </c>
      <c r="I76" s="756">
        <v>0</v>
      </c>
      <c r="J76" s="765">
        <f t="shared" si="3"/>
        <v>0</v>
      </c>
    </row>
    <row r="77" spans="2:10" s="611" customFormat="1" ht="21">
      <c r="B77" s="804" t="s">
        <v>44</v>
      </c>
      <c r="C77" s="804"/>
      <c r="D77" s="778"/>
      <c r="E77" s="758"/>
      <c r="F77" s="780" t="s">
        <v>10</v>
      </c>
      <c r="G77" s="777" t="s">
        <v>10</v>
      </c>
      <c r="H77" s="777" t="s">
        <v>10</v>
      </c>
      <c r="I77" s="777" t="s">
        <v>10</v>
      </c>
      <c r="J77" s="777" t="s">
        <v>10</v>
      </c>
    </row>
    <row r="78" spans="2:10" s="611" customFormat="1" ht="21">
      <c r="B78" s="779"/>
      <c r="C78" s="660" t="str">
        <f>BASEBUDGETS!B545</f>
        <v>Harvest, Custom</v>
      </c>
      <c r="D78" s="765">
        <f>CustomOperations!F37</f>
        <v>0</v>
      </c>
      <c r="E78" s="771">
        <f>BASEBUDGETS!E545/BASEBUDGETS!C511</f>
        <v>0</v>
      </c>
      <c r="F78" s="770" t="str">
        <f>BASEBUDGETS!C545</f>
        <v>acre</v>
      </c>
      <c r="G78" s="756">
        <v>0</v>
      </c>
      <c r="H78" s="756">
        <v>0</v>
      </c>
      <c r="I78" s="756">
        <f>IF(E78=0,0,BASEBUDGETS!D545*E78)</f>
        <v>0</v>
      </c>
      <c r="J78" s="756">
        <f t="shared" ref="J78" si="4">G78+H78+I78</f>
        <v>0</v>
      </c>
    </row>
    <row r="79" spans="2:10" s="611" customFormat="1" ht="21">
      <c r="C79" s="660" t="str">
        <f>BASEBUDGETS!B546</f>
        <v>Hauling, Custom</v>
      </c>
      <c r="D79" s="765">
        <f>CustomOperations!F39</f>
        <v>0</v>
      </c>
      <c r="E79" s="771">
        <f>BASEBUDGETS!E546/BASEBUDGETS!C511</f>
        <v>0</v>
      </c>
      <c r="F79" s="770" t="str">
        <f>BASEBUDGETS!C546</f>
        <v>mile</v>
      </c>
      <c r="G79" s="756">
        <v>0</v>
      </c>
      <c r="H79" s="756">
        <v>0</v>
      </c>
      <c r="I79" s="756">
        <f>IF(E79=0,0,BASEBUDGETS!D546*E79)</f>
        <v>0</v>
      </c>
      <c r="J79" s="756">
        <f t="shared" ref="J79:J89" si="5">G79+H79+I79</f>
        <v>0</v>
      </c>
    </row>
    <row r="80" spans="2:10" s="611" customFormat="1" ht="21">
      <c r="C80" s="660" t="str">
        <f>BASEBUDGETS!B547</f>
        <v>Gin Cotton/Drying/Swathing, Custom</v>
      </c>
      <c r="D80" s="765">
        <f>CustomOperations!F41</f>
        <v>0</v>
      </c>
      <c r="E80" s="771">
        <f>BASEBUDGETS!E547/BASEBUDGETS!C511</f>
        <v>0</v>
      </c>
      <c r="F80" s="770" t="str">
        <f>BASEBUDGETS!C547</f>
        <v>bale</v>
      </c>
      <c r="G80" s="756">
        <v>0</v>
      </c>
      <c r="H80" s="756">
        <v>0</v>
      </c>
      <c r="I80" s="756">
        <f>IF(E80=0,0,BASEBUDGETS!D547*E80)</f>
        <v>0</v>
      </c>
      <c r="J80" s="756">
        <f t="shared" si="5"/>
        <v>0</v>
      </c>
    </row>
    <row r="81" spans="2:10" s="611" customFormat="1" ht="21">
      <c r="C81" s="660" t="str">
        <f>TillageOperations!$B$27</f>
        <v>Cotton Picker</v>
      </c>
      <c r="D81" s="765"/>
      <c r="E81" s="771">
        <f>BASEBUDGETS!E589/BASEBUDGETS!C511</f>
        <v>0</v>
      </c>
      <c r="F81" s="770" t="str">
        <f>BASEBUDGETS!C589</f>
        <v>acre</v>
      </c>
      <c r="G81" s="756">
        <f>IF(E81=0,0,BASEBUDGETS!D590*E81)</f>
        <v>0</v>
      </c>
      <c r="H81" s="756">
        <f>IF(E81=0,0,BASEBUDGETS!D589*E81)</f>
        <v>0</v>
      </c>
      <c r="I81" s="756">
        <v>0</v>
      </c>
      <c r="J81" s="756">
        <f t="shared" si="5"/>
        <v>0</v>
      </c>
    </row>
    <row r="82" spans="2:10" s="611" customFormat="1" ht="21">
      <c r="C82" s="781" t="s">
        <v>287</v>
      </c>
      <c r="D82" s="765"/>
      <c r="E82" s="771">
        <f>BASEBUDGETS!E591/BASEBUDGETS!C511</f>
        <v>0</v>
      </c>
      <c r="F82" s="770" t="str">
        <f>BASEBUDGETS!C591</f>
        <v>acre</v>
      </c>
      <c r="G82" s="756">
        <f>IF(E82=0,0,BASEBUDGETS!D592*E82)</f>
        <v>0</v>
      </c>
      <c r="H82" s="756">
        <f>IF(E82=0,0,BASEBUDGETS!D591*E82)</f>
        <v>0</v>
      </c>
      <c r="I82" s="756">
        <v>0</v>
      </c>
      <c r="J82" s="756">
        <f t="shared" ref="J82" si="6">G82+H82+I82</f>
        <v>0</v>
      </c>
    </row>
    <row r="83" spans="2:10" s="611" customFormat="1" ht="21">
      <c r="C83" s="660" t="str">
        <f>TillageOperations!$B$29</f>
        <v>Haul Cotton</v>
      </c>
      <c r="D83" s="765"/>
      <c r="E83" s="771">
        <f>BASEBUDGETS!E593/BASEBUDGETS!C511</f>
        <v>0</v>
      </c>
      <c r="F83" s="770" t="str">
        <f>BASEBUDGETS!C593</f>
        <v>acre</v>
      </c>
      <c r="G83" s="756">
        <f>IF(E83=0,0,BASEBUDGETS!D594*E83)</f>
        <v>0</v>
      </c>
      <c r="H83" s="756">
        <f>IF(E83=0,0,BASEBUDGETS!D593*E83)</f>
        <v>0</v>
      </c>
      <c r="I83" s="756">
        <v>0</v>
      </c>
      <c r="J83" s="756">
        <f t="shared" si="5"/>
        <v>0</v>
      </c>
    </row>
    <row r="84" spans="2:10" s="611" customFormat="1" ht="21">
      <c r="C84" s="660" t="str">
        <f>TillageOperations!$B$30</f>
        <v>Combine</v>
      </c>
      <c r="D84" s="765"/>
      <c r="E84" s="771">
        <f>BASEBUDGETS!E597/BASEBUDGETS!C511</f>
        <v>0</v>
      </c>
      <c r="F84" s="770" t="str">
        <f>BASEBUDGETS!C597</f>
        <v>acre</v>
      </c>
      <c r="G84" s="756">
        <f>IF(E84=0,0,BASEBUDGETS!D598*E84)</f>
        <v>0</v>
      </c>
      <c r="H84" s="756">
        <f>IF(E84=0,0,BASEBUDGETS!D597*E84)</f>
        <v>0</v>
      </c>
      <c r="I84" s="756">
        <v>0</v>
      </c>
      <c r="J84" s="756">
        <f t="shared" si="5"/>
        <v>0</v>
      </c>
    </row>
    <row r="85" spans="2:10" s="611" customFormat="1" ht="21">
      <c r="C85" s="660" t="str">
        <f>TillageOperations!$B$31</f>
        <v>Grain Cart</v>
      </c>
      <c r="D85" s="765"/>
      <c r="E85" s="771">
        <f>BASEBUDGETS!E599/BASEBUDGETS!C511</f>
        <v>0</v>
      </c>
      <c r="F85" s="770" t="str">
        <f>BASEBUDGETS!C599</f>
        <v>acre</v>
      </c>
      <c r="G85" s="756">
        <f>IF(E85=0,0,BASEBUDGETS!D600*E85)</f>
        <v>0</v>
      </c>
      <c r="H85" s="756">
        <f>IF(E85=0,0,BASEBUDGETS!D599*E85)</f>
        <v>0</v>
      </c>
      <c r="I85" s="756">
        <v>0</v>
      </c>
      <c r="J85" s="756">
        <f t="shared" si="5"/>
        <v>0</v>
      </c>
    </row>
    <row r="86" spans="2:10" s="611" customFormat="1" ht="21">
      <c r="C86" s="660" t="str">
        <f>TillageOperations!$B$32</f>
        <v>Swather</v>
      </c>
      <c r="D86" s="765"/>
      <c r="E86" s="771">
        <f>BASEBUDGETS!E601/BASEBUDGETS!C511</f>
        <v>0</v>
      </c>
      <c r="F86" s="770" t="str">
        <f>BASEBUDGETS!C601</f>
        <v>acre</v>
      </c>
      <c r="G86" s="756">
        <f>IF(E86=0,0,BASEBUDGETS!D602*E86)</f>
        <v>0</v>
      </c>
      <c r="H86" s="756">
        <f>IF(E86=0,0,BASEBUDGETS!D601*E86)</f>
        <v>0</v>
      </c>
      <c r="I86" s="756">
        <v>0</v>
      </c>
      <c r="J86" s="756">
        <f t="shared" si="5"/>
        <v>0</v>
      </c>
    </row>
    <row r="87" spans="2:10" s="611" customFormat="1" ht="21">
      <c r="C87" s="660" t="str">
        <f>TillageOperations!$B$33</f>
        <v>Baler</v>
      </c>
      <c r="D87" s="765"/>
      <c r="E87" s="771">
        <f>BASEBUDGETS!E603/BASEBUDGETS!C511</f>
        <v>0</v>
      </c>
      <c r="F87" s="770" t="str">
        <f>BASEBUDGETS!C603</f>
        <v>acre</v>
      </c>
      <c r="G87" s="756">
        <f>IF(E87=0,0,BASEBUDGETS!D604*E87)</f>
        <v>0</v>
      </c>
      <c r="H87" s="756">
        <f>IF(E87=0,0,BASEBUDGETS!D603*E87)</f>
        <v>0</v>
      </c>
      <c r="I87" s="756">
        <f>IF(E87=0,0,D90*E90)</f>
        <v>0</v>
      </c>
      <c r="J87" s="756">
        <f t="shared" si="5"/>
        <v>0</v>
      </c>
    </row>
    <row r="88" spans="2:10" s="611" customFormat="1" ht="21">
      <c r="C88" s="660" t="str">
        <f>TillageOperations!$B$34</f>
        <v>Swather</v>
      </c>
      <c r="D88" s="765"/>
      <c r="E88" s="771">
        <f>BASEBUDGETS!E605/BASEBUDGETS!C511</f>
        <v>0</v>
      </c>
      <c r="F88" s="770" t="str">
        <f>BASEBUDGETS!C605</f>
        <v>acre</v>
      </c>
      <c r="G88" s="756">
        <f>IF(E88=0,0,BASEBUDGETS!D606*E88)</f>
        <v>0</v>
      </c>
      <c r="H88" s="756">
        <f>IF(E88=0,0,BASEBUDGETS!D605*E88)</f>
        <v>0</v>
      </c>
      <c r="I88" s="756">
        <v>0</v>
      </c>
      <c r="J88" s="756">
        <f t="shared" si="5"/>
        <v>0</v>
      </c>
    </row>
    <row r="89" spans="2:10" s="611" customFormat="1" ht="21">
      <c r="C89" s="660" t="str">
        <f>TillageOperations!$B$35</f>
        <v>Baler</v>
      </c>
      <c r="D89" s="765"/>
      <c r="E89" s="771">
        <f>BASEBUDGETS!E607/BASEBUDGETS!C511</f>
        <v>0</v>
      </c>
      <c r="F89" s="770" t="str">
        <f>BASEBUDGETS!C607</f>
        <v>acre</v>
      </c>
      <c r="G89" s="756">
        <f>IF(E89=0,0,BASEBUDGETS!D608*E89)</f>
        <v>0</v>
      </c>
      <c r="H89" s="756">
        <f>IF(E89=0,0,BASEBUDGETS!D607*E89)</f>
        <v>0</v>
      </c>
      <c r="I89" s="756">
        <f>IF(E89=0,0,D90*E90)</f>
        <v>0</v>
      </c>
      <c r="J89" s="756">
        <f t="shared" si="5"/>
        <v>0</v>
      </c>
    </row>
    <row r="90" spans="2:10" s="611" customFormat="1" ht="21">
      <c r="C90" s="660" t="str">
        <f>'Inputs&amp;PricesbyCrop'!$B$31</f>
        <v xml:space="preserve">   - Baling Twine</v>
      </c>
      <c r="D90" s="765">
        <f>BASEBUDGETS!D609</f>
        <v>0</v>
      </c>
      <c r="E90" s="775">
        <f>BASEBUDGETS!E609/BASEBUDGETS!C511</f>
        <v>1</v>
      </c>
      <c r="F90" s="769" t="str">
        <f>'Inputs&amp;PricesbyCrop'!$C$31</f>
        <v>acre</v>
      </c>
      <c r="G90" s="756"/>
      <c r="H90" s="756"/>
      <c r="I90" s="756"/>
      <c r="J90" s="756"/>
    </row>
    <row r="91" spans="2:10" s="611" customFormat="1" ht="21">
      <c r="C91" s="660" t="str">
        <f>TillageOperations!$B$36</f>
        <v>Bale Wagon</v>
      </c>
      <c r="D91" s="765"/>
      <c r="E91" s="771">
        <f>BASEBUDGETS!E610/BASEBUDGETS!C511</f>
        <v>0</v>
      </c>
      <c r="F91" s="770" t="str">
        <f>BASEBUDGETS!C610</f>
        <v>acre</v>
      </c>
      <c r="G91" s="756">
        <f>IF(E91=0,0,BASEBUDGETS!D611*E91)</f>
        <v>0</v>
      </c>
      <c r="H91" s="756">
        <f>IF(E91=0,0,BASEBUDGETS!D610*E91)</f>
        <v>0</v>
      </c>
      <c r="I91" s="756">
        <v>0</v>
      </c>
      <c r="J91" s="756">
        <f t="shared" ref="J91:J93" si="7">G91+H91+I91</f>
        <v>0</v>
      </c>
    </row>
    <row r="92" spans="2:10" s="611" customFormat="1" ht="21">
      <c r="C92" s="660" t="str">
        <f>BASEBUDGETS!B624</f>
        <v>Additional Harvest Labor</v>
      </c>
      <c r="D92" s="765">
        <f>GeneralInputPrices!$D$32</f>
        <v>17.89</v>
      </c>
      <c r="E92" s="771">
        <f>BASEBUDGETS!E624/BASEBUDGETS!C348</f>
        <v>0</v>
      </c>
      <c r="F92" s="770" t="str">
        <f>BASEBUDGETS!C623</f>
        <v>hour</v>
      </c>
      <c r="G92" s="756">
        <f>D92*E92</f>
        <v>0</v>
      </c>
      <c r="H92" s="756">
        <v>0</v>
      </c>
      <c r="I92" s="756">
        <v>0</v>
      </c>
      <c r="J92" s="765">
        <f t="shared" si="7"/>
        <v>0</v>
      </c>
    </row>
    <row r="93" spans="2:10" s="611" customFormat="1" ht="21">
      <c r="C93" s="660" t="str">
        <f>BASEBUDGETS!B625</f>
        <v>Additional Harvest Labor</v>
      </c>
      <c r="D93" s="765">
        <f>GeneralInputPrices!$D$32</f>
        <v>17.89</v>
      </c>
      <c r="E93" s="771">
        <f>BASEBUDGETS!E625/BASEBUDGETS!C348</f>
        <v>0</v>
      </c>
      <c r="F93" s="770" t="str">
        <f>BASEBUDGETS!C624</f>
        <v>hour</v>
      </c>
      <c r="G93" s="756">
        <f>D93*E93</f>
        <v>0</v>
      </c>
      <c r="H93" s="756">
        <v>0</v>
      </c>
      <c r="I93" s="756">
        <v>0</v>
      </c>
      <c r="J93" s="765">
        <f t="shared" si="7"/>
        <v>0</v>
      </c>
    </row>
    <row r="94" spans="2:10" s="611" customFormat="1" ht="21">
      <c r="B94" s="760" t="s">
        <v>184</v>
      </c>
      <c r="C94" s="760"/>
      <c r="D94" s="765"/>
      <c r="E94" s="771"/>
      <c r="F94" s="770"/>
      <c r="G94" s="756"/>
      <c r="H94" s="756"/>
      <c r="I94" s="756"/>
      <c r="J94" s="756"/>
    </row>
    <row r="95" spans="2:10" s="611" customFormat="1" ht="21">
      <c r="C95" s="660" t="str">
        <f>BASEBUDGETS!B626</f>
        <v>Other Expenses</v>
      </c>
      <c r="D95" s="765"/>
      <c r="E95" s="783">
        <f>BASEBUDGETS!D626</f>
        <v>0.05</v>
      </c>
      <c r="F95" s="780" t="s">
        <v>10</v>
      </c>
      <c r="G95" s="756">
        <v>0</v>
      </c>
      <c r="H95" s="756">
        <v>0</v>
      </c>
      <c r="I95" s="756">
        <f>SUM(J9:J93)*E95</f>
        <v>13.196908760595742</v>
      </c>
      <c r="J95" s="765">
        <f>G95+H95+I95</f>
        <v>13.196908760595742</v>
      </c>
    </row>
    <row r="96" spans="2:10" s="611" customFormat="1" ht="21">
      <c r="C96" s="660" t="str">
        <f>BASEBUDGETS!B627</f>
        <v>Interest on Operating Capital</v>
      </c>
      <c r="D96" s="765"/>
      <c r="E96" s="783">
        <f>BASEBUDGETS!D627</f>
        <v>0.06</v>
      </c>
      <c r="F96" s="780" t="s">
        <v>10</v>
      </c>
      <c r="G96" s="784">
        <v>0</v>
      </c>
      <c r="H96" s="784">
        <v>0</v>
      </c>
      <c r="I96" s="784">
        <f>SUM(J9:J95)*((E96/12)*GeneralInputPrices!$D$39)</f>
        <v>8.3140525191753181</v>
      </c>
      <c r="J96" s="785">
        <f>G96+H96+I96</f>
        <v>8.3140525191753181</v>
      </c>
    </row>
    <row r="97" spans="2:10" s="611" customFormat="1" ht="21">
      <c r="B97" s="760" t="s">
        <v>153</v>
      </c>
      <c r="C97" s="760"/>
      <c r="D97" s="760"/>
      <c r="E97" s="760"/>
      <c r="F97" s="760"/>
      <c r="G97" s="756">
        <f>SUM(G10:G96)</f>
        <v>48.971610021786496</v>
      </c>
      <c r="H97" s="756">
        <f>SUM(H10:H96)</f>
        <v>1.0332318567950058</v>
      </c>
      <c r="I97" s="756">
        <f>SUM(I10:I96)</f>
        <v>235.44429461310438</v>
      </c>
      <c r="J97" s="756">
        <f>SUM(J9:J96)</f>
        <v>285.44913649168592</v>
      </c>
    </row>
    <row r="98" spans="2:10" s="611" customFormat="1">
      <c r="D98" s="786"/>
      <c r="E98" s="774"/>
      <c r="G98" s="757"/>
      <c r="H98" s="757"/>
      <c r="I98" s="757"/>
      <c r="J98" s="757"/>
    </row>
    <row r="99" spans="2:10" s="611" customFormat="1" ht="21">
      <c r="B99" s="787" t="s">
        <v>78</v>
      </c>
      <c r="C99" s="787"/>
      <c r="D99" s="788"/>
      <c r="E99" s="789"/>
      <c r="F99" s="790"/>
      <c r="G99" s="791"/>
      <c r="H99" s="792" t="s">
        <v>1</v>
      </c>
      <c r="I99" s="767" t="s">
        <v>24</v>
      </c>
      <c r="J99" s="767" t="s">
        <v>0</v>
      </c>
    </row>
    <row r="100" spans="2:10" s="611" customFormat="1" ht="21">
      <c r="B100" s="754" t="str">
        <f>BASEBUDGETS!B662</f>
        <v>Crop Insurance</v>
      </c>
      <c r="C100" s="754"/>
      <c r="D100" s="754"/>
      <c r="E100" s="754"/>
      <c r="F100" s="754"/>
      <c r="G100" s="754"/>
      <c r="H100" s="770" t="str">
        <f>BASEBUDGETS!C662</f>
        <v>acre</v>
      </c>
      <c r="I100" s="756">
        <f>BASEBUDGETS!F662/BASEBUDGETS!C511</f>
        <v>0</v>
      </c>
      <c r="J100" s="756">
        <f>I100</f>
        <v>0</v>
      </c>
    </row>
    <row r="101" spans="2:10" s="611" customFormat="1" ht="21">
      <c r="B101" s="760" t="str">
        <f>BASEBUDGETS!B663</f>
        <v>Property Insurance</v>
      </c>
      <c r="C101" s="760"/>
      <c r="D101" s="760"/>
      <c r="E101" s="760"/>
      <c r="F101" s="760"/>
      <c r="G101" s="760"/>
      <c r="H101" s="770" t="str">
        <f>BASEBUDGETS!C663</f>
        <v>acre</v>
      </c>
      <c r="I101" s="756">
        <f>BASEBUDGETS!F663/BASEBUDGETS!C511</f>
        <v>0</v>
      </c>
      <c r="J101" s="756">
        <f>I101</f>
        <v>0</v>
      </c>
    </row>
    <row r="102" spans="2:10" s="611" customFormat="1" ht="21">
      <c r="B102" s="760" t="str">
        <f>BASEBUDGETS!B664</f>
        <v>Property Taxes</v>
      </c>
      <c r="C102" s="760"/>
      <c r="D102" s="760"/>
      <c r="E102" s="760"/>
      <c r="F102" s="760"/>
      <c r="G102" s="760"/>
      <c r="H102" s="770" t="str">
        <f>BASEBUDGETS!C664</f>
        <v>acre</v>
      </c>
      <c r="I102" s="756">
        <f>BASEBUDGETS!F664/BASEBUDGETS!C511</f>
        <v>0</v>
      </c>
      <c r="J102" s="756">
        <f t="shared" ref="J102:J105" si="8">I102</f>
        <v>0</v>
      </c>
    </row>
    <row r="103" spans="2:10" s="611" customFormat="1" ht="21">
      <c r="B103" s="760" t="str">
        <f>BASEBUDGETS!B667</f>
        <v>Licenses and Fees</v>
      </c>
      <c r="C103" s="760"/>
      <c r="D103" s="760"/>
      <c r="E103" s="760"/>
      <c r="F103" s="760"/>
      <c r="G103" s="760"/>
      <c r="H103" s="770" t="str">
        <f>BASEBUDGETS!C667</f>
        <v>acre</v>
      </c>
      <c r="I103" s="756">
        <f>BASEBUDGETS!F667/BASEBUDGETS!C511</f>
        <v>0</v>
      </c>
      <c r="J103" s="756">
        <f t="shared" si="8"/>
        <v>0</v>
      </c>
    </row>
    <row r="104" spans="2:10" s="611" customFormat="1" ht="21">
      <c r="B104" s="794" t="s">
        <v>484</v>
      </c>
      <c r="C104" s="794"/>
      <c r="D104" s="794"/>
      <c r="E104" s="794"/>
      <c r="F104" s="794"/>
      <c r="G104" s="794"/>
      <c r="H104" s="770" t="s">
        <v>157</v>
      </c>
      <c r="I104" s="756">
        <f>IF('AcresYieldsPrices&amp;Water'!D9=0,0,((Fallow!$L$17*(('AcresYieldsPrices&amp;Water'!Q29/'AcresYieldsPrices&amp;Water'!Q31))/'AcresYieldsPrices&amp;Water'!D4)*-1))</f>
        <v>0</v>
      </c>
      <c r="J104" s="765">
        <f>I104</f>
        <v>0</v>
      </c>
    </row>
    <row r="105" spans="2:10" s="611" customFormat="1" ht="21">
      <c r="B105" s="760" t="str">
        <f>BASEBUDGETS!B665</f>
        <v>Annual Cash Rent Payment</v>
      </c>
      <c r="C105" s="760"/>
      <c r="D105" s="760"/>
      <c r="E105" s="760"/>
      <c r="F105" s="760"/>
      <c r="G105" s="760"/>
      <c r="H105" s="770" t="str">
        <f>BASEBUDGETS!C665</f>
        <v>acre</v>
      </c>
      <c r="I105" s="756">
        <f>BASEBUDGETS!F665/BASEBUDGETS!C511</f>
        <v>170</v>
      </c>
      <c r="J105" s="784">
        <f t="shared" si="8"/>
        <v>170</v>
      </c>
    </row>
    <row r="106" spans="2:10" s="611" customFormat="1" ht="21">
      <c r="B106" s="760" t="s">
        <v>79</v>
      </c>
      <c r="C106" s="760"/>
      <c r="D106" s="760"/>
      <c r="E106" s="760"/>
      <c r="F106" s="760"/>
      <c r="G106" s="760"/>
      <c r="H106" s="756"/>
      <c r="I106" s="756"/>
      <c r="J106" s="765">
        <f>SUM(J100:J105)</f>
        <v>170</v>
      </c>
    </row>
    <row r="107" spans="2:10" s="611" customFormat="1">
      <c r="D107" s="786"/>
      <c r="E107" s="774"/>
      <c r="G107" s="757"/>
      <c r="H107" s="757"/>
      <c r="I107" s="757"/>
      <c r="J107" s="786"/>
    </row>
    <row r="108" spans="2:10" s="611" customFormat="1" ht="21">
      <c r="B108" s="805" t="s">
        <v>154</v>
      </c>
      <c r="C108" s="805"/>
      <c r="D108" s="805"/>
      <c r="E108" s="805"/>
      <c r="F108" s="805"/>
      <c r="G108" s="805"/>
      <c r="H108" s="792" t="s">
        <v>1</v>
      </c>
      <c r="I108" s="767" t="s">
        <v>24</v>
      </c>
      <c r="J108" s="767" t="s">
        <v>0</v>
      </c>
    </row>
    <row r="109" spans="2:10" s="611" customFormat="1" ht="21">
      <c r="B109" s="794" t="s">
        <v>269</v>
      </c>
      <c r="C109" s="794"/>
      <c r="D109" s="794"/>
      <c r="E109" s="794"/>
      <c r="F109" s="794"/>
      <c r="G109" s="794"/>
      <c r="H109" s="770" t="str">
        <f>H111</f>
        <v>acre</v>
      </c>
      <c r="I109" s="756">
        <f>PMT(GeneralInputPrices!D37,3,('Guayule Establishment'!J113+('Guayule Grow'!J115*2)))*-1</f>
        <v>1028.508886066757</v>
      </c>
      <c r="J109" s="765">
        <f>I109</f>
        <v>1028.508886066757</v>
      </c>
    </row>
    <row r="110" spans="2:10" s="611" customFormat="1" ht="21">
      <c r="B110" s="760" t="s">
        <v>534</v>
      </c>
      <c r="C110" s="760"/>
      <c r="D110" s="760"/>
      <c r="E110" s="760"/>
      <c r="F110" s="760"/>
      <c r="G110" s="760"/>
      <c r="H110" s="770" t="s">
        <v>157</v>
      </c>
      <c r="I110" s="758">
        <f>SUM(BASEBUDGETS!F631:F633)/BASEBUDGETS!C511</f>
        <v>0</v>
      </c>
      <c r="J110" s="771">
        <f>I110</f>
        <v>0</v>
      </c>
    </row>
    <row r="111" spans="2:10" s="611" customFormat="1" ht="21">
      <c r="B111" s="796" t="s">
        <v>156</v>
      </c>
      <c r="C111" s="796"/>
      <c r="D111" s="796"/>
      <c r="E111" s="806"/>
      <c r="F111" s="796"/>
      <c r="G111" s="796"/>
      <c r="H111" s="770" t="str">
        <f>BASEBUDGETS!C631</f>
        <v>acre</v>
      </c>
      <c r="I111" s="758">
        <f>SUM(BASEBUDGETS!F634:F661)/BASEBUDGETS!C511</f>
        <v>4.2467441655558025</v>
      </c>
      <c r="J111" s="797">
        <f>I111</f>
        <v>4.2467441655558025</v>
      </c>
    </row>
    <row r="112" spans="2:10" s="611" customFormat="1" ht="21">
      <c r="B112" s="807" t="s">
        <v>77</v>
      </c>
      <c r="C112" s="807"/>
      <c r="D112" s="807"/>
      <c r="E112" s="807"/>
      <c r="F112" s="807"/>
      <c r="G112" s="807"/>
      <c r="H112" s="756"/>
      <c r="I112" s="756"/>
      <c r="J112" s="765">
        <f>J111+J109+J110</f>
        <v>1032.7556302323128</v>
      </c>
    </row>
    <row r="113" spans="2:10" s="611" customFormat="1" ht="21">
      <c r="B113" s="660"/>
      <c r="C113" s="660"/>
      <c r="D113" s="765"/>
      <c r="E113" s="758"/>
      <c r="F113" s="660"/>
      <c r="G113" s="756"/>
      <c r="H113" s="756"/>
      <c r="I113" s="756"/>
      <c r="J113" s="765"/>
    </row>
    <row r="114" spans="2:10" s="611" customFormat="1" ht="20.399999999999999">
      <c r="B114" s="808" t="s">
        <v>63</v>
      </c>
      <c r="C114" s="808"/>
      <c r="D114" s="808"/>
      <c r="E114" s="808"/>
      <c r="F114" s="808"/>
      <c r="G114" s="808"/>
      <c r="H114" s="764"/>
      <c r="I114" s="764"/>
      <c r="J114" s="801">
        <f>IF(I4=0,0,J97+J106+J112)</f>
        <v>1488.2047667239988</v>
      </c>
    </row>
    <row r="115" spans="2:10" ht="20.399999999999999">
      <c r="B115" s="805" t="s">
        <v>64</v>
      </c>
      <c r="C115" s="805"/>
      <c r="D115" s="805"/>
      <c r="E115" s="805"/>
      <c r="F115" s="805"/>
      <c r="G115" s="805"/>
      <c r="H115" s="803"/>
      <c r="I115" s="803"/>
      <c r="J115" s="788">
        <f>J6-J114</f>
        <v>271.79523327600123</v>
      </c>
    </row>
    <row r="117" spans="2:10">
      <c r="J117" s="799" t="s">
        <v>10</v>
      </c>
    </row>
  </sheetData>
  <sheetProtection algorithmName="SHA-512" hashValue="ODdcWYf1eqBE7Mhy4LwhFP6VxryXDUHX1MTpwhZdM0jDF+ayLgEX+ZAsssUA3gAdQHAH+IjQorhLqds+NMk9AA==" saltValue="wat5gTzI4Ue7D9gXlJlX3A==" spinCount="100000" sheet="1" objects="1" scenarios="1"/>
  <mergeCells count="23">
    <mergeCell ref="B104:G104"/>
    <mergeCell ref="B100:G100"/>
    <mergeCell ref="B101:G101"/>
    <mergeCell ref="B102:G102"/>
    <mergeCell ref="B103:G103"/>
    <mergeCell ref="B77:C77"/>
    <mergeCell ref="B94:C94"/>
    <mergeCell ref="B97:F97"/>
    <mergeCell ref="B3:C3"/>
    <mergeCell ref="B9:C9"/>
    <mergeCell ref="B2:F2"/>
    <mergeCell ref="G2:I2"/>
    <mergeCell ref="B4:E4"/>
    <mergeCell ref="B5:E5"/>
    <mergeCell ref="B32:C32"/>
    <mergeCell ref="B114:G114"/>
    <mergeCell ref="B115:G115"/>
    <mergeCell ref="B105:G105"/>
    <mergeCell ref="B106:G106"/>
    <mergeCell ref="B108:G108"/>
    <mergeCell ref="B109:G109"/>
    <mergeCell ref="B112:G112"/>
    <mergeCell ref="B110:G110"/>
  </mergeCells>
  <pageMargins left="0.7" right="0.7" top="0.75" bottom="0.75" header="0.3" footer="0.3"/>
  <pageSetup scale="51" fitToHeight="2" orientation="portrait" horizontalDpi="0" verticalDpi="0"/>
  <ignoredErrors>
    <ignoredError sqref="B95:E96 B8:D8 B97 B100 B101 B102 B103 B105 B106 H105:H106 B108 B77:C77 B111:G111 B107:H107 B99:J99 B9:E9 B98:J98 B5 B4 B94:E94 B32:C32 B6:E7 G4:J7 G9:J9 B10:C28 C37 H100:H103 H111:H115 C75:C76 C92:C93 G2 B33:C36 B39:C44 B46:C54 B69:B74 B56:C63 B79:C81 F4:F28 F46:F54 F30:F37 F39:F44 F75:F77 B83:C91 F79:F95 C29:C31 C78 D75:D93 D10:D63 F56:F66 B64:D66 B67 C67:F74 I65:J65 I109 H108:H109" unlockedFormula="1"/>
    <ignoredError sqref="J109 I104:J104 I100:J103 I113:J115 I107:J107 I108:J108 I105:J106 G69:J74 G43:H44 G35:H36 G37:H37 G54:H54 G46:J52 G40:H40 G56:J62 G30:J31 G91:J91 G63:J63 G53:H53 G41:H42 G33:H34 G93:J93 G92:J92 G76:J76 G75:J75 J38 G39:H39 G79:J83 I33:J37 J41:J44 G32:J32 J95 G95:H95 J45 J55 J53:J54 G10:J28 G94:J94 G77:J77 G96:J97 E43:E44 E35:E37 E54 E46:E52 E40 E56:E62 E30:E31 E91 E19:E28 E81 E32 E83 E77 E79:E80 E63 E53 E41:E42 E33:E34 E10:E18 E82 E92:E93 G84:J90 E84:E89 E29:J29 J40 J39 I39 I40 I41:I42 I43:I44 I38 I45 E75:E76 E78:J78 E64:E65 G64:J64 G66:J67 I53 I55 I54 J112 I110:I111 I112 J110:J111" evalError="1" unlockedFormula="1"/>
    <ignoredError sqref="I95 G55:H55 G45:H45 G38:H38 E90 E45 E55 E38:E39" evalError="1"/>
  </ignoredError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905EB-4EC5-6645-9582-22BD533121F1}">
  <sheetPr codeName="Sheet16">
    <pageSetUpPr fitToPage="1"/>
  </sheetPr>
  <dimension ref="A1:O118"/>
  <sheetViews>
    <sheetView zoomScale="110" zoomScaleNormal="110" workbookViewId="0">
      <selection activeCell="I5" sqref="I5"/>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'AcresYieldsPrices&amp;Water'!B4&amp;" Grow Year"</f>
        <v>Guayule Grow Year</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BASEBUDGETS!B352</f>
        <v>Guayule Biomass</v>
      </c>
      <c r="C4" s="754"/>
      <c r="D4" s="754"/>
      <c r="E4" s="754"/>
      <c r="F4" s="755" t="str">
        <f>BASEBUDGETS!C352</f>
        <v>pound</v>
      </c>
      <c r="G4" s="756">
        <f>BASEBUDGETS!D352</f>
        <v>0.08</v>
      </c>
      <c r="H4" s="757"/>
      <c r="I4" s="758">
        <f>IF(BASEBUDGETS!E352=0,0,BASEBUDGETS!E352/BASEBUDGETS!C348)</f>
        <v>0</v>
      </c>
      <c r="J4" s="759">
        <f>G4*I4</f>
        <v>0</v>
      </c>
    </row>
    <row r="5" spans="2:14" s="611" customFormat="1" ht="21">
      <c r="B5" s="760" t="str">
        <f>BASEBUDGETS!B353</f>
        <v>Guayule Rubber Content</v>
      </c>
      <c r="C5" s="760"/>
      <c r="D5" s="760"/>
      <c r="E5" s="760"/>
      <c r="F5" s="755" t="str">
        <f>BASEBUDGETS!C353</f>
        <v>kilogram</v>
      </c>
      <c r="G5" s="756">
        <f>BASEBUDGETS!D353</f>
        <v>0</v>
      </c>
      <c r="H5" s="757"/>
      <c r="I5" s="758">
        <f>IF(BASEBUDGETS!E353=0,0,BASEBUDGETS!E353/BASEBUDGETS!C348)</f>
        <v>0</v>
      </c>
      <c r="J5" s="761">
        <f>G5*I5</f>
        <v>0</v>
      </c>
    </row>
    <row r="6" spans="2:14" s="611" customFormat="1" ht="20.399999999999999">
      <c r="B6" s="679" t="s">
        <v>27</v>
      </c>
      <c r="C6" s="679"/>
      <c r="D6" s="762"/>
      <c r="E6" s="763"/>
      <c r="F6" s="679"/>
      <c r="G6" s="764"/>
      <c r="H6" s="764"/>
      <c r="I6" s="764"/>
      <c r="J6" s="764">
        <f>SUM(J4:J5)</f>
        <v>0</v>
      </c>
    </row>
    <row r="7" spans="2:14" s="611" customFormat="1" ht="21">
      <c r="B7" s="660"/>
      <c r="C7" s="660"/>
      <c r="D7" s="765"/>
      <c r="E7" s="758"/>
      <c r="F7" s="660"/>
      <c r="G7" s="756"/>
      <c r="H7" s="756"/>
      <c r="I7" s="756"/>
      <c r="J7" s="756"/>
    </row>
    <row r="8" spans="2:14" s="611" customFormat="1" ht="21">
      <c r="B8" s="766" t="s">
        <v>76</v>
      </c>
      <c r="C8" s="766"/>
      <c r="D8" s="767" t="s">
        <v>45</v>
      </c>
      <c r="E8" s="768" t="s">
        <v>25</v>
      </c>
      <c r="F8" s="627" t="s">
        <v>1</v>
      </c>
      <c r="G8" s="767" t="s">
        <v>149</v>
      </c>
      <c r="H8" s="767" t="s">
        <v>8</v>
      </c>
      <c r="I8" s="767" t="s">
        <v>150</v>
      </c>
      <c r="J8" s="767" t="s">
        <v>7</v>
      </c>
    </row>
    <row r="9" spans="2:14" s="611" customFormat="1" ht="21">
      <c r="B9" s="754" t="s">
        <v>210</v>
      </c>
      <c r="C9" s="754"/>
      <c r="D9" s="765"/>
      <c r="E9" s="758"/>
      <c r="F9" s="769"/>
      <c r="G9" s="770"/>
      <c r="H9" s="770"/>
      <c r="I9" s="770"/>
      <c r="J9" s="770"/>
    </row>
    <row r="10" spans="2:14" s="611" customFormat="1" ht="21">
      <c r="C10" s="660" t="str">
        <f>BASEBUDGETS!B388</f>
        <v>V Ripper, Custom</v>
      </c>
      <c r="D10" s="765">
        <f>CustomOperations!E5</f>
        <v>44.25</v>
      </c>
      <c r="E10" s="771">
        <f>BASEBUDGETS!E388/BASEBUDGETS!C348</f>
        <v>0</v>
      </c>
      <c r="F10" s="770" t="str">
        <f>BASEBUDGETS!C388</f>
        <v>acre</v>
      </c>
      <c r="G10" s="756">
        <v>0</v>
      </c>
      <c r="H10" s="756">
        <v>0</v>
      </c>
      <c r="I10" s="756">
        <f>IF(E10=0,0,BASEBUDGETS!D388*E10)</f>
        <v>0</v>
      </c>
      <c r="J10" s="756">
        <f>G10+H10+I10</f>
        <v>0</v>
      </c>
      <c r="L10" s="772">
        <f>N10*'AcresYieldsPrices&amp;Water'!D$4</f>
        <v>0</v>
      </c>
      <c r="M10" s="611" t="s">
        <v>394</v>
      </c>
      <c r="N10" s="653">
        <f>IFERROR(I38,0)</f>
        <v>0</v>
      </c>
    </row>
    <row r="11" spans="2:14" s="611" customFormat="1" ht="21">
      <c r="C11" s="660" t="str">
        <f>BASEBUDGETS!B389</f>
        <v>Disk, Custom</v>
      </c>
      <c r="D11" s="765">
        <f>CustomOperations!E7</f>
        <v>0</v>
      </c>
      <c r="E11" s="771">
        <f>BASEBUDGETS!E389/BASEBUDGETS!C348</f>
        <v>0</v>
      </c>
      <c r="F11" s="770" t="str">
        <f>BASEBUDGETS!C389</f>
        <v>acre</v>
      </c>
      <c r="G11" s="756">
        <v>0</v>
      </c>
      <c r="H11" s="756">
        <v>0</v>
      </c>
      <c r="I11" s="756">
        <f>IF(E11=0,0,BASEBUDGETS!D389*E11)</f>
        <v>0</v>
      </c>
      <c r="J11" s="756">
        <f t="shared" ref="J11:J31" si="0">G11+H11+I11</f>
        <v>0</v>
      </c>
      <c r="L11" s="772">
        <f>N11*'AcresYieldsPrices&amp;Water'!D$4</f>
        <v>4140</v>
      </c>
      <c r="M11" s="611" t="s">
        <v>395</v>
      </c>
      <c r="N11" s="653">
        <f>IFERROR(I45,0)</f>
        <v>27.6</v>
      </c>
    </row>
    <row r="12" spans="2:14" s="611" customFormat="1" ht="21">
      <c r="C12" s="660" t="str">
        <f>BASEBUDGETS!B390</f>
        <v>Drag, Custom</v>
      </c>
      <c r="D12" s="765">
        <f>CustomOperations!E9</f>
        <v>0</v>
      </c>
      <c r="E12" s="771">
        <f>BASEBUDGETS!E390/BASEBUDGETS!C348</f>
        <v>0</v>
      </c>
      <c r="F12" s="770" t="str">
        <f>BASEBUDGETS!C390</f>
        <v>acre</v>
      </c>
      <c r="G12" s="756">
        <v>0</v>
      </c>
      <c r="H12" s="756">
        <v>0</v>
      </c>
      <c r="I12" s="756">
        <f>IF(E12=0,0,BASEBUDGETS!D390*E12)</f>
        <v>0</v>
      </c>
      <c r="J12" s="756">
        <f t="shared" si="0"/>
        <v>0</v>
      </c>
      <c r="L12" s="772">
        <f>N12*'AcresYieldsPrices&amp;Water'!D$4</f>
        <v>7092.1875</v>
      </c>
      <c r="M12" s="611" t="s">
        <v>396</v>
      </c>
      <c r="N12" s="653">
        <f>IFERROR(I55,0)</f>
        <v>47.28125</v>
      </c>
    </row>
    <row r="13" spans="2:14" s="611" customFormat="1" ht="21">
      <c r="C13" s="660" t="str">
        <f>BASEBUDGETS!B391</f>
        <v>Chisel, Custom</v>
      </c>
      <c r="D13" s="765">
        <f>CustomOperations!E11</f>
        <v>0</v>
      </c>
      <c r="E13" s="771">
        <f>BASEBUDGETS!E391/BASEBUDGETS!C348</f>
        <v>0</v>
      </c>
      <c r="F13" s="770" t="str">
        <f>BASEBUDGETS!C391</f>
        <v>acre</v>
      </c>
      <c r="G13" s="756">
        <v>0</v>
      </c>
      <c r="H13" s="756">
        <v>0</v>
      </c>
      <c r="I13" s="756">
        <f>IF(E13=0,0,BASEBUDGETS!D391*E13)</f>
        <v>0</v>
      </c>
      <c r="J13" s="756">
        <f t="shared" si="0"/>
        <v>0</v>
      </c>
      <c r="L13" s="772">
        <f>N13*'AcresYieldsPrices&amp;Water'!D$4</f>
        <v>500</v>
      </c>
      <c r="M13" s="611" t="s">
        <v>392</v>
      </c>
      <c r="N13" s="653">
        <f>IFERROR(E30+E31+E75+E76+E92+E93+E73+E70+E67,0)</f>
        <v>3.3333333333333335</v>
      </c>
    </row>
    <row r="14" spans="2:14" s="611" customFormat="1" ht="21">
      <c r="C14" s="660" t="str">
        <f>BASEBUDGETS!B392</f>
        <v>Moldboard Plow, Custom</v>
      </c>
      <c r="D14" s="765">
        <f>CustomOperations!E13</f>
        <v>0</v>
      </c>
      <c r="E14" s="771">
        <f>BASEBUDGETS!E392/BASEBUDGETS!C348</f>
        <v>0</v>
      </c>
      <c r="F14" s="770" t="str">
        <f>BASEBUDGETS!C392</f>
        <v>acre</v>
      </c>
      <c r="G14" s="756">
        <v>0</v>
      </c>
      <c r="H14" s="756">
        <v>0</v>
      </c>
      <c r="I14" s="756">
        <f>IF(E14=0,0,BASEBUDGETS!D392*E14)</f>
        <v>0</v>
      </c>
      <c r="J14" s="756">
        <f t="shared" si="0"/>
        <v>0</v>
      </c>
      <c r="L14" s="772">
        <f>N14*'AcresYieldsPrices&amp;Water'!D$4</f>
        <v>0</v>
      </c>
      <c r="M14" s="611" t="s">
        <v>393</v>
      </c>
      <c r="N14" s="653">
        <f>IFERROR(((SUM(G19:G29)+G37+G35+G36+G44+G43+G54+G64+SUM(G81:G91))/[2]GeneralInputPrices!$D$20),0)</f>
        <v>0</v>
      </c>
    </row>
    <row r="15" spans="2:14" s="611" customFormat="1" ht="21">
      <c r="C15" s="660" t="str">
        <f>BASEBUDGETS!B393</f>
        <v>Landplane, Custom</v>
      </c>
      <c r="D15" s="765">
        <f>CustomOperations!E15</f>
        <v>17.940000000000001</v>
      </c>
      <c r="E15" s="771">
        <f>BASEBUDGETS!E393/BASEBUDGETS!C348</f>
        <v>0</v>
      </c>
      <c r="F15" s="770" t="str">
        <f>BASEBUDGETS!C393</f>
        <v>acre</v>
      </c>
      <c r="G15" s="756">
        <v>0</v>
      </c>
      <c r="H15" s="756">
        <v>0</v>
      </c>
      <c r="I15" s="756">
        <f>IF(E15=0,0,BASEBUDGETS!D393*E15)</f>
        <v>0</v>
      </c>
      <c r="J15" s="756">
        <f t="shared" si="0"/>
        <v>0</v>
      </c>
      <c r="L15" s="772">
        <f>N15*'AcresYieldsPrices&amp;Water'!D$4</f>
        <v>317.43699498664711</v>
      </c>
      <c r="M15" s="611" t="s">
        <v>186</v>
      </c>
      <c r="N15" s="653">
        <f>IFERROR(H97,0)</f>
        <v>2.1162466332443142</v>
      </c>
    </row>
    <row r="16" spans="2:14" s="611" customFormat="1" ht="21">
      <c r="C16" s="660" t="str">
        <f>BASEBUDGETS!B394</f>
        <v>Float, Custom</v>
      </c>
      <c r="D16" s="765">
        <f>CustomOperations!E17</f>
        <v>17.940000000000001</v>
      </c>
      <c r="E16" s="771">
        <f>BASEBUDGETS!E394/BASEBUDGETS!C348</f>
        <v>0</v>
      </c>
      <c r="F16" s="770" t="str">
        <f>BASEBUDGETS!C394</f>
        <v>acre</v>
      </c>
      <c r="G16" s="756">
        <v>0</v>
      </c>
      <c r="H16" s="756">
        <v>0</v>
      </c>
      <c r="I16" s="756">
        <f>IF(E16=0,0,BASEBUDGETS!D394*E16)</f>
        <v>0</v>
      </c>
      <c r="J16" s="756">
        <f t="shared" si="0"/>
        <v>0</v>
      </c>
      <c r="L16" s="772">
        <f>N16*'AcresYieldsPrices&amp;Water'!D$4</f>
        <v>1770.9032138056882</v>
      </c>
      <c r="M16" s="611" t="s">
        <v>401</v>
      </c>
      <c r="N16" s="653">
        <f>IFERROR(J112,0)</f>
        <v>11.806021425371254</v>
      </c>
    </row>
    <row r="17" spans="2:14" s="611" customFormat="1" ht="21">
      <c r="C17" s="660" t="str">
        <f>BASEBUDGETS!B395</f>
        <v>Lister, Custom</v>
      </c>
      <c r="D17" s="765">
        <f>CustomOperations!E19</f>
        <v>20.38</v>
      </c>
      <c r="E17" s="771">
        <f>BASEBUDGETS!E395/BASEBUDGETS!C348</f>
        <v>0</v>
      </c>
      <c r="F17" s="770" t="str">
        <f>BASEBUDGETS!C395</f>
        <v>acre</v>
      </c>
      <c r="G17" s="756">
        <v>0</v>
      </c>
      <c r="H17" s="756">
        <v>0</v>
      </c>
      <c r="I17" s="756">
        <f>IF(E17=0,0,BASEBUDGETS!D395*E17)</f>
        <v>0</v>
      </c>
      <c r="J17" s="756">
        <f t="shared" si="0"/>
        <v>0</v>
      </c>
      <c r="L17" s="772">
        <f>N17*'AcresYieldsPrices&amp;Water'!D$4</f>
        <v>0</v>
      </c>
      <c r="M17" s="611" t="s">
        <v>405</v>
      </c>
      <c r="N17" s="653">
        <f>IFERROR((J80+J79+J78+J63+J53+J42+J41+J34+J33+SUM(J10:J18)),0)</f>
        <v>0</v>
      </c>
    </row>
    <row r="18" spans="2:14" s="611" customFormat="1" ht="21">
      <c r="C18" s="660" t="str">
        <f>BASEBUDGETS!B396</f>
        <v>Bed Shape, Custom</v>
      </c>
      <c r="D18" s="765">
        <f>CustomOperations!E21</f>
        <v>13.69</v>
      </c>
      <c r="E18" s="771">
        <f>BASEBUDGETS!E396/BASEBUDGETS!C348</f>
        <v>0</v>
      </c>
      <c r="F18" s="770" t="str">
        <f>BASEBUDGETS!C396</f>
        <v>acre</v>
      </c>
      <c r="G18" s="756">
        <v>0</v>
      </c>
      <c r="H18" s="756">
        <v>0</v>
      </c>
      <c r="I18" s="756">
        <f>IF(E18=0,0,BASEBUDGETS!D396*E18)</f>
        <v>0</v>
      </c>
      <c r="J18" s="756">
        <f t="shared" si="0"/>
        <v>0</v>
      </c>
    </row>
    <row r="19" spans="2:14" s="611" customFormat="1" ht="21">
      <c r="C19" s="660" t="str">
        <f>TillageOperations!$B$7</f>
        <v>V-Ripper</v>
      </c>
      <c r="D19" s="765"/>
      <c r="E19" s="771">
        <f>BASEBUDGETS!E400/BASEBUDGETS!C348</f>
        <v>0</v>
      </c>
      <c r="F19" s="770" t="str">
        <f>BASEBUDGETS!C400</f>
        <v>acre</v>
      </c>
      <c r="G19" s="756">
        <f>IF(E19=0,0,BASEBUDGETS!D401*E19)</f>
        <v>0</v>
      </c>
      <c r="H19" s="756">
        <f>IF(E19=0,0,BASEBUDGETS!D400*E19)</f>
        <v>0</v>
      </c>
      <c r="I19" s="756">
        <v>0</v>
      </c>
      <c r="J19" s="756">
        <f t="shared" si="0"/>
        <v>0</v>
      </c>
    </row>
    <row r="20" spans="2:14" s="611" customFormat="1" ht="21">
      <c r="C20" s="660" t="str">
        <f>TillageOperations!$B$8</f>
        <v>Offset Disk</v>
      </c>
      <c r="D20" s="765"/>
      <c r="E20" s="771">
        <f>BASEBUDGETS!E402/BASEBUDGETS!C348</f>
        <v>0.05</v>
      </c>
      <c r="F20" s="770" t="str">
        <f>BASEBUDGETS!C402</f>
        <v>acre</v>
      </c>
      <c r="G20" s="756">
        <f>IF(E20=0,0,BASEBUDGETS!D403*E20)</f>
        <v>0.23580501089324626</v>
      </c>
      <c r="H20" s="756">
        <f>IF(E20=0,0,BASEBUDGETS!D402*E20)</f>
        <v>0.51661592839750292</v>
      </c>
      <c r="I20" s="756">
        <v>0</v>
      </c>
      <c r="J20" s="756">
        <f t="shared" si="0"/>
        <v>0.75242093929074916</v>
      </c>
    </row>
    <row r="21" spans="2:14" s="611" customFormat="1" ht="21">
      <c r="C21" s="660" t="str">
        <f>TillageOperations!$B$9</f>
        <v>Drag</v>
      </c>
      <c r="D21" s="765"/>
      <c r="E21" s="771">
        <f>BASEBUDGETS!E404/BASEBUDGETS!C348</f>
        <v>0</v>
      </c>
      <c r="F21" s="770" t="str">
        <f>BASEBUDGETS!C404</f>
        <v>acre</v>
      </c>
      <c r="G21" s="756">
        <f>IF(E21=0,0,BASEBUDGETS!D405*E21)</f>
        <v>0</v>
      </c>
      <c r="H21" s="756">
        <f>IF(E21=0,0,BASEBUDGETS!D404*E21)</f>
        <v>0</v>
      </c>
      <c r="I21" s="756">
        <v>0</v>
      </c>
      <c r="J21" s="756">
        <f t="shared" si="0"/>
        <v>0</v>
      </c>
    </row>
    <row r="22" spans="2:14" s="611" customFormat="1" ht="21">
      <c r="C22" s="660" t="str">
        <f>TillageOperations!$B$10</f>
        <v>Chisel</v>
      </c>
      <c r="D22" s="765"/>
      <c r="E22" s="771">
        <f>BASEBUDGETS!E406/BASEBUDGETS!C348</f>
        <v>0</v>
      </c>
      <c r="F22" s="770" t="str">
        <f>BASEBUDGETS!C406</f>
        <v>acre</v>
      </c>
      <c r="G22" s="756">
        <f>IF(E22=0,0,BASEBUDGETS!D407*E22)</f>
        <v>0</v>
      </c>
      <c r="H22" s="756">
        <f>IF(E22=0,0,BASEBUDGETS!D406*E22)</f>
        <v>0</v>
      </c>
      <c r="I22" s="756">
        <v>0</v>
      </c>
      <c r="J22" s="756">
        <f t="shared" si="0"/>
        <v>0</v>
      </c>
    </row>
    <row r="23" spans="2:14" s="611" customFormat="1" ht="21">
      <c r="C23" s="660" t="str">
        <f>TillageOperations!$B$11</f>
        <v>Moldboard Plow</v>
      </c>
      <c r="D23" s="765"/>
      <c r="E23" s="771">
        <f>BASEBUDGETS!E408/BASEBUDGETS!C348</f>
        <v>0</v>
      </c>
      <c r="F23" s="770" t="str">
        <f>BASEBUDGETS!C408</f>
        <v>acre</v>
      </c>
      <c r="G23" s="756">
        <f>IF(E23=0,0,BASEBUDGETS!D409*E23)</f>
        <v>0</v>
      </c>
      <c r="H23" s="756">
        <f>IF(E23=0,0,BASEBUDGETS!D408*E23)</f>
        <v>0</v>
      </c>
      <c r="I23" s="756">
        <v>0</v>
      </c>
      <c r="J23" s="756">
        <f t="shared" si="0"/>
        <v>0</v>
      </c>
    </row>
    <row r="24" spans="2:14" s="611" customFormat="1" ht="21">
      <c r="C24" s="660" t="str">
        <f>TillageOperations!$B$12</f>
        <v>Cultivator</v>
      </c>
      <c r="D24" s="765"/>
      <c r="E24" s="771">
        <f>BASEBUDGETS!E410/BASEBUDGETS!C348</f>
        <v>0</v>
      </c>
      <c r="F24" s="770" t="str">
        <f>BASEBUDGETS!C410</f>
        <v>acre</v>
      </c>
      <c r="G24" s="756">
        <f>IF(E24=0,0,BASEBUDGETS!D411*E24)</f>
        <v>0</v>
      </c>
      <c r="H24" s="756">
        <f>IF(E24=0,0,BASEBUDGETS!D410*E24)</f>
        <v>0</v>
      </c>
      <c r="I24" s="756">
        <v>0</v>
      </c>
      <c r="J24" s="756">
        <f t="shared" si="0"/>
        <v>0</v>
      </c>
    </row>
    <row r="25" spans="2:14" s="611" customFormat="1" ht="21">
      <c r="C25" s="660" t="str">
        <f>TillageOperations!$B$13</f>
        <v>Landplane</v>
      </c>
      <c r="D25" s="765"/>
      <c r="E25" s="771">
        <f>BASEBUDGETS!E412/BASEBUDGETS!C348</f>
        <v>0</v>
      </c>
      <c r="F25" s="770" t="str">
        <f>BASEBUDGETS!C412</f>
        <v>acre</v>
      </c>
      <c r="G25" s="756">
        <f>IF(E25=0,0,BASEBUDGETS!D413*E25)</f>
        <v>0</v>
      </c>
      <c r="H25" s="756">
        <f>IF(E25=0,0,BASEBUDGETS!D412*E25)</f>
        <v>0</v>
      </c>
      <c r="I25" s="756">
        <v>0</v>
      </c>
      <c r="J25" s="756">
        <f t="shared" si="0"/>
        <v>0</v>
      </c>
    </row>
    <row r="26" spans="2:14" s="611" customFormat="1" ht="21">
      <c r="C26" s="660" t="str">
        <f>TillageOperations!$B$14</f>
        <v>Float</v>
      </c>
      <c r="D26" s="765"/>
      <c r="E26" s="771">
        <f>BASEBUDGETS!E414/BASEBUDGETS!C348</f>
        <v>0</v>
      </c>
      <c r="F26" s="770" t="str">
        <f>BASEBUDGETS!C414</f>
        <v>acre</v>
      </c>
      <c r="G26" s="756">
        <f>IF(E26=0,0,BASEBUDGETS!D415*E26)</f>
        <v>0</v>
      </c>
      <c r="H26" s="756">
        <f>IF(E26=0,0,BASEBUDGETS!D414*E26)</f>
        <v>0</v>
      </c>
      <c r="I26" s="756">
        <v>0</v>
      </c>
      <c r="J26" s="756">
        <f t="shared" si="0"/>
        <v>0</v>
      </c>
    </row>
    <row r="27" spans="2:14" s="611" customFormat="1" ht="21">
      <c r="C27" s="660" t="str">
        <f>TillageOperations!$B$15</f>
        <v>Lister</v>
      </c>
      <c r="D27" s="765"/>
      <c r="E27" s="771">
        <f>BASEBUDGETS!E416/BASEBUDGETS!C348</f>
        <v>0</v>
      </c>
      <c r="F27" s="770" t="str">
        <f>BASEBUDGETS!C416</f>
        <v>acre</v>
      </c>
      <c r="G27" s="756">
        <f>IF(E27=0,0,BASEBUDGETS!D417*E27)</f>
        <v>0</v>
      </c>
      <c r="H27" s="756">
        <f>IF(E27=0,0,BASEBUDGETS!D416*E27)</f>
        <v>0</v>
      </c>
      <c r="I27" s="756">
        <v>0</v>
      </c>
      <c r="J27" s="756">
        <f t="shared" si="0"/>
        <v>0</v>
      </c>
    </row>
    <row r="28" spans="2:14" s="611" customFormat="1" ht="21">
      <c r="C28" s="660" t="str">
        <f>TillageOperations!$B$16</f>
        <v>Bed Shaper</v>
      </c>
      <c r="D28" s="765"/>
      <c r="E28" s="771">
        <f>BASEBUDGETS!E418/BASEBUDGETS!C348</f>
        <v>0</v>
      </c>
      <c r="F28" s="770" t="str">
        <f>BASEBUDGETS!C418</f>
        <v>acre</v>
      </c>
      <c r="G28" s="756">
        <f>IF(E28=0,0,BASEBUDGETS!D419*E28)</f>
        <v>0</v>
      </c>
      <c r="H28" s="756">
        <f>IF(E28=0,0,BASEBUDGETS!D418*E28)</f>
        <v>0</v>
      </c>
      <c r="I28" s="756">
        <v>0</v>
      </c>
      <c r="J28" s="756">
        <f t="shared" si="0"/>
        <v>0</v>
      </c>
    </row>
    <row r="29" spans="2:14" s="611" customFormat="1" ht="21">
      <c r="C29" s="660" t="str">
        <f>TillageOperations!$B$17</f>
        <v>Cotton Shredder/Root Puller</v>
      </c>
      <c r="D29" s="765"/>
      <c r="E29" s="771">
        <f>BASEBUDGETS!E432/BASEBUDGETS!C348</f>
        <v>0</v>
      </c>
      <c r="F29" s="770" t="str">
        <f>BASEBUDGETS!C432</f>
        <v>acre</v>
      </c>
      <c r="G29" s="756">
        <f>IF(E29=0,0,BASEBUDGETS!D433*E29)</f>
        <v>0</v>
      </c>
      <c r="H29" s="756">
        <f>IF(E29=0,0,BASEBUDGETS!D432*E29)</f>
        <v>0</v>
      </c>
      <c r="I29" s="756">
        <v>0</v>
      </c>
      <c r="J29" s="756">
        <f>G29+H29+I29</f>
        <v>0</v>
      </c>
    </row>
    <row r="30" spans="2:14" s="611" customFormat="1" ht="21">
      <c r="C30" s="660" t="str">
        <f>BASEBUDGETS!B457</f>
        <v>Additional Land Prep. Labor</v>
      </c>
      <c r="D30" s="765">
        <f>GeneralInputPrices!$D$30</f>
        <v>14.55</v>
      </c>
      <c r="E30" s="758">
        <f>BASEBUDGETS!E457/BASEBUDGETS!C348</f>
        <v>0</v>
      </c>
      <c r="F30" s="773" t="str">
        <f>BASEBUDGETS!C457</f>
        <v>hour</v>
      </c>
      <c r="G30" s="756">
        <f>D30*E30</f>
        <v>0</v>
      </c>
      <c r="H30" s="756">
        <v>0</v>
      </c>
      <c r="I30" s="756">
        <v>0</v>
      </c>
      <c r="J30" s="765">
        <f t="shared" si="0"/>
        <v>0</v>
      </c>
    </row>
    <row r="31" spans="2:14" s="611" customFormat="1" ht="21">
      <c r="C31" s="660" t="str">
        <f>BASEBUDGETS!B458</f>
        <v>Additional Land Prep. Labor</v>
      </c>
      <c r="D31" s="765">
        <f>GeneralInputPrices!$D$30</f>
        <v>14.55</v>
      </c>
      <c r="E31" s="758">
        <f>BASEBUDGETS!E458/BASEBUDGETS!C348</f>
        <v>0</v>
      </c>
      <c r="F31" s="773" t="str">
        <f>BASEBUDGETS!C458</f>
        <v>hour</v>
      </c>
      <c r="G31" s="756">
        <f>D31*E31</f>
        <v>0</v>
      </c>
      <c r="H31" s="756">
        <v>0</v>
      </c>
      <c r="I31" s="756">
        <v>0</v>
      </c>
      <c r="J31" s="765">
        <f t="shared" si="0"/>
        <v>0</v>
      </c>
    </row>
    <row r="32" spans="2:14" s="611" customFormat="1" ht="21">
      <c r="B32" s="760" t="s">
        <v>175</v>
      </c>
      <c r="C32" s="760"/>
      <c r="D32" s="765"/>
      <c r="E32" s="774"/>
      <c r="G32" s="757"/>
      <c r="H32" s="757"/>
      <c r="I32" s="757"/>
      <c r="J32" s="757"/>
    </row>
    <row r="33" spans="3:10" s="611" customFormat="1" ht="21">
      <c r="C33" s="660" t="str">
        <f>BASEBUDGETS!B385</f>
        <v>Drill, Custom</v>
      </c>
      <c r="D33" s="765">
        <f>CustomOperations!E24</f>
        <v>0</v>
      </c>
      <c r="E33" s="771">
        <f>BASEBUDGETS!E385/BASEBUDGETS!C348</f>
        <v>0</v>
      </c>
      <c r="F33" s="770" t="str">
        <f>BASEBUDGETS!C385</f>
        <v>acre</v>
      </c>
      <c r="G33" s="756">
        <v>0</v>
      </c>
      <c r="H33" s="756">
        <v>0</v>
      </c>
      <c r="I33" s="756">
        <f>IF(E33=0,0,(BASEBUDGETS!D385*E33))</f>
        <v>0</v>
      </c>
      <c r="J33" s="756">
        <f t="shared" ref="J33:J36" si="1">G33+H33+I33</f>
        <v>0</v>
      </c>
    </row>
    <row r="34" spans="3:10" s="611" customFormat="1" ht="21">
      <c r="C34" s="660" t="str">
        <f>BASEBUDGETS!B386</f>
        <v>Row Planter, Custom</v>
      </c>
      <c r="D34" s="765">
        <f>CustomOperations!E26</f>
        <v>0</v>
      </c>
      <c r="E34" s="771">
        <f>BASEBUDGETS!E386/BASEBUDGETS!C348</f>
        <v>0</v>
      </c>
      <c r="F34" s="770" t="str">
        <f>BASEBUDGETS!C386</f>
        <v>acre</v>
      </c>
      <c r="G34" s="756">
        <v>0</v>
      </c>
      <c r="H34" s="756">
        <v>0</v>
      </c>
      <c r="I34" s="756">
        <f>IF(E34=0,0,(BASEBUDGETS!D386*E34))</f>
        <v>0</v>
      </c>
      <c r="J34" s="756">
        <f t="shared" si="1"/>
        <v>0</v>
      </c>
    </row>
    <row r="35" spans="3:10" s="611" customFormat="1" ht="21">
      <c r="C35" s="660" t="str">
        <f>TillageOperations!$B$21</f>
        <v>Drill</v>
      </c>
      <c r="D35" s="765"/>
      <c r="E35" s="771">
        <f>BASEBUDGETS!E424/BASEBUDGETS!C348</f>
        <v>0</v>
      </c>
      <c r="F35" s="770" t="str">
        <f>BASEBUDGETS!C424</f>
        <v>acre</v>
      </c>
      <c r="G35" s="756">
        <f>IF(E35=0,0,BASEBUDGETS!D425*E35)</f>
        <v>0</v>
      </c>
      <c r="H35" s="756">
        <f>IF(E35=0,0,BASEBUDGETS!D424*E35)</f>
        <v>0</v>
      </c>
      <c r="I35" s="756">
        <v>0</v>
      </c>
      <c r="J35" s="756">
        <f t="shared" si="1"/>
        <v>0</v>
      </c>
    </row>
    <row r="36" spans="3:10" s="611" customFormat="1" ht="21">
      <c r="C36" s="660" t="str">
        <f>TillageOperations!$B$19</f>
        <v>Row Planter</v>
      </c>
      <c r="D36" s="765"/>
      <c r="E36" s="771">
        <f>BASEBUDGETS!E420/BASEBUDGETS!C348</f>
        <v>0</v>
      </c>
      <c r="F36" s="770" t="str">
        <f>BASEBUDGETS!C422</f>
        <v>acre</v>
      </c>
      <c r="G36" s="756">
        <f>IF(E36=0,0,BASEBUDGETS!D421*E36)</f>
        <v>0</v>
      </c>
      <c r="H36" s="756">
        <f>IF(E36=0,0,BASEBUDGETS!D420*E36)</f>
        <v>0</v>
      </c>
      <c r="I36" s="756">
        <v>0</v>
      </c>
      <c r="J36" s="756">
        <f t="shared" si="1"/>
        <v>0</v>
      </c>
    </row>
    <row r="37" spans="3:10" s="611" customFormat="1" ht="21">
      <c r="C37" s="660" t="str">
        <f>TillageOperations!$B$22</f>
        <v>Transplanter</v>
      </c>
      <c r="D37" s="765"/>
      <c r="E37" s="771">
        <f>BASEBUDGETS!E455/BASEBUDGETS!C511</f>
        <v>0</v>
      </c>
      <c r="F37" s="770" t="str">
        <f>BASEBUDGETS!C618</f>
        <v>acre</v>
      </c>
      <c r="G37" s="756">
        <f>IF(E37=0,0,BASEBUDGETS!D455*E37)</f>
        <v>0</v>
      </c>
      <c r="H37" s="756">
        <f>IF(E37=0,0,BASEBUDGETS!D456*E37)</f>
        <v>0</v>
      </c>
      <c r="I37" s="756">
        <v>0</v>
      </c>
      <c r="J37" s="756">
        <f>G37+H37+I37</f>
        <v>0</v>
      </c>
    </row>
    <row r="38" spans="3:10" s="611" customFormat="1" ht="21">
      <c r="C38" s="660" t="s">
        <v>439</v>
      </c>
      <c r="D38" s="765"/>
      <c r="E38" s="771"/>
      <c r="F38" s="770"/>
      <c r="G38" s="756">
        <v>0</v>
      </c>
      <c r="H38" s="756">
        <v>0</v>
      </c>
      <c r="I38" s="756">
        <f>(D39*E39)+(D40*E40)</f>
        <v>0</v>
      </c>
      <c r="J38" s="765">
        <f>G38+H38+I38</f>
        <v>0</v>
      </c>
    </row>
    <row r="39" spans="3:10" s="611" customFormat="1" ht="21">
      <c r="C39" s="660" t="str">
        <f>BASEBUDGETS!B357</f>
        <v xml:space="preserve">   - Seed</v>
      </c>
      <c r="D39" s="765">
        <f>BASEBUDGETS!D357</f>
        <v>0</v>
      </c>
      <c r="E39" s="775">
        <f>BASEBUDGETS!E357/BASEBUDGETS!C348</f>
        <v>0</v>
      </c>
      <c r="F39" s="769" t="str">
        <f>BASEBUDGETS!C357</f>
        <v>each</v>
      </c>
      <c r="G39" s="757"/>
      <c r="H39" s="757"/>
      <c r="I39" s="757"/>
      <c r="J39" s="757"/>
    </row>
    <row r="40" spans="3:10" s="611" customFormat="1" ht="21">
      <c r="C40" s="660" t="str">
        <f>BASEBUDGETS!B358</f>
        <v xml:space="preserve">   - Inoculant</v>
      </c>
      <c r="D40" s="765">
        <f>BASEBUDGETS!D358</f>
        <v>3</v>
      </c>
      <c r="E40" s="775">
        <f>BASEBUDGETS!E358/BASEBUDGETS!C348</f>
        <v>0</v>
      </c>
      <c r="F40" s="769" t="str">
        <f>BASEBUDGETS!C358</f>
        <v>pounds</v>
      </c>
      <c r="G40" s="765"/>
      <c r="H40" s="765"/>
      <c r="I40" s="765"/>
      <c r="J40" s="765"/>
    </row>
    <row r="41" spans="3:10" s="611" customFormat="1" ht="21">
      <c r="C41" s="660" t="str">
        <f>BASEBUDGETS!B397</f>
        <v>Fertilizer Spreader, Custom</v>
      </c>
      <c r="D41" s="765">
        <f>CustomOperations!E32</f>
        <v>10.08</v>
      </c>
      <c r="E41" s="771">
        <f>BASEBUDGETS!E397/BASEBUDGETS!C348</f>
        <v>0</v>
      </c>
      <c r="F41" s="770" t="str">
        <f>BASEBUDGETS!C397</f>
        <v>acre</v>
      </c>
      <c r="G41" s="756">
        <v>0</v>
      </c>
      <c r="H41" s="756">
        <v>0</v>
      </c>
      <c r="I41" s="756">
        <f>IF(E41=0,0,BASEBUDGETS!D397*E41)</f>
        <v>0</v>
      </c>
      <c r="J41" s="756">
        <f t="shared" ref="J41:J45" si="2">G41+H41+I41</f>
        <v>0</v>
      </c>
    </row>
    <row r="42" spans="3:10" s="611" customFormat="1" ht="21">
      <c r="C42" s="660" t="str">
        <f>BASEBUDGETS!B398</f>
        <v>Laser Landplaning, Custom</v>
      </c>
      <c r="D42" s="765">
        <f>CustomOperations!E34</f>
        <v>0</v>
      </c>
      <c r="E42" s="771">
        <f>BASEBUDGETS!E398/BASEBUDGETS!C348</f>
        <v>0</v>
      </c>
      <c r="F42" s="770" t="str">
        <f>BASEBUDGETS!C398</f>
        <v>acre</v>
      </c>
      <c r="G42" s="756">
        <v>0</v>
      </c>
      <c r="H42" s="756">
        <v>0</v>
      </c>
      <c r="I42" s="756">
        <f>IF(E42=0,0,BASEBUDGETS!D398*E42)</f>
        <v>0</v>
      </c>
      <c r="J42" s="756">
        <f t="shared" si="2"/>
        <v>0</v>
      </c>
    </row>
    <row r="43" spans="3:10" s="611" customFormat="1" ht="21">
      <c r="C43" s="660" t="str">
        <f>TillageOperations!$B$23</f>
        <v>Fertilizer Spreader</v>
      </c>
      <c r="D43" s="765"/>
      <c r="E43" s="771">
        <f>BASEBUDGETS!E449/BASEBUDGETS!C348</f>
        <v>0</v>
      </c>
      <c r="F43" s="770" t="str">
        <f>BASEBUDGETS!C449</f>
        <v>acre</v>
      </c>
      <c r="G43" s="756">
        <f>IF(E43=0,0,BASEBUDGETS!D450*E43)</f>
        <v>0</v>
      </c>
      <c r="H43" s="756">
        <f>IF(E43=0,0,BASEBUDGETS!D449*E43)</f>
        <v>0</v>
      </c>
      <c r="I43" s="756">
        <v>0</v>
      </c>
      <c r="J43" s="756">
        <f t="shared" si="2"/>
        <v>0</v>
      </c>
    </row>
    <row r="44" spans="3:10" s="611" customFormat="1" ht="21">
      <c r="C44" s="660" t="str">
        <f>TillageOperations!$B$24</f>
        <v>Fertilizer Injection System</v>
      </c>
      <c r="D44" s="765"/>
      <c r="E44" s="771">
        <f>BASEBUDGETS!E451/BASEBUDGETS!C348</f>
        <v>0</v>
      </c>
      <c r="F44" s="770" t="str">
        <f>BASEBUDGETS!C451</f>
        <v>acre</v>
      </c>
      <c r="G44" s="756">
        <f>IF(E44=0,0,BASEBUDGETS!D452*E44)</f>
        <v>0</v>
      </c>
      <c r="H44" s="756">
        <f>IF(E44=0,0,BASEBUDGETS!D451*E44)</f>
        <v>0</v>
      </c>
      <c r="I44" s="756">
        <v>0</v>
      </c>
      <c r="J44" s="756">
        <f t="shared" si="2"/>
        <v>0</v>
      </c>
    </row>
    <row r="45" spans="3:10" s="611" customFormat="1" ht="21">
      <c r="C45" s="660" t="s">
        <v>407</v>
      </c>
      <c r="D45" s="765"/>
      <c r="E45" s="771"/>
      <c r="F45" s="770"/>
      <c r="G45" s="756">
        <v>0</v>
      </c>
      <c r="H45" s="756">
        <v>0</v>
      </c>
      <c r="I45" s="756">
        <f>(D46*E46)+(D47*E47)+(D48*E48)+(D49*E49)+(D50*E50)+(D51*E51)+(D52*E52)</f>
        <v>27.6</v>
      </c>
      <c r="J45" s="765">
        <f t="shared" si="2"/>
        <v>27.6</v>
      </c>
    </row>
    <row r="46" spans="3:10" s="611" customFormat="1" ht="21">
      <c r="C46" s="660" t="str">
        <f>BASEBUDGETS!B359</f>
        <v xml:space="preserve">   - Nitrogen</v>
      </c>
      <c r="D46" s="765">
        <f>BASEBUDGETS!D359</f>
        <v>0.46</v>
      </c>
      <c r="E46" s="775">
        <f>BASEBUDGETS!E359/BASEBUDGETS!C348</f>
        <v>60</v>
      </c>
      <c r="F46" s="769" t="str">
        <f>BASEBUDGETS!C359</f>
        <v>pounds</v>
      </c>
      <c r="G46" s="765"/>
      <c r="H46" s="765"/>
      <c r="I46" s="765"/>
      <c r="J46" s="765"/>
    </row>
    <row r="47" spans="3:10" s="611" customFormat="1" ht="21">
      <c r="C47" s="660" t="str">
        <f>BASEBUDGETS!B360</f>
        <v xml:space="preserve">   - Phosphorus</v>
      </c>
      <c r="D47" s="765">
        <f>BASEBUDGETS!D360</f>
        <v>0.36</v>
      </c>
      <c r="E47" s="775">
        <f>BASEBUDGETS!E360/BASEBUDGETS!C348</f>
        <v>0</v>
      </c>
      <c r="F47" s="769" t="str">
        <f>BASEBUDGETS!C360</f>
        <v>pounds</v>
      </c>
      <c r="G47" s="765"/>
      <c r="H47" s="765"/>
      <c r="I47" s="765"/>
      <c r="J47" s="765"/>
    </row>
    <row r="48" spans="3:10" s="611" customFormat="1" ht="21">
      <c r="C48" s="660" t="str">
        <f>BASEBUDGETS!B361</f>
        <v xml:space="preserve">   - Anhydrous Ammonia</v>
      </c>
      <c r="D48" s="765">
        <f>BASEBUDGETS!D361</f>
        <v>0.21</v>
      </c>
      <c r="E48" s="775">
        <f>BASEBUDGETS!E361/BASEBUDGETS!C348</f>
        <v>0</v>
      </c>
      <c r="F48" s="769" t="str">
        <f>BASEBUDGETS!C361</f>
        <v>pounds</v>
      </c>
      <c r="G48" s="765"/>
      <c r="H48" s="765"/>
      <c r="I48" s="765"/>
      <c r="J48" s="765"/>
    </row>
    <row r="49" spans="3:10" s="611" customFormat="1" ht="21">
      <c r="C49" s="660" t="str">
        <f>BASEBUDGETS!B362</f>
        <v xml:space="preserve">   - Trace Elements</v>
      </c>
      <c r="D49" s="765">
        <f>BASEBUDGETS!D362</f>
        <v>0.24</v>
      </c>
      <c r="E49" s="775">
        <f>BASEBUDGETS!E362/BASEBUDGETS!C348</f>
        <v>0</v>
      </c>
      <c r="F49" s="769" t="str">
        <f>BASEBUDGETS!C362</f>
        <v>pounds</v>
      </c>
      <c r="G49" s="765"/>
      <c r="H49" s="765"/>
      <c r="I49" s="765"/>
      <c r="J49" s="765"/>
    </row>
    <row r="50" spans="3:10" s="611" customFormat="1" ht="21">
      <c r="C50" s="660" t="str">
        <f>BASEBUDGETS!B363</f>
        <v xml:space="preserve">   - Nitrogen</v>
      </c>
      <c r="D50" s="765">
        <f>BASEBUDGETS!D363</f>
        <v>0</v>
      </c>
      <c r="E50" s="775">
        <f>BASEBUDGETS!E363/BASEBUDGETS!C348</f>
        <v>1</v>
      </c>
      <c r="F50" s="769" t="str">
        <f>BASEBUDGETS!C363</f>
        <v>acre</v>
      </c>
      <c r="G50" s="765"/>
      <c r="H50" s="765"/>
      <c r="I50" s="765"/>
      <c r="J50" s="765"/>
    </row>
    <row r="51" spans="3:10" s="611" customFormat="1" ht="21">
      <c r="C51" s="660" t="str">
        <f>BASEBUDGETS!B364</f>
        <v xml:space="preserve">   - Phosphorus</v>
      </c>
      <c r="D51" s="765">
        <f>BASEBUDGETS!D364</f>
        <v>0</v>
      </c>
      <c r="E51" s="775">
        <f>BASEBUDGETS!E364/BASEBUDGETS!C348</f>
        <v>1</v>
      </c>
      <c r="F51" s="769" t="str">
        <f>BASEBUDGETS!C364</f>
        <v>acre</v>
      </c>
      <c r="G51" s="765"/>
      <c r="H51" s="765"/>
      <c r="I51" s="765"/>
      <c r="J51" s="765"/>
    </row>
    <row r="52" spans="3:10" s="611" customFormat="1" ht="21">
      <c r="C52" s="660" t="str">
        <f>BASEBUDGETS!B365</f>
        <v xml:space="preserve">   - Fertilizer - Anhydrous Applicator</v>
      </c>
      <c r="D52" s="765">
        <f>BASEBUDGETS!D365</f>
        <v>0</v>
      </c>
      <c r="E52" s="775">
        <f>BASEBUDGETS!E365/BASEBUDGETS!C348</f>
        <v>1</v>
      </c>
      <c r="F52" s="769" t="str">
        <f>BASEBUDGETS!C365</f>
        <v>acre</v>
      </c>
      <c r="G52" s="765"/>
      <c r="H52" s="765"/>
      <c r="I52" s="765"/>
      <c r="J52" s="765"/>
    </row>
    <row r="53" spans="3:10" s="611" customFormat="1" ht="21">
      <c r="C53" s="660" t="str">
        <f>BASEBUDGETS!B399</f>
        <v>Boom Sprayer, Custom</v>
      </c>
      <c r="D53" s="765">
        <f>CustomOperations!E30</f>
        <v>10.050000000000001</v>
      </c>
      <c r="E53" s="771">
        <f>BASEBUDGETS!E399/BASEBUDGETS!C348</f>
        <v>0</v>
      </c>
      <c r="F53" s="770" t="str">
        <f>BASEBUDGETS!C399</f>
        <v>acre</v>
      </c>
      <c r="G53" s="756">
        <v>0</v>
      </c>
      <c r="H53" s="756">
        <v>0</v>
      </c>
      <c r="I53" s="756">
        <f>IF(E53=0,0,BASEBUDGETS!D399*E53)</f>
        <v>0</v>
      </c>
      <c r="J53" s="756">
        <f>G53+H53+I53</f>
        <v>0</v>
      </c>
    </row>
    <row r="54" spans="3:10" s="611" customFormat="1" ht="21">
      <c r="C54" s="660" t="str">
        <f>TillageOperations!$B$25</f>
        <v>Boom Sprayer</v>
      </c>
      <c r="D54" s="765"/>
      <c r="E54" s="771">
        <f>BASEBUDGETS!E453/BASEBUDGETS!C348</f>
        <v>1</v>
      </c>
      <c r="F54" s="770" t="str">
        <f>BASEBUDGETS!C453</f>
        <v>acre</v>
      </c>
      <c r="G54" s="756">
        <f>IF(E54=0,0,BASEBUDGETS!D454*E54)</f>
        <v>1.1893901098901098</v>
      </c>
      <c r="H54" s="756">
        <f>IF(E54=0,0,BASEBUDGETS!D453*E54)</f>
        <v>1.5996307048468115</v>
      </c>
      <c r="I54" s="756">
        <v>0</v>
      </c>
      <c r="J54" s="756">
        <f>G54+H54+I54</f>
        <v>2.7890208147369213</v>
      </c>
    </row>
    <row r="55" spans="3:10" s="611" customFormat="1" ht="21">
      <c r="C55" s="660" t="s">
        <v>408</v>
      </c>
      <c r="D55" s="765"/>
      <c r="E55" s="771"/>
      <c r="F55" s="770"/>
      <c r="G55" s="756">
        <v>0</v>
      </c>
      <c r="H55" s="756">
        <v>0</v>
      </c>
      <c r="I55" s="756">
        <f>(D56*E56)+(D57*E57)+(D58*E58)+(D59*E59)+(D60*E60)+(D61*E61)+(D62*E62)</f>
        <v>47.28125</v>
      </c>
      <c r="J55" s="765">
        <f>G55+H55+I55</f>
        <v>47.28125</v>
      </c>
    </row>
    <row r="56" spans="3:10" s="611" customFormat="1" ht="21">
      <c r="C56" s="660" t="str">
        <f>BASEBUDGETS!B366</f>
        <v xml:space="preserve">   - Prowl</v>
      </c>
      <c r="D56" s="765">
        <f>BASEBUDGETS!D366</f>
        <v>6.0625</v>
      </c>
      <c r="E56" s="775">
        <f>BASEBUDGETS!E366/BASEBUDGETS!C348</f>
        <v>2.5</v>
      </c>
      <c r="F56" s="769" t="str">
        <f>BASEBUDGETS!C366</f>
        <v>pints</v>
      </c>
      <c r="G56" s="765"/>
      <c r="H56" s="765"/>
      <c r="I56" s="765"/>
      <c r="J56" s="765"/>
    </row>
    <row r="57" spans="3:10" s="611" customFormat="1" ht="21">
      <c r="C57" s="660" t="str">
        <f>BASEBUDGETS!B367</f>
        <v xml:space="preserve">   - Aim</v>
      </c>
      <c r="D57" s="765">
        <f>BASEBUDGETS!D367</f>
        <v>5.9375</v>
      </c>
      <c r="E57" s="775">
        <f>BASEBUDGETS!E367/BASEBUDGETS!C348</f>
        <v>1.2</v>
      </c>
      <c r="F57" s="769" t="str">
        <f>BASEBUDGETS!C367</f>
        <v>ounces</v>
      </c>
      <c r="G57" s="765"/>
      <c r="H57" s="765"/>
      <c r="I57" s="765"/>
      <c r="J57" s="765"/>
    </row>
    <row r="58" spans="3:10" s="611" customFormat="1" ht="21">
      <c r="C58" s="660" t="str">
        <f>BASEBUDGETS!B368</f>
        <v xml:space="preserve">   - Fusilade</v>
      </c>
      <c r="D58" s="765">
        <f>BASEBUDGETS!D368</f>
        <v>1.25</v>
      </c>
      <c r="E58" s="775">
        <f>BASEBUDGETS!E368/BASEBUDGETS!C348</f>
        <v>20</v>
      </c>
      <c r="F58" s="769" t="str">
        <f>BASEBUDGETS!C368</f>
        <v>ounces</v>
      </c>
      <c r="G58" s="765"/>
      <c r="H58" s="765"/>
      <c r="I58" s="765"/>
      <c r="J58" s="765"/>
    </row>
    <row r="59" spans="3:10" s="611" customFormat="1" ht="21">
      <c r="C59" s="660" t="str">
        <f>BASEBUDGETS!B369</f>
        <v xml:space="preserve">   - Herbicides</v>
      </c>
      <c r="D59" s="765">
        <f>BASEBUDGETS!D369</f>
        <v>0</v>
      </c>
      <c r="E59" s="775">
        <f>BASEBUDGETS!E369/BASEBUDGETS!C348</f>
        <v>1</v>
      </c>
      <c r="F59" s="769" t="str">
        <f>BASEBUDGETS!C369</f>
        <v>acre</v>
      </c>
      <c r="G59" s="765"/>
      <c r="H59" s="765"/>
      <c r="I59" s="765"/>
      <c r="J59" s="765"/>
    </row>
    <row r="60" spans="3:10" s="611" customFormat="1" ht="21">
      <c r="C60" s="660" t="str">
        <f>BASEBUDGETS!B370</f>
        <v xml:space="preserve">   - Herbicide - #2</v>
      </c>
      <c r="D60" s="765">
        <f>BASEBUDGETS!D370</f>
        <v>0</v>
      </c>
      <c r="E60" s="775">
        <f>BASEBUDGETS!E370/BASEBUDGETS!C348</f>
        <v>1</v>
      </c>
      <c r="F60" s="769" t="str">
        <f>BASEBUDGETS!C370</f>
        <v>acre</v>
      </c>
      <c r="G60" s="765"/>
      <c r="H60" s="765"/>
      <c r="I60" s="765"/>
      <c r="J60" s="765"/>
    </row>
    <row r="61" spans="3:10" s="611" customFormat="1" ht="21">
      <c r="C61" s="660" t="str">
        <f>BASEBUDGETS!B371</f>
        <v xml:space="preserve">   - Insecticides</v>
      </c>
      <c r="D61" s="765">
        <f>BASEBUDGETS!D371</f>
        <v>0</v>
      </c>
      <c r="E61" s="775">
        <f>BASEBUDGETS!E371/BASEBUDGETS!C348</f>
        <v>1</v>
      </c>
      <c r="F61" s="769" t="str">
        <f>BASEBUDGETS!C371</f>
        <v>acre</v>
      </c>
      <c r="G61" s="765"/>
      <c r="H61" s="765"/>
      <c r="I61" s="765"/>
      <c r="J61" s="765"/>
    </row>
    <row r="62" spans="3:10" s="611" customFormat="1" ht="21">
      <c r="C62" s="660" t="str">
        <f>BASEBUDGETS!B372</f>
        <v xml:space="preserve">   - Insecticide - #2</v>
      </c>
      <c r="D62" s="765">
        <f>BASEBUDGETS!D372</f>
        <v>0</v>
      </c>
      <c r="E62" s="775">
        <f>BASEBUDGETS!E372/BASEBUDGETS!C348</f>
        <v>1</v>
      </c>
      <c r="F62" s="769" t="str">
        <f>BASEBUDGETS!C372</f>
        <v>acre</v>
      </c>
      <c r="G62" s="765"/>
      <c r="H62" s="765"/>
      <c r="I62" s="765"/>
      <c r="J62" s="765"/>
    </row>
    <row r="63" spans="3:10" s="611" customFormat="1" ht="21">
      <c r="C63" s="660" t="str">
        <f>BASEBUDGETS!B387</f>
        <v>Row Cultivator, Custom</v>
      </c>
      <c r="D63" s="765">
        <f>CustomOperations!E28</f>
        <v>0</v>
      </c>
      <c r="E63" s="771">
        <f>BASEBUDGETS!E387/BASEBUDGETS!C348</f>
        <v>0</v>
      </c>
      <c r="F63" s="770" t="str">
        <f>BASEBUDGETS!C387</f>
        <v>acre</v>
      </c>
      <c r="G63" s="756">
        <v>0</v>
      </c>
      <c r="H63" s="756">
        <v>0</v>
      </c>
      <c r="I63" s="756">
        <f>IF(E63=0,0,BASEBUDGETS!D387*E63)</f>
        <v>0</v>
      </c>
      <c r="J63" s="756">
        <f>G63+H63+I63</f>
        <v>0</v>
      </c>
    </row>
    <row r="64" spans="3:10" s="611" customFormat="1" ht="21">
      <c r="C64" s="660" t="str">
        <f>TillageOperations!$B$20</f>
        <v>Row Cultivator</v>
      </c>
      <c r="D64" s="765"/>
      <c r="E64" s="771">
        <f>BASEBUDGETS!E422/BASEBUDGETS!C348</f>
        <v>0</v>
      </c>
      <c r="F64" s="770" t="str">
        <f>BASEBUDGETS!C420</f>
        <v>acre</v>
      </c>
      <c r="G64" s="756">
        <f>IF(E64=0,0,BASEBUDGETS!D423*E64)</f>
        <v>0</v>
      </c>
      <c r="H64" s="756">
        <f>IF(E64=0,0,BASEBUDGETS!D422*E64)</f>
        <v>0</v>
      </c>
      <c r="I64" s="756">
        <v>0</v>
      </c>
      <c r="J64" s="756">
        <f>G64+H64+I64</f>
        <v>0</v>
      </c>
    </row>
    <row r="65" spans="2:10" s="611" customFormat="1" ht="21">
      <c r="C65" s="660" t="s">
        <v>151</v>
      </c>
      <c r="D65" s="765"/>
      <c r="E65" s="776" t="s">
        <v>10</v>
      </c>
      <c r="F65" s="777" t="s">
        <v>10</v>
      </c>
      <c r="G65" s="756">
        <f>(D67*E67)+(D70*E70)+(D73*E73)</f>
        <v>48.500000000000007</v>
      </c>
      <c r="H65" s="756">
        <v>0</v>
      </c>
      <c r="I65" s="765">
        <f>(D66*E66)+(D69*E69)+(D72*E72)+(D68*E68)+(D71*E71)+(D74*E74)</f>
        <v>186.33333333333334</v>
      </c>
      <c r="J65" s="765">
        <f>G65+H65+I65</f>
        <v>234.83333333333334</v>
      </c>
    </row>
    <row r="66" spans="2:10" s="611" customFormat="1" ht="21">
      <c r="B66" s="660"/>
      <c r="C66" s="660" t="str">
        <f>BASEBUDGETS!B373</f>
        <v>Flood - Irrigation Water</v>
      </c>
      <c r="D66" s="765">
        <f>BASEBUDGETS!D373</f>
        <v>55</v>
      </c>
      <c r="E66" s="775">
        <f>BASEBUDGETS!E373/BASEBUDGETS!C$348</f>
        <v>3.3333333333333335</v>
      </c>
      <c r="F66" s="769" t="str">
        <f>BASEBUDGETS!C373</f>
        <v>ac ft</v>
      </c>
      <c r="G66" s="756"/>
      <c r="H66" s="756"/>
      <c r="I66" s="765"/>
      <c r="J66" s="765"/>
    </row>
    <row r="67" spans="2:10" s="611" customFormat="1" ht="21">
      <c r="C67" s="660" t="str">
        <f>BASEBUDGETS!B374</f>
        <v>Flood - Irrigation Labor</v>
      </c>
      <c r="D67" s="765">
        <f>BASEBUDGETS!D374</f>
        <v>14.55</v>
      </c>
      <c r="E67" s="775">
        <f>BASEBUDGETS!E374/BASEBUDGETS!C$348</f>
        <v>3.3333333333333335</v>
      </c>
      <c r="F67" s="769" t="str">
        <f>BASEBUDGETS!C374</f>
        <v>hour</v>
      </c>
      <c r="G67" s="757"/>
      <c r="H67" s="757"/>
      <c r="I67" s="756"/>
      <c r="J67" s="778" t="s">
        <v>10</v>
      </c>
    </row>
    <row r="68" spans="2:10" s="611" customFormat="1" ht="21">
      <c r="C68" s="660" t="str">
        <f>BASEBUDGETS!B375</f>
        <v xml:space="preserve">   - Annual Repairs &amp; Maintenance</v>
      </c>
      <c r="D68" s="765">
        <f>BASEBUDGETS!D375</f>
        <v>3</v>
      </c>
      <c r="E68" s="775">
        <f>BASEBUDGETS!E375/BASEBUDGETS!C$348</f>
        <v>1</v>
      </c>
      <c r="F68" s="769" t="str">
        <f>BASEBUDGETS!C375</f>
        <v>acre</v>
      </c>
      <c r="G68" s="757"/>
      <c r="H68" s="757"/>
      <c r="I68" s="756"/>
      <c r="J68" s="778"/>
    </row>
    <row r="69" spans="2:10" s="611" customFormat="1" ht="21">
      <c r="C69" s="660" t="str">
        <f>BASEBUDGETS!B376</f>
        <v>Drip-tape - Irrigation Water</v>
      </c>
      <c r="D69" s="765">
        <f>BASEBUDGETS!D376</f>
        <v>55</v>
      </c>
      <c r="E69" s="775">
        <f>BASEBUDGETS!E376/BASEBUDGETS!C$348</f>
        <v>0</v>
      </c>
      <c r="F69" s="769" t="str">
        <f>BASEBUDGETS!C376</f>
        <v>ac ft</v>
      </c>
      <c r="G69" s="756"/>
      <c r="H69" s="756"/>
      <c r="I69" s="756"/>
      <c r="J69" s="765"/>
    </row>
    <row r="70" spans="2:10" s="611" customFormat="1" ht="21">
      <c r="C70" s="660" t="str">
        <f>BASEBUDGETS!B377</f>
        <v>Drip-tape - Irrigation Labor</v>
      </c>
      <c r="D70" s="765">
        <f>BASEBUDGETS!D377</f>
        <v>14.55</v>
      </c>
      <c r="E70" s="775">
        <f>BASEBUDGETS!E377/BASEBUDGETS!C$348</f>
        <v>0</v>
      </c>
      <c r="F70" s="769" t="str">
        <f>BASEBUDGETS!C377</f>
        <v>hour</v>
      </c>
      <c r="G70" s="756"/>
      <c r="H70" s="756"/>
      <c r="I70" s="756"/>
      <c r="J70" s="765"/>
    </row>
    <row r="71" spans="2:10" s="611" customFormat="1" ht="21">
      <c r="C71" s="660" t="str">
        <f>BASEBUDGETS!B378</f>
        <v xml:space="preserve">   - Annual Repairs &amp; Maintenance</v>
      </c>
      <c r="D71" s="765">
        <f>BASEBUDGETS!D378</f>
        <v>7.5</v>
      </c>
      <c r="E71" s="775">
        <f>BASEBUDGETS!E378/BASEBUDGETS!C$348</f>
        <v>0</v>
      </c>
      <c r="F71" s="769" t="str">
        <f>BASEBUDGETS!C378</f>
        <v>acre</v>
      </c>
      <c r="G71" s="756"/>
      <c r="H71" s="756"/>
      <c r="I71" s="756"/>
      <c r="J71" s="765"/>
    </row>
    <row r="72" spans="2:10" s="611" customFormat="1" ht="21">
      <c r="C72" s="660" t="str">
        <f>BASEBUDGETS!B379</f>
        <v>Sprinkler - Irrigation Water</v>
      </c>
      <c r="D72" s="765">
        <f>BASEBUDGETS!D379</f>
        <v>55</v>
      </c>
      <c r="E72" s="775">
        <f>BASEBUDGETS!E379/BASEBUDGETS!C$348</f>
        <v>0</v>
      </c>
      <c r="F72" s="769" t="str">
        <f>BASEBUDGETS!C379</f>
        <v>ac ft</v>
      </c>
      <c r="G72" s="756"/>
      <c r="H72" s="756"/>
      <c r="I72" s="756"/>
      <c r="J72" s="765"/>
    </row>
    <row r="73" spans="2:10" s="611" customFormat="1" ht="21">
      <c r="C73" s="660" t="str">
        <f>BASEBUDGETS!B380</f>
        <v>Sprinkler - Irrigation Labor</v>
      </c>
      <c r="D73" s="765">
        <f>BASEBUDGETS!D380</f>
        <v>14.55</v>
      </c>
      <c r="E73" s="775">
        <f>BASEBUDGETS!E380/BASEBUDGETS!C$348</f>
        <v>0</v>
      </c>
      <c r="F73" s="769" t="str">
        <f>BASEBUDGETS!C380</f>
        <v>hour</v>
      </c>
      <c r="G73" s="756"/>
      <c r="H73" s="756"/>
      <c r="I73" s="756"/>
      <c r="J73" s="765"/>
    </row>
    <row r="74" spans="2:10" s="611" customFormat="1" ht="21">
      <c r="C74" s="660" t="str">
        <f>BASEBUDGETS!B381</f>
        <v xml:space="preserve">   - Annual Repairs &amp; Maintenance</v>
      </c>
      <c r="D74" s="765">
        <f>BASEBUDGETS!D381</f>
        <v>15</v>
      </c>
      <c r="E74" s="775">
        <f>BASEBUDGETS!E381/BASEBUDGETS!C$348</f>
        <v>0</v>
      </c>
      <c r="F74" s="769" t="str">
        <f>BASEBUDGETS!C381</f>
        <v>acre</v>
      </c>
      <c r="G74" s="756"/>
      <c r="H74" s="756"/>
      <c r="I74" s="756"/>
      <c r="J74" s="765"/>
    </row>
    <row r="75" spans="2:10" s="611" customFormat="1" ht="21">
      <c r="C75" s="660" t="str">
        <f>BASEBUDGETS!B459</f>
        <v>Additional Crop Prod. Labor</v>
      </c>
      <c r="D75" s="765">
        <f>GeneralInputPrices!$D$31</f>
        <v>14.55</v>
      </c>
      <c r="E75" s="771">
        <f>BASEBUDGETS!E459/BASEBUDGETS!C348</f>
        <v>0</v>
      </c>
      <c r="F75" s="770" t="str">
        <f>BASEBUDGETS!C458</f>
        <v>hour</v>
      </c>
      <c r="G75" s="756">
        <f>D75*E75</f>
        <v>0</v>
      </c>
      <c r="H75" s="756">
        <v>0</v>
      </c>
      <c r="I75" s="756">
        <v>0</v>
      </c>
      <c r="J75" s="765">
        <f t="shared" ref="J75:J76" si="3">G75+H75+I75</f>
        <v>0</v>
      </c>
    </row>
    <row r="76" spans="2:10" s="611" customFormat="1" ht="21">
      <c r="C76" s="660" t="str">
        <f>BASEBUDGETS!B460</f>
        <v>Additional Crop Prod. Labor</v>
      </c>
      <c r="D76" s="765">
        <f>GeneralInputPrices!$D$31</f>
        <v>14.55</v>
      </c>
      <c r="E76" s="771">
        <f>BASEBUDGETS!E460/BASEBUDGETS!C348</f>
        <v>0</v>
      </c>
      <c r="F76" s="770" t="str">
        <f>BASEBUDGETS!C459</f>
        <v>hour</v>
      </c>
      <c r="G76" s="756">
        <f>D76*E76</f>
        <v>0</v>
      </c>
      <c r="H76" s="756">
        <v>0</v>
      </c>
      <c r="I76" s="756">
        <v>0</v>
      </c>
      <c r="J76" s="765">
        <f t="shared" si="3"/>
        <v>0</v>
      </c>
    </row>
    <row r="77" spans="2:10" s="611" customFormat="1" ht="21">
      <c r="B77" s="804" t="s">
        <v>44</v>
      </c>
      <c r="C77" s="804"/>
      <c r="D77" s="778"/>
      <c r="E77" s="758"/>
      <c r="F77" s="780" t="s">
        <v>10</v>
      </c>
      <c r="G77" s="777" t="s">
        <v>10</v>
      </c>
      <c r="H77" s="777" t="s">
        <v>10</v>
      </c>
      <c r="I77" s="777" t="s">
        <v>10</v>
      </c>
      <c r="J77" s="777" t="s">
        <v>10</v>
      </c>
    </row>
    <row r="78" spans="2:10" s="611" customFormat="1" ht="21">
      <c r="C78" s="660" t="str">
        <f>BASEBUDGETS!B382</f>
        <v>Harvest, Custom</v>
      </c>
      <c r="D78" s="765">
        <f>CustomOperations!E37</f>
        <v>0</v>
      </c>
      <c r="E78" s="771">
        <f>BASEBUDGETS!E382/BASEBUDGETS!C348</f>
        <v>0</v>
      </c>
      <c r="F78" s="770" t="str">
        <f>BASEBUDGETS!C382</f>
        <v>acre</v>
      </c>
      <c r="G78" s="756">
        <v>0</v>
      </c>
      <c r="H78" s="756">
        <v>0</v>
      </c>
      <c r="I78" s="756">
        <f>IF(E78=0,0,BASEBUDGETS!D382*E78)</f>
        <v>0</v>
      </c>
      <c r="J78" s="756">
        <f t="shared" ref="J78:J89" si="4">G78+H78+I78</f>
        <v>0</v>
      </c>
    </row>
    <row r="79" spans="2:10" s="611" customFormat="1" ht="21">
      <c r="C79" s="660" t="str">
        <f>BASEBUDGETS!B383</f>
        <v>Hauling, Custom</v>
      </c>
      <c r="D79" s="765">
        <f>CustomOperations!E39</f>
        <v>0</v>
      </c>
      <c r="E79" s="771">
        <f>BASEBUDGETS!E383/BASEBUDGETS!C348</f>
        <v>0</v>
      </c>
      <c r="F79" s="770" t="str">
        <f>BASEBUDGETS!C383</f>
        <v>mile</v>
      </c>
      <c r="G79" s="756">
        <v>0</v>
      </c>
      <c r="H79" s="756">
        <v>0</v>
      </c>
      <c r="I79" s="756">
        <f>IF(E79=0,0,BASEBUDGETS!D383*E79)</f>
        <v>0</v>
      </c>
      <c r="J79" s="756">
        <f t="shared" si="4"/>
        <v>0</v>
      </c>
    </row>
    <row r="80" spans="2:10" s="611" customFormat="1" ht="21">
      <c r="C80" s="660" t="str">
        <f>BASEBUDGETS!B384</f>
        <v>Gin Cotton/Drying/Swathing, Custom</v>
      </c>
      <c r="D80" s="765">
        <f>CustomOperations!E41</f>
        <v>0</v>
      </c>
      <c r="E80" s="771">
        <f>BASEBUDGETS!E384/BASEBUDGETS!C348</f>
        <v>0</v>
      </c>
      <c r="F80" s="770" t="str">
        <f>BASEBUDGETS!C384</f>
        <v>bale</v>
      </c>
      <c r="G80" s="756">
        <v>0</v>
      </c>
      <c r="H80" s="756">
        <v>0</v>
      </c>
      <c r="I80" s="756">
        <f>IF(E80=0,0,BASEBUDGETS!D384*E80)</f>
        <v>0</v>
      </c>
      <c r="J80" s="756">
        <f t="shared" si="4"/>
        <v>0</v>
      </c>
    </row>
    <row r="81" spans="2:10" s="611" customFormat="1" ht="21">
      <c r="C81" s="660" t="str">
        <f>TillageOperations!$B$27</f>
        <v>Cotton Picker</v>
      </c>
      <c r="D81" s="765"/>
      <c r="E81" s="771">
        <f>BASEBUDGETS!E426/BASEBUDGETS!C348</f>
        <v>0</v>
      </c>
      <c r="F81" s="770" t="str">
        <f>BASEBUDGETS!C426</f>
        <v>acre</v>
      </c>
      <c r="G81" s="756">
        <f>IF(E81=0,0,BASEBUDGETS!D427*E81)</f>
        <v>0</v>
      </c>
      <c r="H81" s="756">
        <f>IF(E81=0,0,BASEBUDGETS!D426*E81)</f>
        <v>0</v>
      </c>
      <c r="I81" s="756">
        <v>0</v>
      </c>
      <c r="J81" s="756">
        <f t="shared" si="4"/>
        <v>0</v>
      </c>
    </row>
    <row r="82" spans="2:10" s="611" customFormat="1" ht="21">
      <c r="C82" s="781" t="s">
        <v>287</v>
      </c>
      <c r="D82" s="765"/>
      <c r="E82" s="771">
        <f>BASEBUDGETS!E428/BASEBUDGETS!C348</f>
        <v>0</v>
      </c>
      <c r="F82" s="770" t="str">
        <f>BASEBUDGETS!C428</f>
        <v>acre</v>
      </c>
      <c r="G82" s="756">
        <f>IF(E82=0,0,BASEBUDGETS!D429*E82)</f>
        <v>0</v>
      </c>
      <c r="H82" s="756">
        <f>IF(E82=0,0,BASEBUDGETS!D428*E82)</f>
        <v>0</v>
      </c>
      <c r="I82" s="756">
        <v>0</v>
      </c>
      <c r="J82" s="756">
        <f t="shared" ref="J82" si="5">G82+H82+I82</f>
        <v>0</v>
      </c>
    </row>
    <row r="83" spans="2:10" s="611" customFormat="1" ht="21">
      <c r="C83" s="660" t="str">
        <f>TillageOperations!$B$29</f>
        <v>Haul Cotton</v>
      </c>
      <c r="D83" s="765"/>
      <c r="E83" s="771">
        <f>BASEBUDGETS!E430/BASEBUDGETS!C348</f>
        <v>0</v>
      </c>
      <c r="F83" s="770" t="str">
        <f>BASEBUDGETS!C430</f>
        <v>acre</v>
      </c>
      <c r="G83" s="756">
        <f>IF(E83=0,0,BASEBUDGETS!D431*E83)</f>
        <v>0</v>
      </c>
      <c r="H83" s="756">
        <f>IF(E83=0,0,BASEBUDGETS!D430*E83)</f>
        <v>0</v>
      </c>
      <c r="I83" s="756">
        <v>0</v>
      </c>
      <c r="J83" s="756">
        <f t="shared" si="4"/>
        <v>0</v>
      </c>
    </row>
    <row r="84" spans="2:10" s="611" customFormat="1" ht="21">
      <c r="C84" s="660" t="str">
        <f>TillageOperations!$B$30</f>
        <v>Combine</v>
      </c>
      <c r="D84" s="765"/>
      <c r="E84" s="771">
        <f>BASEBUDGETS!E434/BASEBUDGETS!C348</f>
        <v>0</v>
      </c>
      <c r="F84" s="770" t="str">
        <f>BASEBUDGETS!C434</f>
        <v>acre</v>
      </c>
      <c r="G84" s="756">
        <f>IF(E84=0,0,BASEBUDGETS!D435*E84)</f>
        <v>0</v>
      </c>
      <c r="H84" s="756">
        <f>IF(E84=0,0,BASEBUDGETS!D434*E84)</f>
        <v>0</v>
      </c>
      <c r="I84" s="756">
        <v>0</v>
      </c>
      <c r="J84" s="756">
        <f t="shared" si="4"/>
        <v>0</v>
      </c>
    </row>
    <row r="85" spans="2:10" s="611" customFormat="1" ht="21">
      <c r="C85" s="660" t="str">
        <f>TillageOperations!$B$31</f>
        <v>Grain Cart</v>
      </c>
      <c r="D85" s="765"/>
      <c r="E85" s="771">
        <f>BASEBUDGETS!E436/BASEBUDGETS!C348</f>
        <v>0</v>
      </c>
      <c r="F85" s="770" t="str">
        <f>BASEBUDGETS!C436</f>
        <v>acre</v>
      </c>
      <c r="G85" s="756">
        <f>IF(E85=0,0,BASEBUDGETS!D437*E85)</f>
        <v>0</v>
      </c>
      <c r="H85" s="756">
        <f>IF(E85=0,0,BASEBUDGETS!D436*E85)</f>
        <v>0</v>
      </c>
      <c r="I85" s="756">
        <v>0</v>
      </c>
      <c r="J85" s="756">
        <f t="shared" si="4"/>
        <v>0</v>
      </c>
    </row>
    <row r="86" spans="2:10" s="611" customFormat="1" ht="21">
      <c r="C86" s="660" t="str">
        <f>TillageOperations!$B$32</f>
        <v>Swather</v>
      </c>
      <c r="D86" s="765"/>
      <c r="E86" s="771">
        <f>BASEBUDGETS!E438/BASEBUDGETS!C348</f>
        <v>0</v>
      </c>
      <c r="F86" s="770" t="str">
        <f>BASEBUDGETS!C438</f>
        <v>acre</v>
      </c>
      <c r="G86" s="756">
        <f>IF(E86=0,0,BASEBUDGETS!D439*E86)</f>
        <v>0</v>
      </c>
      <c r="H86" s="756">
        <f>IF(E86=0,0,BASEBUDGETS!D438*E86)</f>
        <v>0</v>
      </c>
      <c r="I86" s="756">
        <v>0</v>
      </c>
      <c r="J86" s="756">
        <f t="shared" si="4"/>
        <v>0</v>
      </c>
    </row>
    <row r="87" spans="2:10" s="611" customFormat="1" ht="21">
      <c r="C87" s="660" t="str">
        <f>TillageOperations!$B$33</f>
        <v>Baler</v>
      </c>
      <c r="D87" s="765"/>
      <c r="E87" s="771">
        <f>BASEBUDGETS!E440/BASEBUDGETS!C348</f>
        <v>0</v>
      </c>
      <c r="F87" s="770" t="str">
        <f>BASEBUDGETS!C440</f>
        <v>acre</v>
      </c>
      <c r="G87" s="756">
        <f>IF(E87=0,0,BASEBUDGETS!D441*E87)</f>
        <v>0</v>
      </c>
      <c r="H87" s="756">
        <f>IF(E87=0,0,BASEBUDGETS!D440*E87)</f>
        <v>0</v>
      </c>
      <c r="I87" s="756">
        <f>IF(E87=0,0,D90*E90)</f>
        <v>0</v>
      </c>
      <c r="J87" s="756">
        <f t="shared" si="4"/>
        <v>0</v>
      </c>
    </row>
    <row r="88" spans="2:10" s="611" customFormat="1" ht="21">
      <c r="C88" s="660" t="str">
        <f>TillageOperations!$B$34</f>
        <v>Swather</v>
      </c>
      <c r="D88" s="765"/>
      <c r="E88" s="771">
        <f>BASEBUDGETS!E442/BASEBUDGETS!C348</f>
        <v>0</v>
      </c>
      <c r="F88" s="770" t="str">
        <f>BASEBUDGETS!C442</f>
        <v>acre</v>
      </c>
      <c r="G88" s="756">
        <f>IF(E88=0,0,BASEBUDGETS!D443*E88)</f>
        <v>0</v>
      </c>
      <c r="H88" s="756">
        <f>IF(E88=0,0,BASEBUDGETS!D442*E88)</f>
        <v>0</v>
      </c>
      <c r="I88" s="756">
        <v>0</v>
      </c>
      <c r="J88" s="756">
        <f t="shared" si="4"/>
        <v>0</v>
      </c>
    </row>
    <row r="89" spans="2:10" s="611" customFormat="1" ht="21">
      <c r="C89" s="660" t="str">
        <f>TillageOperations!$B$35</f>
        <v>Baler</v>
      </c>
      <c r="D89" s="765"/>
      <c r="E89" s="771">
        <f>BASEBUDGETS!E444/BASEBUDGETS!C348</f>
        <v>0</v>
      </c>
      <c r="F89" s="770" t="str">
        <f>BASEBUDGETS!C444</f>
        <v>acre</v>
      </c>
      <c r="G89" s="756">
        <f>IF(E89=0,0,BASEBUDGETS!D445*E89)</f>
        <v>0</v>
      </c>
      <c r="H89" s="756">
        <f>IF(E89=0,0,BASEBUDGETS!D444*E89)</f>
        <v>0</v>
      </c>
      <c r="I89" s="756">
        <f>IF(E89=0,0,D90*E90)</f>
        <v>0</v>
      </c>
      <c r="J89" s="756">
        <f t="shared" si="4"/>
        <v>0</v>
      </c>
    </row>
    <row r="90" spans="2:10" s="611" customFormat="1" ht="21">
      <c r="C90" s="660" t="str">
        <f>'Inputs&amp;PricesbyCrop'!$B$31</f>
        <v xml:space="preserve">   - Baling Twine</v>
      </c>
      <c r="D90" s="765">
        <f>BASEBUDGETS!D446</f>
        <v>0</v>
      </c>
      <c r="E90" s="775">
        <f>BASEBUDGETS!E446/BASEBUDGETS!C348</f>
        <v>1</v>
      </c>
      <c r="F90" s="769" t="str">
        <f>'Inputs&amp;PricesbyCrop'!$C$31</f>
        <v>acre</v>
      </c>
      <c r="G90" s="756"/>
      <c r="H90" s="756"/>
      <c r="I90" s="756"/>
      <c r="J90" s="756"/>
    </row>
    <row r="91" spans="2:10" s="611" customFormat="1" ht="21">
      <c r="C91" s="660" t="str">
        <f>TillageOperations!$B$36</f>
        <v>Bale Wagon</v>
      </c>
      <c r="D91" s="765"/>
      <c r="E91" s="771">
        <f>BASEBUDGETS!E447/BASEBUDGETS!C348</f>
        <v>0</v>
      </c>
      <c r="F91" s="770" t="str">
        <f>BASEBUDGETS!C447</f>
        <v>acre</v>
      </c>
      <c r="G91" s="756">
        <f>IF(E91=0,0,BASEBUDGETS!D448*E91)</f>
        <v>0</v>
      </c>
      <c r="H91" s="756">
        <f>IF(E91=0,0,BASEBUDGETS!D447*E91)</f>
        <v>0</v>
      </c>
      <c r="I91" s="756">
        <v>0</v>
      </c>
      <c r="J91" s="756">
        <f t="shared" ref="J91:J93" si="6">G91+H91+I91</f>
        <v>0</v>
      </c>
    </row>
    <row r="92" spans="2:10" s="611" customFormat="1" ht="21">
      <c r="C92" s="660" t="str">
        <f>BASEBUDGETS!B461</f>
        <v>Additional Harvest Labor</v>
      </c>
      <c r="D92" s="765">
        <f>GeneralInputPrices!$D$32</f>
        <v>17.89</v>
      </c>
      <c r="E92" s="771">
        <f>BASEBUDGETS!E461/BASEBUDGETS!C348</f>
        <v>0</v>
      </c>
      <c r="F92" s="770" t="str">
        <f>BASEBUDGETS!C460</f>
        <v>hour</v>
      </c>
      <c r="G92" s="756">
        <f>D92*E92</f>
        <v>0</v>
      </c>
      <c r="H92" s="756">
        <v>0</v>
      </c>
      <c r="I92" s="756">
        <v>0</v>
      </c>
      <c r="J92" s="765">
        <f t="shared" si="6"/>
        <v>0</v>
      </c>
    </row>
    <row r="93" spans="2:10" s="611" customFormat="1" ht="21">
      <c r="C93" s="660" t="str">
        <f>BASEBUDGETS!B462</f>
        <v>Additional Harvest Labor</v>
      </c>
      <c r="D93" s="765">
        <f>GeneralInputPrices!$D$32</f>
        <v>17.89</v>
      </c>
      <c r="E93" s="771">
        <f>BASEBUDGETS!E462/BASEBUDGETS!C348</f>
        <v>0</v>
      </c>
      <c r="F93" s="770" t="str">
        <f>BASEBUDGETS!C461</f>
        <v>hour</v>
      </c>
      <c r="G93" s="756">
        <f>D93*E93</f>
        <v>0</v>
      </c>
      <c r="H93" s="756">
        <v>0</v>
      </c>
      <c r="I93" s="756">
        <v>0</v>
      </c>
      <c r="J93" s="765">
        <f t="shared" si="6"/>
        <v>0</v>
      </c>
    </row>
    <row r="94" spans="2:10" s="611" customFormat="1" ht="21">
      <c r="B94" s="760" t="s">
        <v>184</v>
      </c>
      <c r="C94" s="760"/>
      <c r="D94" s="765"/>
      <c r="E94" s="771"/>
      <c r="F94" s="770"/>
      <c r="G94" s="756"/>
      <c r="H94" s="756"/>
      <c r="I94" s="756"/>
      <c r="J94" s="756"/>
    </row>
    <row r="95" spans="2:10" s="611" customFormat="1" ht="21">
      <c r="C95" s="660" t="str">
        <f>BASEBUDGETS!B463</f>
        <v>Other Expenses</v>
      </c>
      <c r="D95" s="765"/>
      <c r="E95" s="783">
        <f>BASEBUDGETS!D463</f>
        <v>0.05</v>
      </c>
      <c r="F95" s="780" t="s">
        <v>10</v>
      </c>
      <c r="G95" s="756">
        <v>0</v>
      </c>
      <c r="H95" s="756">
        <v>0</v>
      </c>
      <c r="I95" s="756">
        <f>SUM(J9:J93)*E95</f>
        <v>15.662801254368052</v>
      </c>
      <c r="J95" s="765">
        <f>G95+H95+I95</f>
        <v>15.662801254368052</v>
      </c>
    </row>
    <row r="96" spans="2:10" s="611" customFormat="1" ht="21">
      <c r="C96" s="660" t="str">
        <f>BASEBUDGETS!B464</f>
        <v>Interest on Operating Capital</v>
      </c>
      <c r="D96" s="765"/>
      <c r="E96" s="783">
        <f>BASEBUDGETS!D464</f>
        <v>0.06</v>
      </c>
      <c r="F96" s="780" t="s">
        <v>10</v>
      </c>
      <c r="G96" s="784">
        <v>0</v>
      </c>
      <c r="H96" s="784">
        <v>0</v>
      </c>
      <c r="I96" s="784">
        <f>SUM(J9:J95)*((E96/12)*GeneralInputPrices!$D$39)</f>
        <v>9.8675647902518726</v>
      </c>
      <c r="J96" s="785">
        <f>G96+H96+I96</f>
        <v>9.8675647902518726</v>
      </c>
    </row>
    <row r="97" spans="2:10" s="611" customFormat="1" ht="21">
      <c r="B97" s="760" t="s">
        <v>153</v>
      </c>
      <c r="C97" s="760"/>
      <c r="D97" s="760"/>
      <c r="E97" s="760"/>
      <c r="F97" s="760"/>
      <c r="G97" s="756">
        <f>SUM(G10:G96)</f>
        <v>49.925195120783364</v>
      </c>
      <c r="H97" s="756">
        <f>SUM(H10:H96)</f>
        <v>2.1162466332443142</v>
      </c>
      <c r="I97" s="756">
        <f>SUM(I10:I96)</f>
        <v>286.74494937795328</v>
      </c>
      <c r="J97" s="756">
        <f>SUM(J9:J96)</f>
        <v>338.78639113198096</v>
      </c>
    </row>
    <row r="98" spans="2:10" s="611" customFormat="1">
      <c r="D98" s="786"/>
      <c r="E98" s="774"/>
      <c r="G98" s="757"/>
      <c r="H98" s="757"/>
      <c r="I98" s="757"/>
      <c r="J98" s="757"/>
    </row>
    <row r="99" spans="2:10" s="611" customFormat="1" ht="21">
      <c r="B99" s="760" t="s">
        <v>155</v>
      </c>
      <c r="C99" s="760"/>
      <c r="D99" s="760"/>
      <c r="E99" s="760"/>
      <c r="F99" s="760"/>
      <c r="G99" s="760"/>
      <c r="H99" s="756"/>
      <c r="I99" s="756"/>
      <c r="J99" s="756">
        <f>J6-J97</f>
        <v>-338.78639113198096</v>
      </c>
    </row>
    <row r="100" spans="2:10" s="611" customFormat="1">
      <c r="D100" s="786"/>
      <c r="E100" s="774"/>
      <c r="G100" s="757"/>
      <c r="H100" s="757"/>
      <c r="I100" s="757"/>
      <c r="J100" s="757"/>
    </row>
    <row r="101" spans="2:10" s="611" customFormat="1" ht="21">
      <c r="B101" s="805" t="s">
        <v>78</v>
      </c>
      <c r="C101" s="805"/>
      <c r="D101" s="805"/>
      <c r="E101" s="805"/>
      <c r="F101" s="805"/>
      <c r="G101" s="805"/>
      <c r="H101" s="792" t="s">
        <v>1</v>
      </c>
      <c r="I101" s="767" t="s">
        <v>24</v>
      </c>
      <c r="J101" s="767" t="s">
        <v>0</v>
      </c>
    </row>
    <row r="102" spans="2:10" s="611" customFormat="1" ht="21">
      <c r="B102" s="754" t="str">
        <f>BASEBUDGETS!B499</f>
        <v>Crop Insurance</v>
      </c>
      <c r="C102" s="754"/>
      <c r="D102" s="754"/>
      <c r="E102" s="754"/>
      <c r="F102" s="754"/>
      <c r="G102" s="754"/>
      <c r="H102" s="770" t="str">
        <f>BASEBUDGETS!C499</f>
        <v>acre</v>
      </c>
      <c r="I102" s="756">
        <f>BASEBUDGETS!F499/BASEBUDGETS!C348</f>
        <v>0</v>
      </c>
      <c r="J102" s="756">
        <f>I102</f>
        <v>0</v>
      </c>
    </row>
    <row r="103" spans="2:10" s="611" customFormat="1" ht="21">
      <c r="B103" s="760" t="str">
        <f>BASEBUDGETS!B500</f>
        <v>Property Insurance</v>
      </c>
      <c r="C103" s="760"/>
      <c r="D103" s="760"/>
      <c r="E103" s="760"/>
      <c r="F103" s="760"/>
      <c r="G103" s="760"/>
      <c r="H103" s="770" t="str">
        <f>BASEBUDGETS!C500</f>
        <v>acre</v>
      </c>
      <c r="I103" s="756">
        <f>BASEBUDGETS!F500/BASEBUDGETS!C348</f>
        <v>0</v>
      </c>
      <c r="J103" s="756">
        <f>I103</f>
        <v>0</v>
      </c>
    </row>
    <row r="104" spans="2:10" s="611" customFormat="1" ht="21">
      <c r="B104" s="760" t="str">
        <f>BASEBUDGETS!B501</f>
        <v>Property Taxes</v>
      </c>
      <c r="C104" s="760"/>
      <c r="D104" s="760"/>
      <c r="E104" s="760"/>
      <c r="F104" s="760"/>
      <c r="G104" s="760"/>
      <c r="H104" s="770" t="str">
        <f>BASEBUDGETS!C501</f>
        <v>acre</v>
      </c>
      <c r="I104" s="756">
        <f>BASEBUDGETS!F501/BASEBUDGETS!C348</f>
        <v>0</v>
      </c>
      <c r="J104" s="756">
        <f t="shared" ref="J104:J107" si="7">I104</f>
        <v>0</v>
      </c>
    </row>
    <row r="105" spans="2:10" s="611" customFormat="1" ht="21">
      <c r="B105" s="760" t="str">
        <f>BASEBUDGETS!B504</f>
        <v>Licenses and Fees</v>
      </c>
      <c r="C105" s="760"/>
      <c r="D105" s="760"/>
      <c r="E105" s="760"/>
      <c r="F105" s="760"/>
      <c r="G105" s="760"/>
      <c r="H105" s="770" t="str">
        <f>BASEBUDGETS!C504</f>
        <v>acre</v>
      </c>
      <c r="I105" s="756">
        <f>BASEBUDGETS!F504/BASEBUDGETS!C348</f>
        <v>0</v>
      </c>
      <c r="J105" s="756">
        <f t="shared" si="7"/>
        <v>0</v>
      </c>
    </row>
    <row r="106" spans="2:10" s="611" customFormat="1" ht="21">
      <c r="B106" s="794" t="s">
        <v>484</v>
      </c>
      <c r="C106" s="794"/>
      <c r="D106" s="794"/>
      <c r="E106" s="794"/>
      <c r="F106" s="794"/>
      <c r="G106" s="794"/>
      <c r="H106" s="770" t="s">
        <v>157</v>
      </c>
      <c r="I106" s="756">
        <f>IF('AcresYieldsPrices&amp;Water'!D9=0,0,((Fallow!$L$17*(('AcresYieldsPrices&amp;Water'!Q30/'AcresYieldsPrices&amp;Water'!Q31))/'AcresYieldsPrices&amp;Water'!D4)*-1))</f>
        <v>0</v>
      </c>
      <c r="J106" s="765">
        <f>I106</f>
        <v>0</v>
      </c>
    </row>
    <row r="107" spans="2:10" s="611" customFormat="1" ht="21">
      <c r="B107" s="760" t="str">
        <f>BASEBUDGETS!B502</f>
        <v>Annual Cash Rent Payment</v>
      </c>
      <c r="C107" s="760"/>
      <c r="D107" s="760"/>
      <c r="E107" s="760"/>
      <c r="F107" s="760"/>
      <c r="G107" s="760"/>
      <c r="H107" s="770" t="str">
        <f>BASEBUDGETS!C502</f>
        <v>acre</v>
      </c>
      <c r="I107" s="756">
        <f>BASEBUDGETS!F502/BASEBUDGETS!C348</f>
        <v>170</v>
      </c>
      <c r="J107" s="784">
        <f t="shared" si="7"/>
        <v>170</v>
      </c>
    </row>
    <row r="108" spans="2:10" s="611" customFormat="1" ht="21">
      <c r="B108" s="760" t="s">
        <v>79</v>
      </c>
      <c r="C108" s="760"/>
      <c r="D108" s="760"/>
      <c r="E108" s="760"/>
      <c r="F108" s="760"/>
      <c r="G108" s="760"/>
      <c r="H108" s="756"/>
      <c r="I108" s="756"/>
      <c r="J108" s="765">
        <f>SUM(J102:J107)</f>
        <v>170</v>
      </c>
    </row>
    <row r="109" spans="2:10" s="611" customFormat="1">
      <c r="D109" s="786"/>
      <c r="E109" s="774"/>
      <c r="G109" s="757"/>
      <c r="H109" s="757"/>
      <c r="I109" s="757"/>
      <c r="J109" s="786"/>
    </row>
    <row r="110" spans="2:10" s="611" customFormat="1" ht="21">
      <c r="B110" s="805" t="s">
        <v>154</v>
      </c>
      <c r="C110" s="805"/>
      <c r="D110" s="805"/>
      <c r="E110" s="805"/>
      <c r="F110" s="805"/>
      <c r="G110" s="805"/>
      <c r="H110" s="792" t="s">
        <v>1</v>
      </c>
      <c r="I110" s="767" t="s">
        <v>24</v>
      </c>
      <c r="J110" s="767" t="s">
        <v>0</v>
      </c>
    </row>
    <row r="111" spans="2:10" s="611" customFormat="1" ht="21">
      <c r="B111" s="760" t="s">
        <v>534</v>
      </c>
      <c r="C111" s="760"/>
      <c r="D111" s="760"/>
      <c r="E111" s="760"/>
      <c r="F111" s="760"/>
      <c r="G111" s="760"/>
      <c r="H111" s="770" t="s">
        <v>157</v>
      </c>
      <c r="I111" s="756">
        <f>SUM(BASEBUDGETS!F468:F470)/BASEBUDGETS!C348</f>
        <v>0</v>
      </c>
      <c r="J111" s="765">
        <f>I111</f>
        <v>0</v>
      </c>
    </row>
    <row r="112" spans="2:10" s="611" customFormat="1" ht="21">
      <c r="B112" s="794" t="s">
        <v>156</v>
      </c>
      <c r="C112" s="794"/>
      <c r="D112" s="794"/>
      <c r="E112" s="794"/>
      <c r="F112" s="794"/>
      <c r="G112" s="794"/>
      <c r="H112" s="770" t="str">
        <f>BASEBUDGETS!C468</f>
        <v>acre</v>
      </c>
      <c r="I112" s="758">
        <f>SUM(BASEBUDGETS!F471:F498)/BASEBUDGETS!C348</f>
        <v>11.806021425371254</v>
      </c>
      <c r="J112" s="797">
        <f>I112</f>
        <v>11.806021425371254</v>
      </c>
    </row>
    <row r="113" spans="2:15" s="611" customFormat="1" ht="21">
      <c r="B113" s="807" t="s">
        <v>77</v>
      </c>
      <c r="C113" s="807"/>
      <c r="D113" s="807"/>
      <c r="E113" s="807"/>
      <c r="F113" s="807"/>
      <c r="G113" s="807"/>
      <c r="H113" s="756"/>
      <c r="I113" s="756"/>
      <c r="J113" s="765">
        <f>J112+J111</f>
        <v>11.806021425371254</v>
      </c>
    </row>
    <row r="114" spans="2:15" s="611" customFormat="1" ht="21">
      <c r="B114" s="660"/>
      <c r="C114" s="660"/>
      <c r="D114" s="765"/>
      <c r="E114" s="758"/>
      <c r="F114" s="660"/>
      <c r="G114" s="756"/>
      <c r="H114" s="756"/>
      <c r="I114" s="756"/>
      <c r="J114" s="765"/>
    </row>
    <row r="115" spans="2:15" s="611" customFormat="1" ht="20.399999999999999">
      <c r="B115" s="808" t="s">
        <v>63</v>
      </c>
      <c r="C115" s="808"/>
      <c r="D115" s="808"/>
      <c r="E115" s="808"/>
      <c r="F115" s="808"/>
      <c r="G115" s="808"/>
      <c r="H115" s="764"/>
      <c r="I115" s="764"/>
      <c r="J115" s="801">
        <f>IF(BASEBUDGETS!C348=0,0,J97+J108+J113)</f>
        <v>520.59241255735219</v>
      </c>
    </row>
    <row r="116" spans="2:15" ht="20.399999999999999">
      <c r="B116" s="805" t="s">
        <v>64</v>
      </c>
      <c r="C116" s="805"/>
      <c r="D116" s="805"/>
      <c r="E116" s="805"/>
      <c r="F116" s="805"/>
      <c r="G116" s="805"/>
      <c r="H116" s="803"/>
      <c r="I116" s="803"/>
      <c r="J116" s="788">
        <f>J6-J115</f>
        <v>-520.59241255735219</v>
      </c>
      <c r="L116" s="611"/>
      <c r="M116" s="611"/>
      <c r="N116" s="611"/>
      <c r="O116" s="611"/>
    </row>
    <row r="117" spans="2:15">
      <c r="L117" s="611"/>
      <c r="M117" s="611"/>
      <c r="N117" s="611"/>
      <c r="O117" s="611"/>
    </row>
    <row r="118" spans="2:15">
      <c r="L118" s="611"/>
      <c r="M118" s="611"/>
      <c r="N118" s="611"/>
      <c r="O118" s="611"/>
    </row>
  </sheetData>
  <sheetProtection algorithmName="SHA-512" hashValue="jEHSUSzZGDsWnMhy1xrUZxGB9yMLAmhLiJjW+FG/py7vF6hCq1jyQLo8ObE8URS1DshF/eZ/PFYBHeHh9lVZ0g==" saltValue="rbKlX8bHSs9xU9wxYpotZQ==" spinCount="100000" sheet="1" objects="1" scenarios="1"/>
  <mergeCells count="25">
    <mergeCell ref="B2:F2"/>
    <mergeCell ref="B9:C9"/>
    <mergeCell ref="B32:C32"/>
    <mergeCell ref="B77:C77"/>
    <mergeCell ref="G2:I2"/>
    <mergeCell ref="B94:C94"/>
    <mergeCell ref="B3:C3"/>
    <mergeCell ref="B97:F97"/>
    <mergeCell ref="B4:E4"/>
    <mergeCell ref="B5:E5"/>
    <mergeCell ref="B99:G99"/>
    <mergeCell ref="B101:G101"/>
    <mergeCell ref="B102:G102"/>
    <mergeCell ref="B103:G103"/>
    <mergeCell ref="B112:G112"/>
    <mergeCell ref="B113:G113"/>
    <mergeCell ref="B115:G115"/>
    <mergeCell ref="B116:G116"/>
    <mergeCell ref="B104:G104"/>
    <mergeCell ref="B105:G105"/>
    <mergeCell ref="B107:G107"/>
    <mergeCell ref="B108:G108"/>
    <mergeCell ref="B110:G110"/>
    <mergeCell ref="B106:G106"/>
    <mergeCell ref="B111:G111"/>
  </mergeCells>
  <pageMargins left="0.7" right="0.7" top="0.75" bottom="0.75" header="0.3" footer="0.3"/>
  <pageSetup scale="59" fitToHeight="2" orientation="portrait" horizontalDpi="0" verticalDpi="0"/>
  <ignoredErrors>
    <ignoredError sqref="B6:E6 B4 B5 G4:J6 F4:F9 G2 I54 C29:D29 D10:D18 D53 D63 D78:D80 D33:D34 D41:D42 C67:F74 I65:J65" unlockedFormula="1"/>
    <ignoredError sqref="D81:D83 E54:H54 E56:J63 E31:J52 F75:J91 B64 B69:B74 B36 I106:J106 H101:J105 B33:C35 J95 G95:H95 G96:J98 J53:J54 B56:C63 B46:C54 F30:J30 C30:C31 E10:J18 B10:C18 B39:C44 B78:C83 C115:G115 C112:G112 C110:G110 B116:J116 C107:G107 C105:G105 C104:G104 C103:G103 C102:G102 C101:G101 C113:G113 C108:G108 B95:F96 C97:F97 C99:G99 B32:C32 B97 B100:J100 B99 H99:J99 B109:J109 B101 B102 B103 B104 B105 B107 B108 H107:J108 B114:J114 B110 B112 B113 H110:J110 B115 H115:J115 B77:C77 B94:F94 B98:F98 F92:F93 C92:D93 G92:J94 I55:J55 E53:I53 B84:D91 E29:J29 G69:J74 E75:E93 D64:J64 B19:J28 D30:D32 D75:D77 D54:D62 D35:D40 D43:D52 B65:F65 B67 B66:D66 F66:J66 G67:J67 H113 H112 J113 I111:J111 I112 J112 I113" evalError="1" unlockedFormula="1"/>
    <ignoredError sqref="B31 I95 B106:H106 B93 B45:C45 B30 E30 B55:C55 B37:C37 C36 B38:C38 B76:C76 C64 B75:C75 B92 E55:H55" evalError="1"/>
  </ignoredError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7820-1E5E-3C4E-B5E9-58507B228D77}">
  <sheetPr codeName="Sheet10">
    <pageSetUpPr fitToPage="1"/>
  </sheetPr>
  <dimension ref="A1:W114"/>
  <sheetViews>
    <sheetView zoomScale="110" zoomScaleNormal="110" workbookViewId="0">
      <selection activeCell="J9" sqref="J9"/>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88671875" style="611" hidden="1" customWidth="1"/>
    <col min="12" max="14" width="11.44140625" style="653" hidden="1" customWidth="1"/>
    <col min="15" max="23" width="11.44140625" style="611"/>
    <col min="24" max="16384" width="11.44140625" style="653"/>
  </cols>
  <sheetData>
    <row r="1" spans="2:14" ht="15.9" customHeight="1" thickBot="1">
      <c r="B1" s="741"/>
      <c r="C1" s="741"/>
      <c r="D1" s="742"/>
      <c r="E1" s="743"/>
      <c r="F1" s="744"/>
      <c r="G1" s="745"/>
      <c r="H1" s="745"/>
      <c r="I1" s="745"/>
      <c r="J1" s="745"/>
    </row>
    <row r="2" spans="2:14" ht="21.9" customHeight="1">
      <c r="B2" s="746" t="s">
        <v>488</v>
      </c>
      <c r="C2" s="746"/>
      <c r="D2" s="746"/>
      <c r="E2" s="746"/>
      <c r="F2" s="746"/>
      <c r="G2" s="746" t="str">
        <f>'AcresYieldsPrices&amp;Water'!B5</f>
        <v>Guar</v>
      </c>
      <c r="H2" s="746"/>
      <c r="I2" s="746"/>
      <c r="J2" s="747" t="s">
        <v>487</v>
      </c>
    </row>
    <row r="3" spans="2:14" ht="23.1" customHeight="1">
      <c r="B3" s="748" t="s">
        <v>22</v>
      </c>
      <c r="C3" s="748"/>
      <c r="D3" s="749"/>
      <c r="E3" s="750"/>
      <c r="F3" s="751" t="s">
        <v>1</v>
      </c>
      <c r="G3" s="752" t="s">
        <v>24</v>
      </c>
      <c r="H3" s="753"/>
      <c r="I3" s="752" t="s">
        <v>25</v>
      </c>
      <c r="J3" s="752" t="s">
        <v>0</v>
      </c>
    </row>
    <row r="4" spans="2:14" ht="20.100000000000001" customHeight="1">
      <c r="B4" s="754" t="str">
        <f>BASEBUDGETS!B27</f>
        <v>Guar</v>
      </c>
      <c r="C4" s="754"/>
      <c r="D4" s="754"/>
      <c r="E4" s="754"/>
      <c r="F4" s="755" t="str">
        <f>BASEBUDGETS!C27</f>
        <v>pound</v>
      </c>
      <c r="G4" s="756">
        <f>BASEBUDGETS!D27</f>
        <v>0.25</v>
      </c>
      <c r="I4" s="809">
        <f>IF(BASEBUDGETS!E27=0,0,BASEBUDGETS!E27/BASEBUDGETS!C23)</f>
        <v>1400</v>
      </c>
      <c r="J4" s="761">
        <f>G4*I4</f>
        <v>350</v>
      </c>
    </row>
    <row r="5" spans="2:14" ht="20.100000000000001" customHeight="1">
      <c r="B5" s="679" t="s">
        <v>27</v>
      </c>
      <c r="C5" s="679"/>
      <c r="D5" s="762"/>
      <c r="E5" s="763"/>
      <c r="F5" s="679"/>
      <c r="G5" s="764"/>
      <c r="H5" s="764"/>
      <c r="I5" s="764"/>
      <c r="J5" s="764">
        <f>SUM(J4:J4)</f>
        <v>350</v>
      </c>
    </row>
    <row r="6" spans="2:14" ht="20.100000000000001" customHeight="1">
      <c r="B6" s="660"/>
      <c r="C6" s="660"/>
      <c r="D6" s="765"/>
      <c r="E6" s="758"/>
      <c r="F6" s="660"/>
      <c r="G6" s="756"/>
      <c r="H6" s="756"/>
      <c r="I6" s="756"/>
      <c r="J6" s="756"/>
    </row>
    <row r="7" spans="2:14" ht="20.100000000000001" customHeight="1">
      <c r="B7" s="766" t="s">
        <v>76</v>
      </c>
      <c r="C7" s="766"/>
      <c r="D7" s="767" t="s">
        <v>45</v>
      </c>
      <c r="E7" s="768" t="s">
        <v>25</v>
      </c>
      <c r="F7" s="627" t="s">
        <v>1</v>
      </c>
      <c r="G7" s="767" t="s">
        <v>149</v>
      </c>
      <c r="H7" s="767" t="s">
        <v>8</v>
      </c>
      <c r="I7" s="767" t="s">
        <v>150</v>
      </c>
      <c r="J7" s="767" t="s">
        <v>7</v>
      </c>
    </row>
    <row r="8" spans="2:14" ht="20.100000000000001" customHeight="1">
      <c r="B8" s="754" t="s">
        <v>210</v>
      </c>
      <c r="C8" s="754"/>
      <c r="D8" s="765"/>
      <c r="E8" s="758"/>
      <c r="F8" s="769"/>
      <c r="G8" s="770"/>
      <c r="H8" s="770"/>
      <c r="I8" s="770"/>
    </row>
    <row r="9" spans="2:14" ht="20.100000000000001" customHeight="1">
      <c r="C9" s="660" t="str">
        <f>BASEBUDGETS!B62</f>
        <v>V Ripper, Custom</v>
      </c>
      <c r="D9" s="765">
        <f>CustomOperations!G5</f>
        <v>44.25</v>
      </c>
      <c r="E9" s="771">
        <f>BASEBUDGETS!E62/BASEBUDGETS!C23</f>
        <v>0</v>
      </c>
      <c r="F9" s="770" t="str">
        <f>BASEBUDGETS!C62</f>
        <v>acre</v>
      </c>
      <c r="G9" s="756">
        <v>0</v>
      </c>
      <c r="H9" s="756">
        <v>0</v>
      </c>
      <c r="I9" s="756">
        <f>IF(E9=0,0,BASEBUDGETS!D62*E9)</f>
        <v>0</v>
      </c>
      <c r="J9" s="765">
        <f>G9+H9+I9</f>
        <v>0</v>
      </c>
      <c r="L9" s="772">
        <f>N9*'AcresYieldsPrices&amp;Water'!D$5</f>
        <v>1410</v>
      </c>
      <c r="M9" s="611" t="s">
        <v>394</v>
      </c>
      <c r="N9" s="653">
        <f>IFERROR(I37,0)</f>
        <v>9.4</v>
      </c>
    </row>
    <row r="10" spans="2:14" ht="20.100000000000001" customHeight="1">
      <c r="C10" s="660" t="str">
        <f>BASEBUDGETS!B63</f>
        <v>Disk, Custom</v>
      </c>
      <c r="D10" s="765">
        <f>CustomOperations!G7</f>
        <v>0</v>
      </c>
      <c r="E10" s="771">
        <f>BASEBUDGETS!E63/BASEBUDGETS!C23</f>
        <v>0</v>
      </c>
      <c r="F10" s="770" t="str">
        <f>BASEBUDGETS!C63</f>
        <v>acre</v>
      </c>
      <c r="G10" s="756">
        <v>0</v>
      </c>
      <c r="H10" s="756">
        <v>0</v>
      </c>
      <c r="I10" s="756">
        <f>IF(E10=0,0,BASEBUDGETS!D63*E10)</f>
        <v>0</v>
      </c>
      <c r="J10" s="765">
        <f>G10+H10+I10</f>
        <v>0</v>
      </c>
      <c r="L10" s="772">
        <f>N10*'AcresYieldsPrices&amp;Water'!D$5</f>
        <v>1619.9999999999998</v>
      </c>
      <c r="M10" s="611" t="s">
        <v>395</v>
      </c>
      <c r="N10" s="653">
        <f>IFERROR(I44,0)</f>
        <v>10.799999999999999</v>
      </c>
    </row>
    <row r="11" spans="2:14" ht="20.100000000000001" customHeight="1">
      <c r="C11" s="660" t="str">
        <f>BASEBUDGETS!B64</f>
        <v>Drag, Custom</v>
      </c>
      <c r="D11" s="765">
        <f>CustomOperations!G9</f>
        <v>0</v>
      </c>
      <c r="E11" s="771">
        <f>BASEBUDGETS!E64/BASEBUDGETS!C23</f>
        <v>0</v>
      </c>
      <c r="F11" s="770" t="str">
        <f>BASEBUDGETS!C64</f>
        <v>acre</v>
      </c>
      <c r="G11" s="756">
        <v>0</v>
      </c>
      <c r="H11" s="756">
        <v>0</v>
      </c>
      <c r="I11" s="756">
        <f>IF(E11=0,0,BASEBUDGETS!D64*E11)</f>
        <v>0</v>
      </c>
      <c r="J11" s="765">
        <f t="shared" ref="J11:J34" si="0">G11+H11+I11</f>
        <v>0</v>
      </c>
      <c r="L11" s="772">
        <f>N11*'AcresYieldsPrices&amp;Water'!D$5</f>
        <v>0</v>
      </c>
      <c r="M11" s="611" t="s">
        <v>396</v>
      </c>
      <c r="N11" s="653">
        <f>IFERROR(I54,0)</f>
        <v>0</v>
      </c>
    </row>
    <row r="12" spans="2:14" ht="20.100000000000001" customHeight="1">
      <c r="C12" s="660" t="str">
        <f>BASEBUDGETS!B65</f>
        <v>Chisel, Custom</v>
      </c>
      <c r="D12" s="765">
        <f>CustomOperations!G11</f>
        <v>0</v>
      </c>
      <c r="E12" s="771">
        <f>BASEBUDGETS!E65/BASEBUDGETS!C23</f>
        <v>0</v>
      </c>
      <c r="F12" s="770" t="str">
        <f>BASEBUDGETS!C65</f>
        <v>acre</v>
      </c>
      <c r="G12" s="756">
        <v>0</v>
      </c>
      <c r="H12" s="756">
        <v>0</v>
      </c>
      <c r="I12" s="756">
        <f>IF(E12=0,0,BASEBUDGETS!D65*E12)</f>
        <v>0</v>
      </c>
      <c r="J12" s="765">
        <f t="shared" si="0"/>
        <v>0</v>
      </c>
      <c r="L12" s="772">
        <f>N12*'AcresYieldsPrices&amp;Water'!D$5</f>
        <v>150</v>
      </c>
      <c r="M12" s="611" t="s">
        <v>392</v>
      </c>
      <c r="N12" s="653">
        <f>IFERROR(E29+E30+E74+E75+E91+E92+E72+E69+E66,0)</f>
        <v>1</v>
      </c>
    </row>
    <row r="13" spans="2:14" ht="20.100000000000001" customHeight="1">
      <c r="C13" s="660" t="str">
        <f>BASEBUDGETS!B66</f>
        <v>Moldboard Plow, Custom</v>
      </c>
      <c r="D13" s="765">
        <f>CustomOperations!G13</f>
        <v>0</v>
      </c>
      <c r="E13" s="771">
        <f>BASEBUDGETS!E66/BASEBUDGETS!C23</f>
        <v>0</v>
      </c>
      <c r="F13" s="770" t="str">
        <f>BASEBUDGETS!C66</f>
        <v>acre</v>
      </c>
      <c r="G13" s="756">
        <v>0</v>
      </c>
      <c r="H13" s="756">
        <v>0</v>
      </c>
      <c r="I13" s="756">
        <f>IF(E13=0,0,BASEBUDGETS!D66*E13)</f>
        <v>0</v>
      </c>
      <c r="J13" s="765">
        <f t="shared" si="0"/>
        <v>0</v>
      </c>
      <c r="L13" s="772">
        <f>N13*'AcresYieldsPrices&amp;Water'!D$5</f>
        <v>0</v>
      </c>
      <c r="M13" s="611" t="s">
        <v>393</v>
      </c>
      <c r="N13" s="653">
        <f>IFERROR(((SUM(G18:G28)+G36+G34+G35+G43+G42+G53+G63+SUM(G80:G90))/[2]GeneralInputPrices!$D$20),0)</f>
        <v>0</v>
      </c>
    </row>
    <row r="14" spans="2:14" ht="20.100000000000001" customHeight="1">
      <c r="C14" s="660" t="str">
        <f>BASEBUDGETS!B67</f>
        <v>Landplane, Custom</v>
      </c>
      <c r="D14" s="765">
        <f>CustomOperations!G15</f>
        <v>17.940000000000001</v>
      </c>
      <c r="E14" s="771">
        <f>BASEBUDGETS!E67/BASEBUDGETS!C23</f>
        <v>0</v>
      </c>
      <c r="F14" s="770" t="str">
        <f>BASEBUDGETS!C67</f>
        <v>acre</v>
      </c>
      <c r="G14" s="756">
        <v>0</v>
      </c>
      <c r="H14" s="756">
        <v>0</v>
      </c>
      <c r="I14" s="756">
        <f>IF(E14=0,0,BASEBUDGETS!D67*E14)</f>
        <v>0</v>
      </c>
      <c r="J14" s="765">
        <f t="shared" si="0"/>
        <v>0</v>
      </c>
      <c r="L14" s="772">
        <f>N14*'AcresYieldsPrices&amp;Water'!D$5</f>
        <v>7239.1967600471662</v>
      </c>
      <c r="M14" s="611" t="s">
        <v>186</v>
      </c>
      <c r="N14" s="653">
        <f>IFERROR(H96,0)</f>
        <v>48.261311733647773</v>
      </c>
    </row>
    <row r="15" spans="2:14" ht="20.100000000000001" customHeight="1">
      <c r="C15" s="660" t="str">
        <f>BASEBUDGETS!B68</f>
        <v>Float, Custom</v>
      </c>
      <c r="D15" s="765">
        <f>CustomOperations!G17</f>
        <v>17.940000000000001</v>
      </c>
      <c r="E15" s="771">
        <f>BASEBUDGETS!E68/BASEBUDGETS!C23</f>
        <v>0</v>
      </c>
      <c r="F15" s="770" t="str">
        <f>BASEBUDGETS!C68</f>
        <v>acre</v>
      </c>
      <c r="G15" s="756">
        <v>0</v>
      </c>
      <c r="H15" s="756">
        <v>0</v>
      </c>
      <c r="I15" s="756">
        <f>IF(E15=0,0,BASEBUDGETS!D68*E15)</f>
        <v>0</v>
      </c>
      <c r="J15" s="765">
        <f t="shared" si="0"/>
        <v>0</v>
      </c>
      <c r="L15" s="772">
        <f>N15*'AcresYieldsPrices&amp;Water'!D$5</f>
        <v>56487.88327129768</v>
      </c>
      <c r="M15" s="611" t="s">
        <v>401</v>
      </c>
      <c r="N15" s="653">
        <f>IFERROR(J109,0)</f>
        <v>376.58588847531786</v>
      </c>
    </row>
    <row r="16" spans="2:14" ht="20.100000000000001" customHeight="1">
      <c r="C16" s="660" t="str">
        <f>BASEBUDGETS!B69</f>
        <v>Lister, Custom</v>
      </c>
      <c r="D16" s="765">
        <f>CustomOperations!G19</f>
        <v>20.38</v>
      </c>
      <c r="E16" s="771">
        <f>BASEBUDGETS!E69/BASEBUDGETS!C23</f>
        <v>0</v>
      </c>
      <c r="F16" s="770" t="str">
        <f>BASEBUDGETS!C69</f>
        <v>acre</v>
      </c>
      <c r="G16" s="756">
        <v>0</v>
      </c>
      <c r="H16" s="756">
        <v>0</v>
      </c>
      <c r="I16" s="756">
        <f>IF(E16=0,0,BASEBUDGETS!D69*E16)</f>
        <v>0</v>
      </c>
      <c r="J16" s="765">
        <f t="shared" si="0"/>
        <v>0</v>
      </c>
      <c r="L16" s="772">
        <f>N16*'AcresYieldsPrices&amp;Water'!D$5</f>
        <v>3750</v>
      </c>
      <c r="M16" s="611" t="s">
        <v>405</v>
      </c>
      <c r="N16" s="653">
        <f>IFERROR((J79+J78+J77+J62+J52+J41+J40+J33+J32+SUM(J9:J17)),0)</f>
        <v>25</v>
      </c>
    </row>
    <row r="17" spans="2:10" ht="20.100000000000001" customHeight="1">
      <c r="C17" s="660" t="str">
        <f>BASEBUDGETS!B70</f>
        <v>Bed Shape, Custom</v>
      </c>
      <c r="D17" s="765">
        <f>CustomOperations!G21</f>
        <v>13.69</v>
      </c>
      <c r="E17" s="771">
        <f>BASEBUDGETS!E70/BASEBUDGETS!C23</f>
        <v>0</v>
      </c>
      <c r="F17" s="770" t="str">
        <f>BASEBUDGETS!C70</f>
        <v>acre</v>
      </c>
      <c r="G17" s="756">
        <v>0</v>
      </c>
      <c r="H17" s="756">
        <v>0</v>
      </c>
      <c r="I17" s="756">
        <f>IF(E17=0,0,BASEBUDGETS!D70*E17)</f>
        <v>0</v>
      </c>
      <c r="J17" s="765">
        <f t="shared" si="0"/>
        <v>0</v>
      </c>
    </row>
    <row r="18" spans="2:10" ht="20.100000000000001" customHeight="1">
      <c r="C18" s="660" t="str">
        <f>TillageOperations!$B$7</f>
        <v>V-Ripper</v>
      </c>
      <c r="E18" s="771">
        <f>BASEBUDGETS!E74/BASEBUDGETS!C23</f>
        <v>0</v>
      </c>
      <c r="F18" s="770" t="str">
        <f>BASEBUDGETS!C74</f>
        <v>acre</v>
      </c>
      <c r="G18" s="756">
        <f>IF(E18=0,0,BASEBUDGETS!D75*E18)</f>
        <v>0</v>
      </c>
      <c r="H18" s="756">
        <f>IF(E18=0,0,BASEBUDGETS!D74*E18)</f>
        <v>0</v>
      </c>
      <c r="I18" s="756">
        <v>0</v>
      </c>
      <c r="J18" s="765">
        <f t="shared" si="0"/>
        <v>0</v>
      </c>
    </row>
    <row r="19" spans="2:10" ht="20.100000000000001" customHeight="1">
      <c r="C19" s="660" t="str">
        <f>TillageOperations!$B$8</f>
        <v>Offset Disk</v>
      </c>
      <c r="D19" s="765"/>
      <c r="E19" s="771">
        <f>BASEBUDGETS!E76/BASEBUDGETS!C23</f>
        <v>2</v>
      </c>
      <c r="F19" s="770" t="str">
        <f>BASEBUDGETS!C76</f>
        <v>acre</v>
      </c>
      <c r="G19" s="756">
        <f>IF(E19=0,0,BASEBUDGETS!D77*E19)</f>
        <v>9.4322004357298503</v>
      </c>
      <c r="H19" s="756">
        <f>IF(E19=0,0,BASEBUDGETS!D76*E19)</f>
        <v>20.664637135900115</v>
      </c>
      <c r="I19" s="756">
        <v>0</v>
      </c>
      <c r="J19" s="765">
        <f t="shared" si="0"/>
        <v>30.096837571629965</v>
      </c>
    </row>
    <row r="20" spans="2:10" ht="20.100000000000001" customHeight="1">
      <c r="C20" s="660" t="str">
        <f>TillageOperations!$B$9</f>
        <v>Drag</v>
      </c>
      <c r="D20" s="765"/>
      <c r="E20" s="771">
        <f>BASEBUDGETS!E78/BASEBUDGETS!C23</f>
        <v>0</v>
      </c>
      <c r="F20" s="770" t="str">
        <f>BASEBUDGETS!C78</f>
        <v>acre</v>
      </c>
      <c r="G20" s="756">
        <f>IF(E20=0,0,BASEBUDGETS!D79*E20)</f>
        <v>0</v>
      </c>
      <c r="H20" s="756">
        <f>IF(E20=0,0,BASEBUDGETS!D78*E20)</f>
        <v>0</v>
      </c>
      <c r="I20" s="756">
        <v>0</v>
      </c>
      <c r="J20" s="765">
        <f t="shared" si="0"/>
        <v>0</v>
      </c>
    </row>
    <row r="21" spans="2:10" ht="20.100000000000001" customHeight="1">
      <c r="C21" s="660" t="str">
        <f>TillageOperations!$B$10</f>
        <v>Chisel</v>
      </c>
      <c r="D21" s="765"/>
      <c r="E21" s="771">
        <f>BASEBUDGETS!E80/BASEBUDGETS!C23</f>
        <v>1</v>
      </c>
      <c r="F21" s="770" t="str">
        <f>BASEBUDGETS!C80</f>
        <v>acre</v>
      </c>
      <c r="G21" s="756">
        <f>IF(E21=0,0,BASEBUDGETS!D81*E21)</f>
        <v>3.9792095588235301</v>
      </c>
      <c r="H21" s="756">
        <f>IF(E21=0,0,BASEBUDGETS!D80*E21)</f>
        <v>8.5884820270019766</v>
      </c>
      <c r="I21" s="756">
        <v>0</v>
      </c>
      <c r="J21" s="765">
        <f t="shared" si="0"/>
        <v>12.567691585825507</v>
      </c>
    </row>
    <row r="22" spans="2:10" ht="20.100000000000001" customHeight="1">
      <c r="C22" s="660" t="str">
        <f>TillageOperations!$B$11</f>
        <v>Moldboard Plow</v>
      </c>
      <c r="D22" s="765"/>
      <c r="E22" s="771">
        <f>BASEBUDGETS!E82/BASEBUDGETS!C23</f>
        <v>0</v>
      </c>
      <c r="F22" s="770" t="str">
        <f>BASEBUDGETS!C82</f>
        <v>acre</v>
      </c>
      <c r="G22" s="756">
        <f>IF(E22=0,0,BASEBUDGETS!D83*E22)</f>
        <v>0</v>
      </c>
      <c r="H22" s="756">
        <f>IF(E22=0,0,BASEBUDGETS!D82*E22)</f>
        <v>0</v>
      </c>
      <c r="I22" s="756">
        <v>0</v>
      </c>
      <c r="J22" s="765">
        <f t="shared" si="0"/>
        <v>0</v>
      </c>
    </row>
    <row r="23" spans="2:10" ht="20.100000000000001" customHeight="1">
      <c r="C23" s="660" t="str">
        <f>TillageOperations!$B$12</f>
        <v>Cultivator</v>
      </c>
      <c r="D23" s="765"/>
      <c r="E23" s="771">
        <f>BASEBUDGETS!E84/BASEBUDGETS!C23</f>
        <v>0</v>
      </c>
      <c r="F23" s="770" t="str">
        <f>BASEBUDGETS!C84</f>
        <v>acre</v>
      </c>
      <c r="G23" s="756">
        <f>IF(E23=0,0,BASEBUDGETS!D85*E23)</f>
        <v>0</v>
      </c>
      <c r="H23" s="756">
        <f>IF(E23=0,0,BASEBUDGETS!D84*E23)</f>
        <v>0</v>
      </c>
      <c r="I23" s="756">
        <v>0</v>
      </c>
      <c r="J23" s="765">
        <f t="shared" si="0"/>
        <v>0</v>
      </c>
    </row>
    <row r="24" spans="2:10" ht="20.100000000000001" customHeight="1">
      <c r="C24" s="660" t="str">
        <f>TillageOperations!$B$13</f>
        <v>Landplane</v>
      </c>
      <c r="D24" s="765"/>
      <c r="E24" s="771">
        <f>BASEBUDGETS!E86/BASEBUDGETS!C23</f>
        <v>0</v>
      </c>
      <c r="F24" s="770" t="str">
        <f>BASEBUDGETS!C86</f>
        <v>acre</v>
      </c>
      <c r="G24" s="756">
        <f>IF(E24=0,0,BASEBUDGETS!D87*E24)</f>
        <v>0</v>
      </c>
      <c r="H24" s="756">
        <f>IF(E24=0,0,BASEBUDGETS!D86*E24)</f>
        <v>0</v>
      </c>
      <c r="I24" s="756">
        <v>0</v>
      </c>
      <c r="J24" s="765">
        <f t="shared" si="0"/>
        <v>0</v>
      </c>
    </row>
    <row r="25" spans="2:10" ht="20.100000000000001" customHeight="1">
      <c r="C25" s="660" t="str">
        <f>TillageOperations!$B$14</f>
        <v>Float</v>
      </c>
      <c r="D25" s="765"/>
      <c r="E25" s="771">
        <f>BASEBUDGETS!E88/BASEBUDGETS!C23</f>
        <v>0</v>
      </c>
      <c r="F25" s="770" t="str">
        <f>BASEBUDGETS!C88</f>
        <v>acre</v>
      </c>
      <c r="G25" s="756">
        <f>IF(E25=0,0,BASEBUDGETS!D89*E25)</f>
        <v>0</v>
      </c>
      <c r="H25" s="756">
        <f>IF(E25=0,0,BASEBUDGETS!D88*E25)</f>
        <v>0</v>
      </c>
      <c r="I25" s="756">
        <v>0</v>
      </c>
      <c r="J25" s="765">
        <f t="shared" si="0"/>
        <v>0</v>
      </c>
    </row>
    <row r="26" spans="2:10" ht="20.100000000000001" customHeight="1">
      <c r="C26" s="660" t="str">
        <f>TillageOperations!$B$15</f>
        <v>Lister</v>
      </c>
      <c r="D26" s="765"/>
      <c r="E26" s="771">
        <f>BASEBUDGETS!E90/BASEBUDGETS!C23</f>
        <v>0</v>
      </c>
      <c r="F26" s="770" t="str">
        <f>BASEBUDGETS!C90</f>
        <v>acre</v>
      </c>
      <c r="G26" s="756">
        <f>IF(E26=0,0,BASEBUDGETS!D91*E26)</f>
        <v>0</v>
      </c>
      <c r="H26" s="756">
        <f>IF(E26=0,0,BASEBUDGETS!D90*E26)</f>
        <v>0</v>
      </c>
      <c r="I26" s="756">
        <v>0</v>
      </c>
      <c r="J26" s="765">
        <f t="shared" si="0"/>
        <v>0</v>
      </c>
    </row>
    <row r="27" spans="2:10" ht="20.100000000000001" customHeight="1">
      <c r="C27" s="660" t="str">
        <f>TillageOperations!$B$16</f>
        <v>Bed Shaper</v>
      </c>
      <c r="D27" s="765"/>
      <c r="E27" s="771">
        <f>BASEBUDGETS!E92/BASEBUDGETS!C23</f>
        <v>0</v>
      </c>
      <c r="F27" s="770" t="str">
        <f>BASEBUDGETS!C92</f>
        <v>acre</v>
      </c>
      <c r="G27" s="756">
        <f>IF(E27=0,0,BASEBUDGETS!D93*E27)</f>
        <v>0</v>
      </c>
      <c r="H27" s="756">
        <f>IF(E27=0,0,BASEBUDGETS!D92*E27)</f>
        <v>0</v>
      </c>
      <c r="I27" s="756">
        <v>0</v>
      </c>
      <c r="J27" s="765">
        <f t="shared" si="0"/>
        <v>0</v>
      </c>
    </row>
    <row r="28" spans="2:10" ht="20.100000000000001" customHeight="1">
      <c r="C28" s="660" t="str">
        <f>TillageOperations!$B$17</f>
        <v>Cotton Shredder/Root Puller</v>
      </c>
      <c r="D28" s="765"/>
      <c r="E28" s="771">
        <f>BASEBUDGETS!E106/BASEBUDGETS!C23</f>
        <v>0</v>
      </c>
      <c r="F28" s="770" t="str">
        <f>BASEBUDGETS!C106</f>
        <v>acre</v>
      </c>
      <c r="G28" s="756">
        <f>IF(E28=0,0,BASEBUDGETS!D107*E28)</f>
        <v>0</v>
      </c>
      <c r="H28" s="756">
        <f>IF(E28=0,0,BASEBUDGETS!D106*E28)</f>
        <v>0</v>
      </c>
      <c r="I28" s="756">
        <v>0</v>
      </c>
      <c r="J28" s="765">
        <f>G28+H28+I28</f>
        <v>0</v>
      </c>
    </row>
    <row r="29" spans="2:10" ht="20.100000000000001" customHeight="1">
      <c r="C29" s="660" t="str">
        <f>BASEBUDGETS!B131</f>
        <v>Additional Land Prep. Labor</v>
      </c>
      <c r="D29" s="765">
        <f>GeneralInputPrices!$D$30</f>
        <v>14.55</v>
      </c>
      <c r="E29" s="758">
        <f>BASEBUDGETS!E131/BASEBUDGETS!C23</f>
        <v>0</v>
      </c>
      <c r="F29" s="773" t="str">
        <f>BASEBUDGETS!C131</f>
        <v>hour</v>
      </c>
      <c r="G29" s="756">
        <f>D29*E29</f>
        <v>0</v>
      </c>
      <c r="H29" s="756">
        <v>0</v>
      </c>
      <c r="I29" s="756">
        <v>0</v>
      </c>
      <c r="J29" s="765">
        <f t="shared" ref="J29" si="1">G29+H29+I29</f>
        <v>0</v>
      </c>
    </row>
    <row r="30" spans="2:10" ht="20.100000000000001" customHeight="1">
      <c r="C30" s="660" t="str">
        <f>BASEBUDGETS!B132</f>
        <v>Additional Land Prep. Labor</v>
      </c>
      <c r="D30" s="765">
        <f>GeneralInputPrices!$D$30</f>
        <v>14.55</v>
      </c>
      <c r="E30" s="758">
        <f>BASEBUDGETS!E132/BASEBUDGETS!C23</f>
        <v>0</v>
      </c>
      <c r="F30" s="773" t="str">
        <f>BASEBUDGETS!C132</f>
        <v>hour</v>
      </c>
      <c r="G30" s="756">
        <f>D30*E30</f>
        <v>0</v>
      </c>
      <c r="H30" s="756">
        <v>0</v>
      </c>
      <c r="I30" s="756">
        <v>0</v>
      </c>
      <c r="J30" s="765">
        <f t="shared" ref="J30" si="2">G30+H30+I30</f>
        <v>0</v>
      </c>
    </row>
    <row r="31" spans="2:10" ht="20.100000000000001" customHeight="1">
      <c r="B31" s="760" t="s">
        <v>175</v>
      </c>
      <c r="C31" s="760"/>
      <c r="D31" s="765"/>
    </row>
    <row r="32" spans="2:10" ht="20.100000000000001" customHeight="1">
      <c r="C32" s="660" t="str">
        <f>BASEBUDGETS!B59</f>
        <v>Drill, Custom</v>
      </c>
      <c r="D32" s="765">
        <f>CustomOperations!G24</f>
        <v>0</v>
      </c>
      <c r="E32" s="771">
        <f>BASEBUDGETS!E59/BASEBUDGETS!C23</f>
        <v>0</v>
      </c>
      <c r="F32" s="770" t="str">
        <f>BASEBUDGETS!C59</f>
        <v>acre</v>
      </c>
      <c r="G32" s="756">
        <v>0</v>
      </c>
      <c r="H32" s="756">
        <v>0</v>
      </c>
      <c r="I32" s="756">
        <f>IF(E32=0,0,(BASEBUDGETS!D59*E32))</f>
        <v>0</v>
      </c>
      <c r="J32" s="765">
        <f t="shared" si="0"/>
        <v>0</v>
      </c>
    </row>
    <row r="33" spans="3:10" ht="20.100000000000001" customHeight="1">
      <c r="C33" s="660" t="str">
        <f>BASEBUDGETS!B60</f>
        <v>Row Planter, Custom</v>
      </c>
      <c r="D33" s="765">
        <f>CustomOperations!G26</f>
        <v>0</v>
      </c>
      <c r="E33" s="771">
        <f>BASEBUDGETS!E60/BASEBUDGETS!C23</f>
        <v>0</v>
      </c>
      <c r="F33" s="770" t="str">
        <f>BASEBUDGETS!C60</f>
        <v>acre</v>
      </c>
      <c r="G33" s="756">
        <v>0</v>
      </c>
      <c r="H33" s="756">
        <v>0</v>
      </c>
      <c r="I33" s="756">
        <f>IF(E33=0,0,(BASEBUDGETS!D60*E33))</f>
        <v>0</v>
      </c>
      <c r="J33" s="765">
        <f t="shared" si="0"/>
        <v>0</v>
      </c>
    </row>
    <row r="34" spans="3:10" ht="20.100000000000001" customHeight="1">
      <c r="C34" s="782" t="str">
        <f>TillageOperations!$B$21</f>
        <v>Drill</v>
      </c>
      <c r="D34" s="765"/>
      <c r="E34" s="771">
        <f>BASEBUDGETS!E98/BASEBUDGETS!C23</f>
        <v>1</v>
      </c>
      <c r="F34" s="770" t="str">
        <f>BASEBUDGETS!C98</f>
        <v>acre</v>
      </c>
      <c r="G34" s="756">
        <f>IF(E34=0,0,BASEBUDGETS!D99*E34)</f>
        <v>5.4117250000000006</v>
      </c>
      <c r="H34" s="756">
        <f>IF(E34=0,0,BASEBUDGETS!D98*E34)</f>
        <v>7.6986395922631168</v>
      </c>
      <c r="I34" s="756">
        <v>0</v>
      </c>
      <c r="J34" s="765">
        <f t="shared" si="0"/>
        <v>13.110364592263117</v>
      </c>
    </row>
    <row r="35" spans="3:10" ht="20.100000000000001" customHeight="1">
      <c r="C35" s="660" t="str">
        <f>TillageOperations!$B$19</f>
        <v>Row Planter</v>
      </c>
      <c r="D35" s="765"/>
      <c r="E35" s="771">
        <f>BASEBUDGETS!E94/BASEBUDGETS!C23</f>
        <v>0</v>
      </c>
      <c r="F35" s="770" t="str">
        <f>BASEBUDGETS!C94</f>
        <v>acre</v>
      </c>
      <c r="G35" s="756">
        <f>IF(E35=0,0,BASEBUDGETS!D95*E35)</f>
        <v>0</v>
      </c>
      <c r="H35" s="756">
        <f>IF(E35=0,0,BASEBUDGETS!D94*E35)</f>
        <v>0</v>
      </c>
      <c r="I35" s="756">
        <v>0</v>
      </c>
      <c r="J35" s="765">
        <f>G35+H35+I35</f>
        <v>0</v>
      </c>
    </row>
    <row r="36" spans="3:10" ht="20.100000000000001" customHeight="1">
      <c r="C36" s="660" t="str">
        <f>TillageOperations!$B$22</f>
        <v>Transplanter</v>
      </c>
      <c r="D36" s="765"/>
      <c r="E36" s="771">
        <f>BASEBUDGETS!E129/BASEBUDGETS!C23</f>
        <v>0</v>
      </c>
      <c r="F36" s="770" t="str">
        <f>BASEBUDGETS!C129</f>
        <v>acre</v>
      </c>
      <c r="G36" s="756">
        <f>IF(E36=0,0,BASEBUDGETS!D130*E36)</f>
        <v>0</v>
      </c>
      <c r="H36" s="756">
        <f>IF(E36=0,0,BASEBUDGETS!D129*E36)</f>
        <v>0</v>
      </c>
      <c r="I36" s="756">
        <v>0</v>
      </c>
      <c r="J36" s="765">
        <f>G36+H36+I36</f>
        <v>0</v>
      </c>
    </row>
    <row r="37" spans="3:10" ht="20.100000000000001" customHeight="1">
      <c r="C37" s="660" t="s">
        <v>439</v>
      </c>
      <c r="D37" s="765"/>
      <c r="E37" s="771"/>
      <c r="F37" s="770"/>
      <c r="G37" s="756">
        <v>0</v>
      </c>
      <c r="H37" s="756">
        <v>0</v>
      </c>
      <c r="I37" s="756">
        <f>(D38*E38)+(D39*E39)</f>
        <v>9.4</v>
      </c>
      <c r="J37" s="765">
        <f>G37+H37+I37</f>
        <v>9.4</v>
      </c>
    </row>
    <row r="38" spans="3:10" ht="20.100000000000001" customHeight="1">
      <c r="C38" s="660" t="str">
        <f>BASEBUDGETS!B31</f>
        <v xml:space="preserve">   - Seed</v>
      </c>
      <c r="D38" s="765">
        <f>BASEBUDGETS!D31</f>
        <v>0.34</v>
      </c>
      <c r="E38" s="775">
        <f>BASEBUDGETS!E31/BASEBUDGETS!C23</f>
        <v>10</v>
      </c>
      <c r="F38" s="769" t="str">
        <f>BASEBUDGETS!C31</f>
        <v>pounds</v>
      </c>
    </row>
    <row r="39" spans="3:10" ht="20.100000000000001" customHeight="1">
      <c r="C39" s="660" t="str">
        <f>BASEBUDGETS!B32</f>
        <v xml:space="preserve">   - Inoculant</v>
      </c>
      <c r="D39" s="765">
        <f>BASEBUDGETS!D32</f>
        <v>3</v>
      </c>
      <c r="E39" s="775">
        <f>BASEBUDGETS!E32/BASEBUDGETS!C23</f>
        <v>2</v>
      </c>
      <c r="F39" s="769" t="str">
        <f>BASEBUDGETS!C32</f>
        <v>pounds</v>
      </c>
      <c r="G39" s="765"/>
      <c r="H39" s="765"/>
      <c r="I39" s="765"/>
      <c r="J39" s="765"/>
    </row>
    <row r="40" spans="3:10" ht="20.100000000000001" customHeight="1">
      <c r="C40" s="660" t="str">
        <f>BASEBUDGETS!B71</f>
        <v>Fertilizer Spreader, Custom</v>
      </c>
      <c r="D40" s="765">
        <f>CustomOperations!G32</f>
        <v>10.08</v>
      </c>
      <c r="E40" s="771">
        <f>BASEBUDGETS!E71/BASEBUDGETS!C23</f>
        <v>0</v>
      </c>
      <c r="F40" s="770" t="str">
        <f>BASEBUDGETS!C71</f>
        <v>acre</v>
      </c>
      <c r="G40" s="756">
        <v>0</v>
      </c>
      <c r="H40" s="756">
        <v>0</v>
      </c>
      <c r="I40" s="756">
        <f>IF(E40=0,0,BASEBUDGETS!D71*E40)</f>
        <v>0</v>
      </c>
      <c r="J40" s="765">
        <f>G40+H40+I40</f>
        <v>0</v>
      </c>
    </row>
    <row r="41" spans="3:10" ht="20.100000000000001" customHeight="1">
      <c r="C41" s="660" t="str">
        <f>BASEBUDGETS!B72</f>
        <v>Laser Landplaning, Custom</v>
      </c>
      <c r="D41" s="765">
        <f>CustomOperations!G34</f>
        <v>0</v>
      </c>
      <c r="E41" s="771">
        <f>BASEBUDGETS!E72/BASEBUDGETS!C23</f>
        <v>0</v>
      </c>
      <c r="F41" s="770" t="str">
        <f>BASEBUDGETS!C72</f>
        <v>acre</v>
      </c>
      <c r="G41" s="756">
        <v>0</v>
      </c>
      <c r="H41" s="756">
        <v>0</v>
      </c>
      <c r="I41" s="756">
        <f>IF(E41=0,0,BASEBUDGETS!D72*E41)</f>
        <v>0</v>
      </c>
      <c r="J41" s="765">
        <f>G41+H41+I41</f>
        <v>0</v>
      </c>
    </row>
    <row r="42" spans="3:10" ht="20.100000000000001" customHeight="1">
      <c r="C42" s="660" t="str">
        <f>TillageOperations!$B$23</f>
        <v>Fertilizer Spreader</v>
      </c>
      <c r="D42" s="765"/>
      <c r="E42" s="771">
        <f>BASEBUDGETS!E123/BASEBUDGETS!C23</f>
        <v>0</v>
      </c>
      <c r="F42" s="770" t="str">
        <f>BASEBUDGETS!C123</f>
        <v>acre</v>
      </c>
      <c r="G42" s="756">
        <f>IF(E42=0,0,BASEBUDGETS!D124*E42)</f>
        <v>0</v>
      </c>
      <c r="H42" s="756">
        <f>IF(E42=0,0,BASEBUDGETS!D123*E42)</f>
        <v>0</v>
      </c>
      <c r="I42" s="756">
        <v>0</v>
      </c>
      <c r="J42" s="765">
        <f>G42+H42+I42</f>
        <v>0</v>
      </c>
    </row>
    <row r="43" spans="3:10" ht="20.100000000000001" customHeight="1">
      <c r="C43" s="660" t="str">
        <f>TillageOperations!$B$24</f>
        <v>Fertilizer Injection System</v>
      </c>
      <c r="D43" s="765"/>
      <c r="E43" s="771">
        <f>BASEBUDGETS!E125/BASEBUDGETS!C23</f>
        <v>0</v>
      </c>
      <c r="F43" s="770" t="str">
        <f>BASEBUDGETS!C125</f>
        <v>acre</v>
      </c>
      <c r="G43" s="756">
        <f>IF(E43=0,0,BASEBUDGETS!D126*E43)</f>
        <v>0</v>
      </c>
      <c r="H43" s="756">
        <f>IF(E43=0,0,BASEBUDGETS!D125*E43)</f>
        <v>0</v>
      </c>
      <c r="I43" s="756">
        <v>0</v>
      </c>
      <c r="J43" s="765">
        <f>G43+H43+I43</f>
        <v>0</v>
      </c>
    </row>
    <row r="44" spans="3:10" ht="20.100000000000001" customHeight="1">
      <c r="C44" s="660" t="s">
        <v>407</v>
      </c>
      <c r="D44" s="765"/>
      <c r="E44" s="771"/>
      <c r="F44" s="770"/>
      <c r="G44" s="756">
        <v>0</v>
      </c>
      <c r="H44" s="756">
        <v>0</v>
      </c>
      <c r="I44" s="756">
        <f>(D45*E45)+(D46*E46)+(D47*E47)+(D48*E48)+(D49*E49)+(D50*E50)+(D51*E51)</f>
        <v>10.799999999999999</v>
      </c>
      <c r="J44" s="765">
        <f>G44+H44+I44</f>
        <v>10.799999999999999</v>
      </c>
    </row>
    <row r="45" spans="3:10" ht="20.100000000000001" customHeight="1">
      <c r="C45" s="660" t="str">
        <f>BASEBUDGETS!B33</f>
        <v xml:space="preserve">   - Nitrogen</v>
      </c>
      <c r="D45" s="765">
        <f>BASEBUDGETS!D33</f>
        <v>0.46</v>
      </c>
      <c r="E45" s="775">
        <f>BASEBUDGETS!E33/BASEBUDGETS!C23</f>
        <v>0</v>
      </c>
      <c r="F45" s="769" t="str">
        <f>BASEBUDGETS!C33</f>
        <v>pounds</v>
      </c>
      <c r="G45" s="611"/>
      <c r="H45" s="611"/>
      <c r="I45" s="611"/>
      <c r="J45" s="611"/>
    </row>
    <row r="46" spans="3:10" ht="20.100000000000001" customHeight="1">
      <c r="C46" s="660" t="str">
        <f>BASEBUDGETS!B34</f>
        <v xml:space="preserve">   - Phosphorus</v>
      </c>
      <c r="D46" s="765">
        <f>BASEBUDGETS!D34</f>
        <v>0.36</v>
      </c>
      <c r="E46" s="775">
        <f>BASEBUDGETS!E34/BASEBUDGETS!C23</f>
        <v>30</v>
      </c>
      <c r="F46" s="769" t="str">
        <f>BASEBUDGETS!C34</f>
        <v>pounds</v>
      </c>
      <c r="G46" s="765"/>
      <c r="H46" s="765"/>
      <c r="I46" s="765"/>
      <c r="J46" s="765"/>
    </row>
    <row r="47" spans="3:10" ht="20.100000000000001" customHeight="1">
      <c r="C47" s="660" t="str">
        <f>BASEBUDGETS!B35</f>
        <v xml:space="preserve">   - Anhydrous Ammonia</v>
      </c>
      <c r="D47" s="765">
        <f>BASEBUDGETS!D35</f>
        <v>0.21</v>
      </c>
      <c r="E47" s="775">
        <f>BASEBUDGETS!E35/BASEBUDGETS!C23</f>
        <v>0</v>
      </c>
      <c r="F47" s="769" t="str">
        <f>BASEBUDGETS!C35</f>
        <v>pounds</v>
      </c>
      <c r="G47" s="765"/>
      <c r="H47" s="765"/>
      <c r="I47" s="765"/>
      <c r="J47" s="765"/>
    </row>
    <row r="48" spans="3:10" ht="20.100000000000001" customHeight="1">
      <c r="C48" s="660" t="str">
        <f>BASEBUDGETS!B36</f>
        <v xml:space="preserve">   - Trace Elements</v>
      </c>
      <c r="D48" s="765">
        <f>BASEBUDGETS!D36</f>
        <v>0.24</v>
      </c>
      <c r="E48" s="775">
        <f>BASEBUDGETS!E36/BASEBUDGETS!C23</f>
        <v>0</v>
      </c>
      <c r="F48" s="769" t="str">
        <f>BASEBUDGETS!C36</f>
        <v>pounds</v>
      </c>
      <c r="G48" s="765"/>
      <c r="H48" s="765"/>
      <c r="I48" s="765"/>
      <c r="J48" s="765"/>
    </row>
    <row r="49" spans="3:10" ht="20.100000000000001" customHeight="1">
      <c r="C49" s="660" t="str">
        <f>BASEBUDGETS!B37</f>
        <v xml:space="preserve">   - Nitrogen</v>
      </c>
      <c r="D49" s="765">
        <f>BASEBUDGETS!D37</f>
        <v>0</v>
      </c>
      <c r="E49" s="775">
        <f>BASEBUDGETS!E37/BASEBUDGETS!C23</f>
        <v>1</v>
      </c>
      <c r="F49" s="769" t="str">
        <f>BASEBUDGETS!C37</f>
        <v>acre</v>
      </c>
      <c r="G49" s="765"/>
      <c r="H49" s="765"/>
      <c r="I49" s="765"/>
      <c r="J49" s="765"/>
    </row>
    <row r="50" spans="3:10" ht="20.100000000000001" customHeight="1">
      <c r="C50" s="660" t="str">
        <f>BASEBUDGETS!B38</f>
        <v xml:space="preserve">   - Phosphorus</v>
      </c>
      <c r="D50" s="765">
        <f>BASEBUDGETS!D38</f>
        <v>0</v>
      </c>
      <c r="E50" s="775">
        <f>BASEBUDGETS!E38/BASEBUDGETS!C23</f>
        <v>1</v>
      </c>
      <c r="F50" s="769" t="str">
        <f>BASEBUDGETS!C38</f>
        <v>acre</v>
      </c>
      <c r="G50" s="765"/>
      <c r="H50" s="765"/>
      <c r="I50" s="765"/>
      <c r="J50" s="765"/>
    </row>
    <row r="51" spans="3:10" ht="20.100000000000001" customHeight="1">
      <c r="C51" s="660" t="str">
        <f>BASEBUDGETS!B39</f>
        <v xml:space="preserve">   - Fertilizer - Anhydrous Applicator</v>
      </c>
      <c r="D51" s="765">
        <f>BASEBUDGETS!D39</f>
        <v>0</v>
      </c>
      <c r="E51" s="775">
        <f>BASEBUDGETS!E39/BASEBUDGETS!C23</f>
        <v>1</v>
      </c>
      <c r="F51" s="769" t="str">
        <f>BASEBUDGETS!C39</f>
        <v>acre</v>
      </c>
      <c r="G51" s="765"/>
      <c r="H51" s="765"/>
      <c r="I51" s="765"/>
      <c r="J51" s="765"/>
    </row>
    <row r="52" spans="3:10" ht="20.100000000000001" customHeight="1">
      <c r="C52" s="660" t="str">
        <f>BASEBUDGETS!B73</f>
        <v>Boom Sprayer, Custom</v>
      </c>
      <c r="D52" s="765">
        <f>CustomOperations!G30</f>
        <v>10.050000000000001</v>
      </c>
      <c r="E52" s="771">
        <f>BASEBUDGETS!E73/BASEBUDGETS!C23</f>
        <v>0</v>
      </c>
      <c r="F52" s="770" t="str">
        <f>BASEBUDGETS!C73</f>
        <v>acre</v>
      </c>
      <c r="G52" s="756">
        <v>0</v>
      </c>
      <c r="H52" s="756">
        <v>0</v>
      </c>
      <c r="I52" s="756">
        <f>IF(E52=0,0,BASEBUDGETS!D73*E52)</f>
        <v>0</v>
      </c>
      <c r="J52" s="765">
        <f>G52+H52+I52</f>
        <v>0</v>
      </c>
    </row>
    <row r="53" spans="3:10" ht="20.100000000000001" customHeight="1">
      <c r="C53" s="660" t="str">
        <f>TillageOperations!$B$25</f>
        <v>Boom Sprayer</v>
      </c>
      <c r="D53" s="765"/>
      <c r="E53" s="771">
        <f>BASEBUDGETS!E127/BASEBUDGETS!C23</f>
        <v>2</v>
      </c>
      <c r="F53" s="770" t="str">
        <f>BASEBUDGETS!C127</f>
        <v>acre</v>
      </c>
      <c r="G53" s="756">
        <f>IF(E53=0,0,BASEBUDGETS!D128*E53)</f>
        <v>2.3787802197802197</v>
      </c>
      <c r="H53" s="756">
        <f>IF(E53=0,0,BASEBUDGETS!D127*E53)</f>
        <v>3.1992614096936229</v>
      </c>
      <c r="I53" s="756">
        <v>0</v>
      </c>
      <c r="J53" s="765">
        <f>G53+H53+I53</f>
        <v>5.5780416294738426</v>
      </c>
    </row>
    <row r="54" spans="3:10" ht="20.100000000000001" customHeight="1">
      <c r="C54" s="660" t="s">
        <v>408</v>
      </c>
      <c r="D54" s="765"/>
      <c r="E54" s="771"/>
      <c r="F54" s="770"/>
      <c r="G54" s="756">
        <v>0</v>
      </c>
      <c r="H54" s="756">
        <v>0</v>
      </c>
      <c r="I54" s="660">
        <f>(D55*E55)+(D56*E56)+(D57*E57)+(D58*E58)+(D59*E59)+(D60*E60)+(D61*E61)</f>
        <v>0</v>
      </c>
      <c r="J54" s="765">
        <f>G54+H54+I54</f>
        <v>0</v>
      </c>
    </row>
    <row r="55" spans="3:10" ht="20.100000000000001" customHeight="1">
      <c r="C55" s="660" t="str">
        <f>BASEBUDGETS!B40</f>
        <v xml:space="preserve">   - Prowl</v>
      </c>
      <c r="D55" s="765">
        <f>BASEBUDGETS!D40</f>
        <v>6.0625</v>
      </c>
      <c r="E55" s="775">
        <f>BASEBUDGETS!E40/BASEBUDGETS!C23</f>
        <v>0</v>
      </c>
      <c r="F55" s="769" t="str">
        <f>BASEBUDGETS!C40</f>
        <v>pints</v>
      </c>
      <c r="G55" s="765"/>
      <c r="H55" s="765"/>
      <c r="I55" s="765"/>
      <c r="J55" s="765"/>
    </row>
    <row r="56" spans="3:10" ht="20.100000000000001" customHeight="1">
      <c r="C56" s="660" t="str">
        <f>BASEBUDGETS!B41</f>
        <v xml:space="preserve">   - Aim</v>
      </c>
      <c r="D56" s="765">
        <f>BASEBUDGETS!D41</f>
        <v>5.9375</v>
      </c>
      <c r="E56" s="775">
        <f>BASEBUDGETS!E41/BASEBUDGETS!C23</f>
        <v>0</v>
      </c>
      <c r="F56" s="769" t="str">
        <f>BASEBUDGETS!C41</f>
        <v>ounces</v>
      </c>
      <c r="G56" s="765"/>
      <c r="H56" s="765"/>
      <c r="I56" s="765"/>
      <c r="J56" s="765"/>
    </row>
    <row r="57" spans="3:10" ht="20.100000000000001" customHeight="1">
      <c r="C57" s="660" t="str">
        <f>BASEBUDGETS!B42</f>
        <v xml:space="preserve">   - Fusilade</v>
      </c>
      <c r="D57" s="765">
        <f>BASEBUDGETS!D42</f>
        <v>1.25</v>
      </c>
      <c r="E57" s="775">
        <f>BASEBUDGETS!E42/BASEBUDGETS!C23</f>
        <v>0</v>
      </c>
      <c r="F57" s="769" t="str">
        <f>BASEBUDGETS!C42</f>
        <v>ounces</v>
      </c>
      <c r="G57" s="765"/>
      <c r="H57" s="765"/>
      <c r="I57" s="765"/>
      <c r="J57" s="765"/>
    </row>
    <row r="58" spans="3:10" ht="20.100000000000001" customHeight="1">
      <c r="C58" s="660" t="str">
        <f>BASEBUDGETS!B43</f>
        <v xml:space="preserve">   - Herbicides</v>
      </c>
      <c r="D58" s="765">
        <f>BASEBUDGETS!D43</f>
        <v>0</v>
      </c>
      <c r="E58" s="775">
        <f>BASEBUDGETS!E43/BASEBUDGETS!C23</f>
        <v>1</v>
      </c>
      <c r="F58" s="769" t="str">
        <f>BASEBUDGETS!C43</f>
        <v>acre</v>
      </c>
      <c r="G58" s="765"/>
      <c r="H58" s="765"/>
      <c r="I58" s="765"/>
      <c r="J58" s="765"/>
    </row>
    <row r="59" spans="3:10" ht="20.100000000000001" customHeight="1">
      <c r="C59" s="660" t="str">
        <f>BASEBUDGETS!B44</f>
        <v xml:space="preserve">   - Herbicide - #2</v>
      </c>
      <c r="D59" s="765">
        <f>BASEBUDGETS!D44</f>
        <v>0</v>
      </c>
      <c r="E59" s="775">
        <f>BASEBUDGETS!E44/BASEBUDGETS!C23</f>
        <v>1</v>
      </c>
      <c r="F59" s="769" t="str">
        <f>BASEBUDGETS!C44</f>
        <v>acre</v>
      </c>
      <c r="G59" s="765"/>
      <c r="H59" s="765"/>
      <c r="I59" s="765"/>
      <c r="J59" s="765"/>
    </row>
    <row r="60" spans="3:10" ht="20.100000000000001" customHeight="1">
      <c r="C60" s="660" t="str">
        <f>BASEBUDGETS!B45</f>
        <v xml:space="preserve">   - Insecticides</v>
      </c>
      <c r="D60" s="765">
        <f>BASEBUDGETS!D45</f>
        <v>0</v>
      </c>
      <c r="E60" s="775">
        <f>BASEBUDGETS!E45/BASEBUDGETS!C23</f>
        <v>1</v>
      </c>
      <c r="F60" s="769" t="str">
        <f>BASEBUDGETS!C45</f>
        <v>acre</v>
      </c>
      <c r="G60" s="765"/>
      <c r="H60" s="765"/>
      <c r="I60" s="765"/>
      <c r="J60" s="765"/>
    </row>
    <row r="61" spans="3:10" ht="20.100000000000001" customHeight="1">
      <c r="C61" s="660" t="str">
        <f>BASEBUDGETS!B46</f>
        <v xml:space="preserve">   - Insecticide - #2</v>
      </c>
      <c r="D61" s="765">
        <f>BASEBUDGETS!D46</f>
        <v>0</v>
      </c>
      <c r="E61" s="775">
        <f>BASEBUDGETS!E46/BASEBUDGETS!C23</f>
        <v>1</v>
      </c>
      <c r="F61" s="769" t="str">
        <f>BASEBUDGETS!C46</f>
        <v>acre</v>
      </c>
      <c r="G61" s="765"/>
      <c r="H61" s="765"/>
      <c r="I61" s="765"/>
      <c r="J61" s="765"/>
    </row>
    <row r="62" spans="3:10" ht="20.100000000000001" customHeight="1">
      <c r="C62" s="660" t="str">
        <f>BASEBUDGETS!B61</f>
        <v>Row Cultivator, Custom</v>
      </c>
      <c r="D62" s="765">
        <f>CustomOperations!G28</f>
        <v>0</v>
      </c>
      <c r="E62" s="771">
        <f>BASEBUDGETS!E61/BASEBUDGETS!C23</f>
        <v>0</v>
      </c>
      <c r="F62" s="770" t="str">
        <f>BASEBUDGETS!C61</f>
        <v>acre</v>
      </c>
      <c r="G62" s="756">
        <v>0</v>
      </c>
      <c r="H62" s="756">
        <v>0</v>
      </c>
      <c r="I62" s="756">
        <f>IF(E62=0,0,BASEBUDGETS!D61*E62)</f>
        <v>0</v>
      </c>
      <c r="J62" s="765">
        <f>G62+H62+I62</f>
        <v>0</v>
      </c>
    </row>
    <row r="63" spans="3:10" ht="20.100000000000001" customHeight="1">
      <c r="C63" s="660" t="str">
        <f>TillageOperations!$B$20</f>
        <v>Row Cultivator</v>
      </c>
      <c r="D63" s="765"/>
      <c r="E63" s="771">
        <f>BASEBUDGETS!E96/BASEBUDGETS!C23</f>
        <v>0</v>
      </c>
      <c r="F63" s="770" t="str">
        <f>BASEBUDGETS!C96</f>
        <v>acre</v>
      </c>
      <c r="G63" s="756">
        <f>IF(E63=0,0,BASEBUDGETS!D97*E63)</f>
        <v>0</v>
      </c>
      <c r="H63" s="756">
        <f>IF(E63=0,0,BASEBUDGETS!D96*E63)</f>
        <v>0</v>
      </c>
      <c r="I63" s="756">
        <v>0</v>
      </c>
      <c r="J63" s="765">
        <f>G63+H63+I63</f>
        <v>0</v>
      </c>
    </row>
    <row r="64" spans="3:10" ht="20.100000000000001" customHeight="1">
      <c r="C64" s="660" t="s">
        <v>151</v>
      </c>
      <c r="D64" s="765"/>
      <c r="E64" s="776" t="s">
        <v>10</v>
      </c>
      <c r="F64" s="777" t="s">
        <v>10</v>
      </c>
      <c r="G64" s="756">
        <f>(D66*E66)+(D69*E69)+(D72*E72)</f>
        <v>14.55</v>
      </c>
      <c r="H64" s="756">
        <v>0</v>
      </c>
      <c r="I64" s="678">
        <f>(D65*E65)+(D68*E68)+(D71*E71)+(D67*E67)+(D70*E70)+(D73*E73)</f>
        <v>58</v>
      </c>
      <c r="J64" s="765">
        <f>G64+H64+I64</f>
        <v>72.55</v>
      </c>
    </row>
    <row r="65" spans="2:10" ht="20.100000000000001" customHeight="1">
      <c r="B65" s="660"/>
      <c r="C65" s="660" t="str">
        <f>BASEBUDGETS!B47</f>
        <v>Flood - Irrigation Water</v>
      </c>
      <c r="D65" s="765">
        <f>BASEBUDGETS!D47</f>
        <v>55</v>
      </c>
      <c r="E65" s="775">
        <f>BASEBUDGETS!E47/BASEBUDGETS!C$23</f>
        <v>1</v>
      </c>
      <c r="F65" s="769" t="str">
        <f>BASEBUDGETS!C47</f>
        <v>ac ft</v>
      </c>
      <c r="G65" s="756"/>
      <c r="H65" s="756"/>
      <c r="I65" s="765"/>
      <c r="J65" s="765"/>
    </row>
    <row r="66" spans="2:10" ht="20.100000000000001" customHeight="1">
      <c r="B66" s="660"/>
      <c r="C66" s="660" t="str">
        <f>BASEBUDGETS!B48</f>
        <v>Flood - Irrigation Labor</v>
      </c>
      <c r="D66" s="765">
        <f>BASEBUDGETS!D48</f>
        <v>14.55</v>
      </c>
      <c r="E66" s="775">
        <f>BASEBUDGETS!E48/BASEBUDGETS!C$23</f>
        <v>1</v>
      </c>
      <c r="F66" s="769" t="str">
        <f>BASEBUDGETS!C48</f>
        <v>hour</v>
      </c>
      <c r="G66" s="756"/>
      <c r="H66" s="756"/>
      <c r="I66" s="765"/>
      <c r="J66" s="765"/>
    </row>
    <row r="67" spans="2:10" ht="20.100000000000001" customHeight="1">
      <c r="C67" s="660" t="str">
        <f>BASEBUDGETS!B49</f>
        <v xml:space="preserve">   - Annual Repairs &amp; Maintenance</v>
      </c>
      <c r="D67" s="765">
        <f>BASEBUDGETS!D49</f>
        <v>3</v>
      </c>
      <c r="E67" s="775">
        <f>BASEBUDGETS!E49/BASEBUDGETS!C$23</f>
        <v>1</v>
      </c>
      <c r="F67" s="769" t="str">
        <f>BASEBUDGETS!C49</f>
        <v>acre</v>
      </c>
      <c r="I67" s="756"/>
      <c r="J67" s="778" t="s">
        <v>10</v>
      </c>
    </row>
    <row r="68" spans="2:10" ht="20.100000000000001" customHeight="1">
      <c r="C68" s="660" t="str">
        <f>BASEBUDGETS!B50</f>
        <v>Drip-tape - Irrigation Water</v>
      </c>
      <c r="D68" s="765">
        <f>BASEBUDGETS!D50</f>
        <v>55</v>
      </c>
      <c r="E68" s="775">
        <f>BASEBUDGETS!E50/BASEBUDGETS!C$23</f>
        <v>0</v>
      </c>
      <c r="F68" s="769" t="str">
        <f>BASEBUDGETS!C50</f>
        <v>ac ft</v>
      </c>
      <c r="G68" s="756"/>
      <c r="H68" s="756"/>
      <c r="I68" s="756"/>
      <c r="J68" s="765"/>
    </row>
    <row r="69" spans="2:10" ht="20.100000000000001" customHeight="1">
      <c r="C69" s="660" t="str">
        <f>BASEBUDGETS!B51</f>
        <v>Drip-tape - Irrigation Labor</v>
      </c>
      <c r="D69" s="765">
        <f>BASEBUDGETS!D51</f>
        <v>14.55</v>
      </c>
      <c r="E69" s="775">
        <f>BASEBUDGETS!E51/BASEBUDGETS!C$23</f>
        <v>0</v>
      </c>
      <c r="F69" s="769" t="str">
        <f>BASEBUDGETS!C51</f>
        <v>hour</v>
      </c>
      <c r="G69" s="756"/>
      <c r="H69" s="756"/>
      <c r="I69" s="756"/>
      <c r="J69" s="765"/>
    </row>
    <row r="70" spans="2:10" ht="20.100000000000001" customHeight="1">
      <c r="C70" s="660" t="str">
        <f>BASEBUDGETS!B52</f>
        <v xml:space="preserve">   - Annual Repairs &amp; Maintenance</v>
      </c>
      <c r="D70" s="765">
        <f>BASEBUDGETS!D52</f>
        <v>7.5</v>
      </c>
      <c r="E70" s="775">
        <f>BASEBUDGETS!E52/BASEBUDGETS!C$23</f>
        <v>0</v>
      </c>
      <c r="F70" s="769" t="str">
        <f>BASEBUDGETS!C52</f>
        <v>acre</v>
      </c>
      <c r="G70" s="756"/>
      <c r="H70" s="756"/>
      <c r="I70" s="756"/>
      <c r="J70" s="765"/>
    </row>
    <row r="71" spans="2:10" ht="20.100000000000001" customHeight="1">
      <c r="C71" s="660" t="str">
        <f>BASEBUDGETS!B53</f>
        <v>Sprinkler - Irrigation Water</v>
      </c>
      <c r="D71" s="765">
        <f>BASEBUDGETS!D53</f>
        <v>55</v>
      </c>
      <c r="E71" s="775">
        <f>BASEBUDGETS!E53/BASEBUDGETS!C$23</f>
        <v>0</v>
      </c>
      <c r="F71" s="769" t="str">
        <f>BASEBUDGETS!C53</f>
        <v>ac ft</v>
      </c>
      <c r="G71" s="756"/>
      <c r="H71" s="756"/>
      <c r="I71" s="756"/>
      <c r="J71" s="765"/>
    </row>
    <row r="72" spans="2:10" ht="20.100000000000001" customHeight="1">
      <c r="C72" s="660" t="str">
        <f>BASEBUDGETS!B54</f>
        <v>Sprinkler - Irrigation Labor</v>
      </c>
      <c r="D72" s="765">
        <f>BASEBUDGETS!D54</f>
        <v>14.55</v>
      </c>
      <c r="E72" s="775">
        <f>BASEBUDGETS!E54/BASEBUDGETS!C$23</f>
        <v>0</v>
      </c>
      <c r="F72" s="769" t="str">
        <f>BASEBUDGETS!C54</f>
        <v>hour</v>
      </c>
      <c r="G72" s="756"/>
      <c r="H72" s="756"/>
      <c r="I72" s="756"/>
      <c r="J72" s="765"/>
    </row>
    <row r="73" spans="2:10" ht="20.100000000000001" customHeight="1">
      <c r="C73" s="660" t="str">
        <f>BASEBUDGETS!B55</f>
        <v xml:space="preserve">   - Annual Repairs &amp; Maintenance</v>
      </c>
      <c r="D73" s="765">
        <f>BASEBUDGETS!D55</f>
        <v>15</v>
      </c>
      <c r="E73" s="775">
        <f>BASEBUDGETS!E55/BASEBUDGETS!C$23</f>
        <v>0</v>
      </c>
      <c r="F73" s="769" t="str">
        <f>BASEBUDGETS!C55</f>
        <v>acre</v>
      </c>
      <c r="G73" s="756"/>
      <c r="H73" s="756"/>
      <c r="I73" s="756"/>
      <c r="J73" s="765"/>
    </row>
    <row r="74" spans="2:10" ht="20.100000000000001" customHeight="1">
      <c r="C74" s="660" t="str">
        <f>BASEBUDGETS!B133</f>
        <v>Additional Crop Prod. Labor</v>
      </c>
      <c r="D74" s="765">
        <f>GeneralInputPrices!$D$31</f>
        <v>14.55</v>
      </c>
      <c r="E74" s="758">
        <f>BASEBUDGETS!E133/BASEBUDGETS!C23</f>
        <v>0</v>
      </c>
      <c r="F74" s="773" t="str">
        <f>BASEBUDGETS!C133</f>
        <v>hour</v>
      </c>
      <c r="G74" s="756">
        <f>D74*E74</f>
        <v>0</v>
      </c>
      <c r="H74" s="756">
        <v>0</v>
      </c>
      <c r="I74" s="756">
        <v>0</v>
      </c>
      <c r="J74" s="765">
        <f t="shared" ref="J74:J75" si="3">G74+H74+I74</f>
        <v>0</v>
      </c>
    </row>
    <row r="75" spans="2:10" ht="20.100000000000001" customHeight="1">
      <c r="C75" s="660" t="str">
        <f>BASEBUDGETS!B134</f>
        <v>Additional Crop Prod. Labor</v>
      </c>
      <c r="D75" s="765">
        <f>GeneralInputPrices!$D$31</f>
        <v>14.55</v>
      </c>
      <c r="E75" s="758">
        <f>BASEBUDGETS!E134/BASEBUDGETS!C23</f>
        <v>0</v>
      </c>
      <c r="F75" s="773" t="str">
        <f>BASEBUDGETS!C134</f>
        <v>hour</v>
      </c>
      <c r="G75" s="756">
        <f>D75*E75</f>
        <v>0</v>
      </c>
      <c r="H75" s="756">
        <v>0</v>
      </c>
      <c r="I75" s="756">
        <v>0</v>
      </c>
      <c r="J75" s="765">
        <f t="shared" si="3"/>
        <v>0</v>
      </c>
    </row>
    <row r="76" spans="2:10" ht="20.100000000000001" customHeight="1">
      <c r="B76" s="804" t="s">
        <v>44</v>
      </c>
      <c r="C76" s="804"/>
      <c r="D76" s="778"/>
      <c r="E76" s="758"/>
      <c r="F76" s="780" t="s">
        <v>10</v>
      </c>
      <c r="G76" s="777" t="s">
        <v>10</v>
      </c>
      <c r="H76" s="777" t="s">
        <v>10</v>
      </c>
      <c r="I76" s="777" t="s">
        <v>10</v>
      </c>
      <c r="J76" s="777" t="s">
        <v>10</v>
      </c>
    </row>
    <row r="77" spans="2:10" ht="20.100000000000001" customHeight="1">
      <c r="C77" s="660" t="str">
        <f>BASEBUDGETS!B56</f>
        <v>Harvest, Custom</v>
      </c>
      <c r="D77" s="765">
        <f>CustomOperations!G37</f>
        <v>25</v>
      </c>
      <c r="E77" s="771">
        <f>BASEBUDGETS!E56/BASEBUDGETS!C23</f>
        <v>1</v>
      </c>
      <c r="F77" s="770" t="str">
        <f>BASEBUDGETS!C56</f>
        <v>acre</v>
      </c>
      <c r="G77" s="756">
        <v>0</v>
      </c>
      <c r="H77" s="756">
        <v>0</v>
      </c>
      <c r="I77" s="756">
        <f>IF(E77=0,0,BASEBUDGETS!D56*E77)</f>
        <v>25</v>
      </c>
      <c r="J77" s="765">
        <f t="shared" ref="J77:J92" si="4">G77+H77+I77</f>
        <v>25</v>
      </c>
    </row>
    <row r="78" spans="2:10" ht="20.100000000000001" customHeight="1">
      <c r="C78" s="660" t="str">
        <f>BASEBUDGETS!B57</f>
        <v>Hauling, Custom</v>
      </c>
      <c r="D78" s="765">
        <f>CustomOperations!G39</f>
        <v>0</v>
      </c>
      <c r="E78" s="771">
        <f>BASEBUDGETS!E57/BASEBUDGETS!C23</f>
        <v>0</v>
      </c>
      <c r="F78" s="770" t="str">
        <f>BASEBUDGETS!C57</f>
        <v>mile</v>
      </c>
      <c r="G78" s="756">
        <v>0</v>
      </c>
      <c r="H78" s="756">
        <v>0</v>
      </c>
      <c r="I78" s="756">
        <f>IF(E78=0,0,BASEBUDGETS!D57*E78)</f>
        <v>0</v>
      </c>
      <c r="J78" s="765">
        <f t="shared" si="4"/>
        <v>0</v>
      </c>
    </row>
    <row r="79" spans="2:10" ht="20.100000000000001" customHeight="1">
      <c r="C79" s="660" t="str">
        <f>BASEBUDGETS!B58</f>
        <v>Gin Cotton/Drying/Swathing, Custom</v>
      </c>
      <c r="D79" s="765">
        <f>CustomOperations!G41</f>
        <v>0</v>
      </c>
      <c r="E79" s="771">
        <f>BASEBUDGETS!E58/BASEBUDGETS!C23</f>
        <v>0</v>
      </c>
      <c r="F79" s="770" t="str">
        <f>BASEBUDGETS!C58</f>
        <v>bale</v>
      </c>
      <c r="G79" s="756">
        <v>0</v>
      </c>
      <c r="H79" s="756">
        <v>0</v>
      </c>
      <c r="I79" s="756">
        <f>IF(E79=0,0,BASEBUDGETS!D58*E79)</f>
        <v>0</v>
      </c>
      <c r="J79" s="765">
        <f t="shared" si="4"/>
        <v>0</v>
      </c>
    </row>
    <row r="80" spans="2:10" ht="20.100000000000001" customHeight="1">
      <c r="C80" s="660" t="str">
        <f>TillageOperations!$B$27</f>
        <v>Cotton Picker</v>
      </c>
      <c r="D80" s="765"/>
      <c r="E80" s="771">
        <f>BASEBUDGETS!E100/BASEBUDGETS!C23</f>
        <v>0</v>
      </c>
      <c r="F80" s="770" t="str">
        <f>BASEBUDGETS!C100</f>
        <v>acre</v>
      </c>
      <c r="G80" s="756">
        <f>IF(E80=0,0,BASEBUDGETS!D101*E80)</f>
        <v>0</v>
      </c>
      <c r="H80" s="756">
        <f>IF(E80=0,0,BASEBUDGETS!D100*E80)</f>
        <v>0</v>
      </c>
      <c r="I80" s="756">
        <v>0</v>
      </c>
      <c r="J80" s="765">
        <f t="shared" si="4"/>
        <v>0</v>
      </c>
    </row>
    <row r="81" spans="2:10" ht="20.100000000000001" customHeight="1">
      <c r="C81" s="660" t="str">
        <f>TillageOperations!$B$28</f>
        <v>Module Unit</v>
      </c>
      <c r="D81" s="765"/>
      <c r="E81" s="771">
        <f>BASEBUDGETS!E102/BASEBUDGETS!C23</f>
        <v>0</v>
      </c>
      <c r="F81" s="770" t="str">
        <f>BASEBUDGETS!C102</f>
        <v>acre</v>
      </c>
      <c r="G81" s="756">
        <f>IF(E81=0,0,BASEBUDGETS!D103*E81)</f>
        <v>0</v>
      </c>
      <c r="H81" s="756">
        <f>IF(E81=0,0,BASEBUDGETS!D102*E81)</f>
        <v>0</v>
      </c>
      <c r="I81" s="756">
        <v>0</v>
      </c>
      <c r="J81" s="765">
        <f t="shared" ref="J81" si="5">G81+H81+I81</f>
        <v>0</v>
      </c>
    </row>
    <row r="82" spans="2:10" ht="20.100000000000001" customHeight="1">
      <c r="C82" s="660" t="str">
        <f>TillageOperations!$B$29</f>
        <v>Haul Cotton</v>
      </c>
      <c r="D82" s="765"/>
      <c r="E82" s="771">
        <f>BASEBUDGETS!E104/BASEBUDGETS!C23</f>
        <v>0</v>
      </c>
      <c r="F82" s="770" t="str">
        <f>BASEBUDGETS!C104</f>
        <v>acre</v>
      </c>
      <c r="G82" s="756">
        <f>IF(E82=0,0,BASEBUDGETS!D105*E82)</f>
        <v>0</v>
      </c>
      <c r="H82" s="756">
        <f>IF(E82=0,0,BASEBUDGETS!D104*E82)</f>
        <v>0</v>
      </c>
      <c r="I82" s="756">
        <v>0</v>
      </c>
      <c r="J82" s="765">
        <f t="shared" si="4"/>
        <v>0</v>
      </c>
    </row>
    <row r="83" spans="2:10" ht="20.100000000000001" customHeight="1">
      <c r="C83" s="660" t="str">
        <f>TillageOperations!$B$30</f>
        <v>Combine</v>
      </c>
      <c r="D83" s="765"/>
      <c r="E83" s="771">
        <f>BASEBUDGETS!E108/BASEBUDGETS!C23</f>
        <v>1</v>
      </c>
      <c r="F83" s="770" t="str">
        <f>BASEBUDGETS!C108</f>
        <v>acre</v>
      </c>
      <c r="G83" s="756">
        <f>IF(E83=0,0,BASEBUDGETS!D109*E83)</f>
        <v>1.591683823529412</v>
      </c>
      <c r="H83" s="756">
        <f>IF(E83=0,0,BASEBUDGETS!D108*E83)</f>
        <v>4.8939818019913757</v>
      </c>
      <c r="I83" s="756">
        <v>0</v>
      </c>
      <c r="J83" s="765">
        <f t="shared" si="4"/>
        <v>6.4856656255207881</v>
      </c>
    </row>
    <row r="84" spans="2:10" ht="20.100000000000001" customHeight="1">
      <c r="C84" s="660" t="str">
        <f>TillageOperations!$B$31</f>
        <v>Grain Cart</v>
      </c>
      <c r="D84" s="765"/>
      <c r="E84" s="771">
        <f>BASEBUDGETS!E110/BASEBUDGETS!C23</f>
        <v>1</v>
      </c>
      <c r="F84" s="770" t="str">
        <f>BASEBUDGETS!C110</f>
        <v>acre</v>
      </c>
      <c r="G84" s="756">
        <f>IF(E84=0,0,BASEBUDGETS!D111*E84)</f>
        <v>1.591683823529412</v>
      </c>
      <c r="H84" s="756">
        <f>IF(E84=0,0,BASEBUDGETS!D110*E84)</f>
        <v>3.2163097667975675</v>
      </c>
      <c r="I84" s="756">
        <v>0</v>
      </c>
      <c r="J84" s="765">
        <f t="shared" si="4"/>
        <v>4.8079935903269799</v>
      </c>
    </row>
    <row r="85" spans="2:10" ht="20.100000000000001" customHeight="1">
      <c r="C85" s="660" t="str">
        <f>TillageOperations!$B$32</f>
        <v>Swather</v>
      </c>
      <c r="D85" s="765"/>
      <c r="E85" s="771">
        <f>BASEBUDGETS!E112/BASEBUDGETS!C23</f>
        <v>0</v>
      </c>
      <c r="F85" s="770" t="str">
        <f>BASEBUDGETS!C112</f>
        <v>acre</v>
      </c>
      <c r="G85" s="756">
        <f>IF(E85=0,0,BASEBUDGETS!D113*E85)</f>
        <v>0</v>
      </c>
      <c r="H85" s="756">
        <f>IF(E85=0,0,BASEBUDGETS!D112*E85)</f>
        <v>0</v>
      </c>
      <c r="I85" s="756">
        <v>0</v>
      </c>
      <c r="J85" s="765">
        <f t="shared" si="4"/>
        <v>0</v>
      </c>
    </row>
    <row r="86" spans="2:10" ht="20.100000000000001" customHeight="1">
      <c r="C86" s="660" t="str">
        <f>TillageOperations!$B$33</f>
        <v>Baler</v>
      </c>
      <c r="D86" s="765"/>
      <c r="E86" s="771">
        <f>BASEBUDGETS!E114/BASEBUDGETS!C23</f>
        <v>0</v>
      </c>
      <c r="F86" s="770" t="str">
        <f>BASEBUDGETS!C114</f>
        <v>acre</v>
      </c>
      <c r="G86" s="756">
        <f>IF(E86=0,0,BASEBUDGETS!D115*E86)</f>
        <v>0</v>
      </c>
      <c r="H86" s="756">
        <f>IF(E86=0,0,BASEBUDGETS!D114*E86)</f>
        <v>0</v>
      </c>
      <c r="I86" s="756">
        <f>IF(E86=0,0,D89*E89)</f>
        <v>0</v>
      </c>
      <c r="J86" s="765">
        <f t="shared" si="4"/>
        <v>0</v>
      </c>
    </row>
    <row r="87" spans="2:10" ht="20.100000000000001" customHeight="1">
      <c r="C87" s="660" t="str">
        <f>TillageOperations!$B$34</f>
        <v>Swather</v>
      </c>
      <c r="D87" s="765"/>
      <c r="E87" s="771">
        <f>BASEBUDGETS!E116/BASEBUDGETS!C23</f>
        <v>0</v>
      </c>
      <c r="F87" s="770" t="str">
        <f>BASEBUDGETS!C116</f>
        <v>acre</v>
      </c>
      <c r="G87" s="756">
        <f>IF(E87=0,0,BASEBUDGETS!D117*E87)</f>
        <v>0</v>
      </c>
      <c r="H87" s="756">
        <f>IF(E87=0,0,BASEBUDGETS!D116*E87)</f>
        <v>0</v>
      </c>
      <c r="I87" s="756">
        <v>0</v>
      </c>
      <c r="J87" s="765">
        <f t="shared" si="4"/>
        <v>0</v>
      </c>
    </row>
    <row r="88" spans="2:10" ht="20.100000000000001" customHeight="1">
      <c r="C88" s="660" t="str">
        <f>TillageOperations!$B$35</f>
        <v>Baler</v>
      </c>
      <c r="D88" s="765"/>
      <c r="E88" s="771">
        <f>BASEBUDGETS!E118/BASEBUDGETS!C23</f>
        <v>0</v>
      </c>
      <c r="F88" s="770" t="str">
        <f>BASEBUDGETS!C118</f>
        <v>acre</v>
      </c>
      <c r="G88" s="756">
        <f>IF(E88=0,0,BASEBUDGETS!D119*E88)</f>
        <v>0</v>
      </c>
      <c r="H88" s="756">
        <f>IF(E88=0,0,BASEBUDGETS!D118*E88)</f>
        <v>0</v>
      </c>
      <c r="I88" s="756">
        <f>IF(E88=0,0,D89*E89)</f>
        <v>0</v>
      </c>
      <c r="J88" s="765">
        <f t="shared" si="4"/>
        <v>0</v>
      </c>
    </row>
    <row r="89" spans="2:10" ht="20.100000000000001" customHeight="1">
      <c r="C89" s="660" t="str">
        <f>'Inputs&amp;PricesbyCrop'!$B$31</f>
        <v xml:space="preserve">   - Baling Twine</v>
      </c>
      <c r="D89" s="765">
        <f>BASEBUDGETS!D120</f>
        <v>0</v>
      </c>
      <c r="E89" s="775">
        <f>BASEBUDGETS!E120/BASEBUDGETS!C23</f>
        <v>1</v>
      </c>
      <c r="F89" s="769" t="str">
        <f>'Inputs&amp;PricesbyCrop'!$C$31</f>
        <v>acre</v>
      </c>
      <c r="G89" s="756"/>
      <c r="H89" s="756"/>
      <c r="I89" s="756"/>
      <c r="J89" s="765"/>
    </row>
    <row r="90" spans="2:10" ht="20.100000000000001" customHeight="1">
      <c r="C90" s="660" t="str">
        <f>TillageOperations!$B$36</f>
        <v>Bale Wagon</v>
      </c>
      <c r="D90" s="765"/>
      <c r="E90" s="771">
        <f>BASEBUDGETS!E121/BASEBUDGETS!C23</f>
        <v>0</v>
      </c>
      <c r="F90" s="770" t="str">
        <f>BASEBUDGETS!C121</f>
        <v>acre</v>
      </c>
      <c r="G90" s="756">
        <f>IF(E90=0,0,BASEBUDGETS!D122*E90)</f>
        <v>0</v>
      </c>
      <c r="H90" s="756">
        <f>IF(E90=0,0,BASEBUDGETS!D121*E90)</f>
        <v>0</v>
      </c>
      <c r="I90" s="756">
        <v>0</v>
      </c>
      <c r="J90" s="765">
        <f t="shared" si="4"/>
        <v>0</v>
      </c>
    </row>
    <row r="91" spans="2:10" ht="20.100000000000001" customHeight="1">
      <c r="C91" s="660" t="str">
        <f>BASEBUDGETS!B135</f>
        <v>Additional Harvest Labor</v>
      </c>
      <c r="D91" s="765">
        <f>GeneralInputPrices!$D$32</f>
        <v>17.89</v>
      </c>
      <c r="E91" s="771">
        <f>BASEBUDGETS!E135/BASEBUDGETS!C23</f>
        <v>0</v>
      </c>
      <c r="F91" s="770" t="str">
        <f>BASEBUDGETS!C135</f>
        <v>hour</v>
      </c>
      <c r="G91" s="756">
        <f>D91*E91</f>
        <v>0</v>
      </c>
      <c r="H91" s="756">
        <v>0</v>
      </c>
      <c r="I91" s="756">
        <v>0</v>
      </c>
      <c r="J91" s="765">
        <f t="shared" si="4"/>
        <v>0</v>
      </c>
    </row>
    <row r="92" spans="2:10" ht="20.100000000000001" customHeight="1">
      <c r="C92" s="660" t="str">
        <f>BASEBUDGETS!B136</f>
        <v>Additional Harvest Labor</v>
      </c>
      <c r="D92" s="765">
        <f>GeneralInputPrices!$D$32</f>
        <v>17.89</v>
      </c>
      <c r="E92" s="771">
        <f>BASEBUDGETS!E136/BASEBUDGETS!C23</f>
        <v>0</v>
      </c>
      <c r="F92" s="770" t="str">
        <f>BASEBUDGETS!C136</f>
        <v>hour</v>
      </c>
      <c r="G92" s="756">
        <f>D92*E92</f>
        <v>0</v>
      </c>
      <c r="H92" s="756">
        <v>0</v>
      </c>
      <c r="I92" s="756">
        <v>0</v>
      </c>
      <c r="J92" s="765">
        <f t="shared" si="4"/>
        <v>0</v>
      </c>
    </row>
    <row r="93" spans="2:10" ht="20.100000000000001" customHeight="1">
      <c r="B93" s="760" t="s">
        <v>184</v>
      </c>
      <c r="C93" s="760"/>
      <c r="D93" s="765"/>
      <c r="E93" s="771"/>
      <c r="F93" s="770"/>
      <c r="G93" s="756"/>
      <c r="H93" s="756"/>
      <c r="I93" s="756"/>
      <c r="J93" s="765"/>
    </row>
    <row r="94" spans="2:10" ht="20.100000000000001" customHeight="1">
      <c r="C94" s="660" t="str">
        <f>BASEBUDGETS!B137</f>
        <v>Other Expenses</v>
      </c>
      <c r="D94" s="765"/>
      <c r="E94" s="783">
        <f>BASEBUDGETS!D137</f>
        <v>0.05</v>
      </c>
      <c r="F94" s="780" t="s">
        <v>10</v>
      </c>
      <c r="G94" s="756">
        <v>0</v>
      </c>
      <c r="H94" s="756">
        <v>0</v>
      </c>
      <c r="I94" s="756">
        <f>SUM(J9:J92)*E94</f>
        <v>9.5198297297520114</v>
      </c>
      <c r="J94" s="765">
        <f>G94+H94+I94</f>
        <v>9.5198297297520114</v>
      </c>
    </row>
    <row r="95" spans="2:10" ht="20.100000000000001" customHeight="1">
      <c r="C95" s="660" t="str">
        <f>BASEBUDGETS!B138</f>
        <v>Interest on Operating Capital</v>
      </c>
      <c r="D95" s="765"/>
      <c r="E95" s="783">
        <f>BASEBUDGETS!D138</f>
        <v>0.06</v>
      </c>
      <c r="F95" s="780" t="s">
        <v>10</v>
      </c>
      <c r="G95" s="784">
        <v>0</v>
      </c>
      <c r="H95" s="784">
        <v>0</v>
      </c>
      <c r="I95" s="784">
        <f>SUM(J9:J94)*((E95/12)*GeneralInputPrices!$D$39)</f>
        <v>5.997492729743767</v>
      </c>
      <c r="J95" s="785">
        <f>G95+H95+I95</f>
        <v>5.997492729743767</v>
      </c>
    </row>
    <row r="96" spans="2:10" ht="20.100000000000001" customHeight="1">
      <c r="B96" s="760" t="s">
        <v>153</v>
      </c>
      <c r="C96" s="760"/>
      <c r="D96" s="760"/>
      <c r="E96" s="760"/>
      <c r="F96" s="660"/>
      <c r="G96" s="756">
        <f>SUM(G9:G95)</f>
        <v>38.935282861392437</v>
      </c>
      <c r="H96" s="756">
        <f>SUM(H9:H95)</f>
        <v>48.261311733647773</v>
      </c>
      <c r="I96" s="756">
        <f>SUM(I9:I95)</f>
        <v>118.71732245949578</v>
      </c>
      <c r="J96" s="756">
        <f>SUM(J9:J95)</f>
        <v>205.913917054536</v>
      </c>
    </row>
    <row r="97" spans="2:10" ht="20.100000000000001" customHeight="1"/>
    <row r="98" spans="2:10" ht="20.100000000000001" customHeight="1">
      <c r="B98" s="805" t="s">
        <v>78</v>
      </c>
      <c r="C98" s="805"/>
      <c r="D98" s="805"/>
      <c r="E98" s="805"/>
      <c r="F98" s="790"/>
      <c r="G98" s="791"/>
      <c r="H98" s="792" t="s">
        <v>1</v>
      </c>
      <c r="I98" s="767" t="s">
        <v>24</v>
      </c>
      <c r="J98" s="767" t="s">
        <v>0</v>
      </c>
    </row>
    <row r="99" spans="2:10" ht="20.100000000000001" customHeight="1">
      <c r="B99" s="754" t="str">
        <f>BASEBUDGETS!B173</f>
        <v>Crop Insurance</v>
      </c>
      <c r="C99" s="754"/>
      <c r="D99" s="754"/>
      <c r="E99" s="754"/>
      <c r="F99" s="754"/>
      <c r="G99" s="754"/>
      <c r="H99" s="770" t="str">
        <f>BASEBUDGETS!C173</f>
        <v>acre</v>
      </c>
      <c r="I99" s="756">
        <f>BASEBUDGETS!F173/BASEBUDGETS!C23</f>
        <v>0</v>
      </c>
      <c r="J99" s="756">
        <f>I99</f>
        <v>0</v>
      </c>
    </row>
    <row r="100" spans="2:10" ht="20.100000000000001" customHeight="1">
      <c r="B100" s="760" t="str">
        <f>BASEBUDGETS!B174</f>
        <v>Property Insurance</v>
      </c>
      <c r="C100" s="760"/>
      <c r="D100" s="760"/>
      <c r="E100" s="760"/>
      <c r="F100" s="760"/>
      <c r="G100" s="760"/>
      <c r="H100" s="770" t="str">
        <f>BASEBUDGETS!C174</f>
        <v>acre</v>
      </c>
      <c r="I100" s="756">
        <f>BASEBUDGETS!F174/BASEBUDGETS!C23</f>
        <v>0</v>
      </c>
      <c r="J100" s="756">
        <f>I100</f>
        <v>0</v>
      </c>
    </row>
    <row r="101" spans="2:10" ht="20.100000000000001" customHeight="1">
      <c r="B101" s="760" t="str">
        <f>BASEBUDGETS!B175</f>
        <v>Property Taxes</v>
      </c>
      <c r="C101" s="760"/>
      <c r="D101" s="760"/>
      <c r="E101" s="760"/>
      <c r="F101" s="760"/>
      <c r="G101" s="760"/>
      <c r="H101" s="770" t="str">
        <f>BASEBUDGETS!C175</f>
        <v>acre</v>
      </c>
      <c r="I101" s="756">
        <f>BASEBUDGETS!F175/BASEBUDGETS!C23</f>
        <v>0</v>
      </c>
      <c r="J101" s="756">
        <f t="shared" ref="J101:J104" si="6">I101</f>
        <v>0</v>
      </c>
    </row>
    <row r="102" spans="2:10" ht="20.100000000000001" customHeight="1">
      <c r="B102" s="760" t="str">
        <f>BASEBUDGETS!B178</f>
        <v>Licenses and Fees</v>
      </c>
      <c r="C102" s="760"/>
      <c r="D102" s="760"/>
      <c r="E102" s="760"/>
      <c r="F102" s="760"/>
      <c r="G102" s="760"/>
      <c r="H102" s="770" t="str">
        <f>BASEBUDGETS!C178</f>
        <v>acre</v>
      </c>
      <c r="I102" s="756">
        <f>BASEBUDGETS!F178/BASEBUDGETS!C23</f>
        <v>0</v>
      </c>
      <c r="J102" s="756">
        <f t="shared" si="6"/>
        <v>0</v>
      </c>
    </row>
    <row r="103" spans="2:10" s="611" customFormat="1" ht="21">
      <c r="B103" s="794" t="s">
        <v>484</v>
      </c>
      <c r="C103" s="794"/>
      <c r="D103" s="794"/>
      <c r="E103" s="794"/>
      <c r="F103" s="794"/>
      <c r="G103" s="794"/>
      <c r="H103" s="770" t="s">
        <v>157</v>
      </c>
      <c r="I103" s="756">
        <f>IF('AcresYieldsPrices&amp;Water'!D9=0,0,((Fallow!$L$17*'AcresYieldsPrices&amp;Water'!T11)/'AcresYieldsPrices&amp;Water'!D5)*-1)</f>
        <v>0</v>
      </c>
      <c r="J103" s="765">
        <f>I103</f>
        <v>0</v>
      </c>
    </row>
    <row r="104" spans="2:10" ht="20.100000000000001" customHeight="1">
      <c r="B104" s="760" t="str">
        <f>BASEBUDGETS!B176</f>
        <v>Annual Cash Rent Payment</v>
      </c>
      <c r="C104" s="760"/>
      <c r="D104" s="760"/>
      <c r="E104" s="760"/>
      <c r="F104" s="760"/>
      <c r="G104" s="760"/>
      <c r="H104" s="770" t="str">
        <f>BASEBUDGETS!C176</f>
        <v>acre</v>
      </c>
      <c r="I104" s="756">
        <f>BASEBUDGETS!F176/BASEBUDGETS!C23</f>
        <v>170</v>
      </c>
      <c r="J104" s="784">
        <f t="shared" si="6"/>
        <v>170</v>
      </c>
    </row>
    <row r="105" spans="2:10" ht="20.100000000000001" customHeight="1">
      <c r="B105" s="760" t="s">
        <v>79</v>
      </c>
      <c r="C105" s="760"/>
      <c r="D105" s="760"/>
      <c r="E105" s="760"/>
      <c r="F105" s="760"/>
      <c r="G105" s="760"/>
      <c r="H105" s="756"/>
      <c r="I105" s="756"/>
      <c r="J105" s="765">
        <f>SUM(J99:J104)</f>
        <v>170</v>
      </c>
    </row>
    <row r="106" spans="2:10" ht="20.100000000000001" customHeight="1">
      <c r="J106" s="786"/>
    </row>
    <row r="107" spans="2:10" ht="20.100000000000001" customHeight="1">
      <c r="B107" s="679" t="s">
        <v>154</v>
      </c>
      <c r="C107" s="787"/>
      <c r="D107" s="788"/>
      <c r="E107" s="789"/>
      <c r="F107" s="790"/>
      <c r="G107" s="791"/>
      <c r="H107" s="792" t="s">
        <v>1</v>
      </c>
      <c r="I107" s="767" t="s">
        <v>24</v>
      </c>
      <c r="J107" s="767" t="s">
        <v>0</v>
      </c>
    </row>
    <row r="108" spans="2:10" ht="20.100000000000001" customHeight="1">
      <c r="B108" s="760" t="s">
        <v>534</v>
      </c>
      <c r="C108" s="760"/>
      <c r="D108" s="760"/>
      <c r="E108" s="760"/>
      <c r="F108" s="760"/>
      <c r="G108" s="760"/>
      <c r="H108" s="770" t="s">
        <v>157</v>
      </c>
      <c r="I108" s="756">
        <f>SUM(BASEBUDGETS!F142:F144)/BASEBUDGETS!C23</f>
        <v>0</v>
      </c>
      <c r="J108" s="765">
        <f>I108</f>
        <v>0</v>
      </c>
    </row>
    <row r="109" spans="2:10" ht="20.100000000000001" customHeight="1">
      <c r="B109" s="794" t="s">
        <v>156</v>
      </c>
      <c r="C109" s="794"/>
      <c r="D109" s="794"/>
      <c r="E109" s="794"/>
      <c r="F109" s="794"/>
      <c r="G109" s="794"/>
      <c r="H109" s="770" t="str">
        <f>BASEBUDGETS!C142</f>
        <v>acre</v>
      </c>
      <c r="I109" s="758">
        <f>SUM(BASEBUDGETS!F145:F172)/BASEBUDGETS!C23</f>
        <v>376.58588847531786</v>
      </c>
      <c r="J109" s="797">
        <f>I109</f>
        <v>376.58588847531786</v>
      </c>
    </row>
    <row r="110" spans="2:10" ht="20.100000000000001" customHeight="1">
      <c r="B110" s="807" t="s">
        <v>77</v>
      </c>
      <c r="C110" s="807"/>
      <c r="D110" s="807"/>
      <c r="E110" s="807"/>
      <c r="F110" s="807"/>
      <c r="G110" s="807"/>
      <c r="H110" s="756"/>
      <c r="I110" s="756"/>
      <c r="J110" s="678">
        <f>J109+J108</f>
        <v>376.58588847531786</v>
      </c>
    </row>
    <row r="111" spans="2:10" ht="20.100000000000001" customHeight="1">
      <c r="B111" s="660"/>
      <c r="C111" s="660"/>
      <c r="D111" s="765"/>
      <c r="E111" s="758"/>
      <c r="F111" s="660"/>
      <c r="G111" s="756"/>
      <c r="H111" s="756"/>
      <c r="I111" s="756"/>
      <c r="J111" s="765"/>
    </row>
    <row r="112" spans="2:10" ht="20.100000000000001" customHeight="1">
      <c r="B112" s="808" t="s">
        <v>63</v>
      </c>
      <c r="C112" s="808"/>
      <c r="D112" s="808"/>
      <c r="E112" s="808"/>
      <c r="F112" s="808"/>
      <c r="G112" s="808"/>
      <c r="H112" s="764"/>
      <c r="I112" s="764"/>
      <c r="J112" s="801">
        <f>IF(I4=0,0,J96+J105+J110)</f>
        <v>752.4998055298538</v>
      </c>
    </row>
    <row r="113" spans="2:10" ht="20.100000000000001" customHeight="1">
      <c r="B113" s="805" t="s">
        <v>64</v>
      </c>
      <c r="C113" s="805"/>
      <c r="D113" s="805"/>
      <c r="E113" s="805"/>
      <c r="F113" s="805"/>
      <c r="G113" s="805"/>
      <c r="H113" s="803"/>
      <c r="I113" s="803"/>
      <c r="J113" s="788">
        <f>J5-J112</f>
        <v>-402.4998055298538</v>
      </c>
    </row>
    <row r="114" spans="2:10" ht="20.100000000000001" customHeight="1">
      <c r="B114" s="660"/>
      <c r="C114" s="660"/>
      <c r="D114" s="765"/>
      <c r="E114" s="758"/>
      <c r="F114" s="769"/>
    </row>
  </sheetData>
  <sheetProtection algorithmName="SHA-512" hashValue="0YuyPir/BRprSkRKYuG6RB0Hhcj8fQkaPS8krJzTQ8PmbLltDWe7j1lunotk53Gc0KNkmDytaBv4/ub5SNg0Lg==" saltValue="yQubyRYtjztthP6qxXwfdg==" spinCount="100000" sheet="1" objects="1" scenarios="1"/>
  <mergeCells count="22">
    <mergeCell ref="B93:C93"/>
    <mergeCell ref="B3:C3"/>
    <mergeCell ref="B8:C8"/>
    <mergeCell ref="B96:E96"/>
    <mergeCell ref="G2:I2"/>
    <mergeCell ref="B4:E4"/>
    <mergeCell ref="B2:F2"/>
    <mergeCell ref="B31:C31"/>
    <mergeCell ref="B76:C76"/>
    <mergeCell ref="B98:E98"/>
    <mergeCell ref="B99:G99"/>
    <mergeCell ref="B100:G100"/>
    <mergeCell ref="B110:G110"/>
    <mergeCell ref="B112:G112"/>
    <mergeCell ref="B113:G113"/>
    <mergeCell ref="B101:G101"/>
    <mergeCell ref="B102:G102"/>
    <mergeCell ref="B104:G104"/>
    <mergeCell ref="B105:G105"/>
    <mergeCell ref="B109:G109"/>
    <mergeCell ref="B103:G103"/>
    <mergeCell ref="B108:G108"/>
  </mergeCells>
  <pageMargins left="0.7" right="0.7" top="0.75" bottom="0.75" header="0.3" footer="0.3"/>
  <pageSetup scale="57" orientation="portrait" horizontalDpi="0" verticalDpi="0"/>
  <ignoredErrors>
    <ignoredError sqref="B5 B4 H109:H110 B104 G4:J5 H104 E5:F5 E97:J97 F4 F6:F17 F77:F79 F32:F33 F38:F41 F45:F52 G74:J75 F29:F30 C74:D75 C63 J112 C35:C36 H99:H102 B99:B102 G2 F91:F92 F55:F63 F35:F36 C91:D92 C28:D30 D44 D54 D35:D37 D9:D19 D40:D41 D77:D79 D32:D33 D62:D63 D52 F65 C66:D73 F66:F73" unlockedFormula="1"/>
    <ignoredError sqref="B31:C31 B76:C76 G76:I76 B96:E96 J96 B67:B73 B93:F93 B55:B62 B45:B53 B38:B43 G31:I31 B32:B34 B94:B95 F94:F95 B9:B27 I106:J107 I113:J114 G89:J89 E89 E37 E54 E44 I52:I54 G93:J93 I94 B77:B90 B64:B65 G64:H64 E65" evalError="1"/>
    <ignoredError sqref="C10 C90 J76:J80 G77:I80 G95:J95 C94:E95 C38:C39 C89 G90:J90 F96:I96 G38:J39 C55:C61 G81:J82 C80:C82 I111:J111 I104:J105 F76 F64 F53:H53 F42:F43 F31 C20:C27 F80:F82 G9:J27 G55:J62 C45:C53 C34 F34 G67:J73 G46:J51 C40:C43 G40:H43 G52:H52 I112 G32:H34 J31 I99:J102 C9 C17 C11 C12 C13 C14 C15 C16 C18 F18 C19 F19 C32 C33 C62 C77 C78 C79 F20:F27 D80:D82 D89 D90 E35 E63 E36 E91:E92 E30 E29 E75 E74 E34 E20:E27 E80:E82 E55:E61 E90 E79 E78 E77 E62 E33 E32 E19 E18 E17 E16 E15 E14 E13 E12 E10 E11 E9 E31 E53 E76 E52 E38:E43 E45:E51 G30:J30 G29:J29 I36:I37 I35 J37 I32:I34 J35 J36 J32:J34 G35:H35 G36:H36 J44 J40:J43 J54 J52:J53 G63:J63 G91:J92 J94 G94:H94 I103:J103 G83:J88 C83:C88 F83:F90 D83:D88 E83:E88 E28:J28 I44 I40:I43 D45:D51 D38:D39 D55:D61 D76 D31 D20:D27 D34 D53 D42:D43 D64:D65 E64 G65:J65 C64:C65 I109:J109 I108:J108 I64:J64 E66:E73 I110:J110" evalError="1" unlockedFormula="1"/>
  </ignoredError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A5D47-4DF2-6A49-B125-0C28FBA4D1C5}">
  <sheetPr codeName="Sheet17">
    <pageSetUpPr fitToPage="1"/>
  </sheetPr>
  <dimension ref="A1:O115"/>
  <sheetViews>
    <sheetView zoomScale="110" zoomScaleNormal="110" workbookViewId="0">
      <selection sqref="A1:XFD1048576"/>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'AcresYieldsPrices&amp;Water'!B6</f>
        <v>Hemp for CBD Oil</v>
      </c>
      <c r="H2" s="746"/>
      <c r="I2" s="746"/>
      <c r="J2" s="747" t="s">
        <v>487</v>
      </c>
      <c r="L2" s="653"/>
    </row>
    <row r="3" spans="2:14" s="611" customFormat="1" ht="22.8">
      <c r="B3" s="748" t="s">
        <v>22</v>
      </c>
      <c r="C3" s="748"/>
      <c r="D3" s="749"/>
      <c r="E3" s="750"/>
      <c r="F3" s="751" t="s">
        <v>1</v>
      </c>
      <c r="G3" s="752" t="s">
        <v>24</v>
      </c>
      <c r="H3" s="753"/>
      <c r="I3" s="752" t="s">
        <v>25</v>
      </c>
      <c r="J3" s="752" t="s">
        <v>0</v>
      </c>
      <c r="L3" s="653"/>
    </row>
    <row r="4" spans="2:14" s="611" customFormat="1" ht="21">
      <c r="B4" s="754" t="str">
        <f>BASEBUDGETS!B678</f>
        <v>Hemp for CBD Oil</v>
      </c>
      <c r="C4" s="754"/>
      <c r="D4" s="754"/>
      <c r="E4" s="754"/>
      <c r="F4" s="755" t="str">
        <f>BASEBUDGETS!C678</f>
        <v>pound</v>
      </c>
      <c r="G4" s="756">
        <f>BASEBUDGETS!D678</f>
        <v>1</v>
      </c>
      <c r="H4" s="757"/>
      <c r="I4" s="758">
        <f>IF(BASEBUDGETS!E678=0,0,BASEBUDGETS!E678/BASEBUDGETS!C674)</f>
        <v>0</v>
      </c>
      <c r="J4" s="761">
        <f>G4*I4</f>
        <v>0</v>
      </c>
      <c r="L4" s="653"/>
    </row>
    <row r="5" spans="2:14" s="611" customFormat="1" ht="20.399999999999999">
      <c r="B5" s="679" t="s">
        <v>27</v>
      </c>
      <c r="C5" s="679"/>
      <c r="D5" s="762"/>
      <c r="E5" s="763"/>
      <c r="F5" s="679"/>
      <c r="G5" s="764"/>
      <c r="H5" s="764"/>
      <c r="I5" s="764"/>
      <c r="J5" s="764">
        <f>SUM(J4:J4)</f>
        <v>0</v>
      </c>
      <c r="L5" s="653"/>
    </row>
    <row r="6" spans="2:14" s="611" customFormat="1" ht="21">
      <c r="B6" s="660"/>
      <c r="C6" s="660"/>
      <c r="D6" s="765"/>
      <c r="E6" s="758"/>
      <c r="F6" s="660"/>
      <c r="G6" s="756"/>
      <c r="H6" s="756"/>
      <c r="I6" s="756"/>
      <c r="J6" s="756"/>
      <c r="L6" s="653"/>
    </row>
    <row r="7" spans="2:14" s="611" customFormat="1" ht="21">
      <c r="B7" s="766" t="s">
        <v>76</v>
      </c>
      <c r="C7" s="766"/>
      <c r="D7" s="767" t="s">
        <v>45</v>
      </c>
      <c r="E7" s="810" t="s">
        <v>25</v>
      </c>
      <c r="F7" s="811" t="s">
        <v>1</v>
      </c>
      <c r="G7" s="812" t="s">
        <v>149</v>
      </c>
      <c r="H7" s="812" t="s">
        <v>8</v>
      </c>
      <c r="I7" s="812" t="s">
        <v>150</v>
      </c>
      <c r="J7" s="812" t="s">
        <v>7</v>
      </c>
      <c r="L7" s="653"/>
    </row>
    <row r="8" spans="2:14" s="611" customFormat="1" ht="21">
      <c r="B8" s="754" t="s">
        <v>210</v>
      </c>
      <c r="C8" s="754"/>
      <c r="D8" s="765"/>
      <c r="E8" s="758"/>
      <c r="F8" s="769"/>
      <c r="G8" s="770"/>
      <c r="H8" s="770"/>
      <c r="I8" s="770"/>
      <c r="J8" s="757"/>
      <c r="L8" s="653"/>
    </row>
    <row r="9" spans="2:14" s="611" customFormat="1" ht="21">
      <c r="C9" s="660" t="str">
        <f>BASEBUDGETS!B713</f>
        <v>V Ripper, Custom</v>
      </c>
      <c r="D9" s="765">
        <f>CustomOperations!H5</f>
        <v>44.25</v>
      </c>
      <c r="E9" s="771" t="e">
        <f>BASEBUDGETS!E713/BASEBUDGETS!C674</f>
        <v>#DIV/0!</v>
      </c>
      <c r="F9" s="770" t="str">
        <f>BASEBUDGETS!C713</f>
        <v>acre</v>
      </c>
      <c r="G9" s="756">
        <v>0</v>
      </c>
      <c r="H9" s="756">
        <v>0</v>
      </c>
      <c r="I9" s="756" t="e">
        <f>IF(E9=0,0,BASEBUDGETS!D713*E9)</f>
        <v>#DIV/0!</v>
      </c>
      <c r="J9" s="765" t="e">
        <f>G9+H9+I9</f>
        <v>#DIV/0!</v>
      </c>
      <c r="L9" s="772">
        <f>N9*'AcresYieldsPrices&amp;Water'!D$6</f>
        <v>0</v>
      </c>
      <c r="M9" s="611" t="s">
        <v>394</v>
      </c>
      <c r="N9" s="653">
        <f>IFERROR(I36,0)</f>
        <v>0</v>
      </c>
    </row>
    <row r="10" spans="2:14" s="611" customFormat="1" ht="21">
      <c r="C10" s="660" t="str">
        <f>BASEBUDGETS!B714</f>
        <v>Disk, Custom</v>
      </c>
      <c r="D10" s="765">
        <f>CustomOperations!H7</f>
        <v>0</v>
      </c>
      <c r="E10" s="771" t="e">
        <f>BASEBUDGETS!E714/BASEBUDGETS!C674</f>
        <v>#DIV/0!</v>
      </c>
      <c r="F10" s="770" t="str">
        <f>BASEBUDGETS!C714</f>
        <v>acre</v>
      </c>
      <c r="G10" s="756">
        <v>0</v>
      </c>
      <c r="H10" s="756">
        <v>0</v>
      </c>
      <c r="I10" s="756" t="e">
        <f>IF(E10=0,0,BASEBUDGETS!D714*E10)</f>
        <v>#DIV/0!</v>
      </c>
      <c r="J10" s="765" t="e">
        <f>G10+H10+I10</f>
        <v>#DIV/0!</v>
      </c>
      <c r="L10" s="772">
        <f>N10*'AcresYieldsPrices&amp;Water'!D$6</f>
        <v>0</v>
      </c>
      <c r="M10" s="611" t="s">
        <v>395</v>
      </c>
      <c r="N10" s="653">
        <f>IFERROR(I43,0)</f>
        <v>0</v>
      </c>
    </row>
    <row r="11" spans="2:14" s="611" customFormat="1" ht="21">
      <c r="C11" s="660" t="str">
        <f>BASEBUDGETS!B715</f>
        <v>Drag, Custom</v>
      </c>
      <c r="D11" s="765">
        <f>CustomOperations!H9</f>
        <v>0</v>
      </c>
      <c r="E11" s="771" t="e">
        <f>BASEBUDGETS!E715/BASEBUDGETS!C674</f>
        <v>#DIV/0!</v>
      </c>
      <c r="F11" s="770" t="str">
        <f>BASEBUDGETS!C715</f>
        <v>acre</v>
      </c>
      <c r="G11" s="756">
        <v>0</v>
      </c>
      <c r="H11" s="756">
        <v>0</v>
      </c>
      <c r="I11" s="756" t="e">
        <f>IF(E11=0,0,BASEBUDGETS!D715*E11)</f>
        <v>#DIV/0!</v>
      </c>
      <c r="J11" s="765" t="e">
        <f t="shared" ref="J11:J29" si="0">G11+H11+I11</f>
        <v>#DIV/0!</v>
      </c>
      <c r="L11" s="772">
        <f>N11*'AcresYieldsPrices&amp;Water'!D$6</f>
        <v>0</v>
      </c>
      <c r="M11" s="611" t="s">
        <v>396</v>
      </c>
      <c r="N11" s="653">
        <f>IFERROR(I53,0)</f>
        <v>0</v>
      </c>
    </row>
    <row r="12" spans="2:14" s="611" customFormat="1" ht="21">
      <c r="C12" s="660" t="str">
        <f>BASEBUDGETS!B716</f>
        <v>Chisel, Custom</v>
      </c>
      <c r="D12" s="765">
        <f>CustomOperations!H11</f>
        <v>0</v>
      </c>
      <c r="E12" s="771" t="e">
        <f>BASEBUDGETS!E716/BASEBUDGETS!C674</f>
        <v>#DIV/0!</v>
      </c>
      <c r="F12" s="770" t="str">
        <f>BASEBUDGETS!C716</f>
        <v>acre</v>
      </c>
      <c r="G12" s="756">
        <v>0</v>
      </c>
      <c r="H12" s="756">
        <v>0</v>
      </c>
      <c r="I12" s="756" t="e">
        <f>IF(E12=0,0,BASEBUDGETS!D716*E12)</f>
        <v>#DIV/0!</v>
      </c>
      <c r="J12" s="765" t="e">
        <f t="shared" si="0"/>
        <v>#DIV/0!</v>
      </c>
      <c r="L12" s="772">
        <f>N12*'AcresYieldsPrices&amp;Water'!D$6</f>
        <v>0</v>
      </c>
      <c r="M12" s="611" t="s">
        <v>392</v>
      </c>
      <c r="N12" s="653">
        <f>IFERROR(E28+E29+E73+E74+E91+E92+E71+E68+E65,0)</f>
        <v>0</v>
      </c>
    </row>
    <row r="13" spans="2:14" s="611" customFormat="1" ht="21">
      <c r="C13" s="660" t="str">
        <f>BASEBUDGETS!B717</f>
        <v>Moldboard Plow, Custom</v>
      </c>
      <c r="D13" s="765">
        <f>CustomOperations!H13</f>
        <v>0</v>
      </c>
      <c r="E13" s="771" t="e">
        <f>BASEBUDGETS!E717/BASEBUDGETS!C674</f>
        <v>#DIV/0!</v>
      </c>
      <c r="F13" s="770" t="str">
        <f>BASEBUDGETS!C717</f>
        <v>acre</v>
      </c>
      <c r="G13" s="756">
        <v>0</v>
      </c>
      <c r="H13" s="756">
        <v>0</v>
      </c>
      <c r="I13" s="756" t="e">
        <f>IF(E13=0,0,BASEBUDGETS!D717*E13)</f>
        <v>#DIV/0!</v>
      </c>
      <c r="J13" s="765" t="e">
        <f t="shared" si="0"/>
        <v>#DIV/0!</v>
      </c>
      <c r="L13" s="772">
        <f>N13*'AcresYieldsPrices&amp;Water'!D$6</f>
        <v>0</v>
      </c>
      <c r="M13" s="611" t="s">
        <v>393</v>
      </c>
      <c r="N13" s="653">
        <f>IFERROR(((SUM(G18:G27)+G35+G33+G34+G42+G41+G52+G62+SUM(G80:G90))/[2]GeneralInputPrices!$D$20),0)</f>
        <v>0</v>
      </c>
    </row>
    <row r="14" spans="2:14" s="611" customFormat="1" ht="21">
      <c r="C14" s="660" t="str">
        <f>BASEBUDGETS!B718</f>
        <v>Landplane, Custom</v>
      </c>
      <c r="D14" s="765">
        <f>CustomOperations!H15</f>
        <v>17.940000000000001</v>
      </c>
      <c r="E14" s="771" t="e">
        <f>BASEBUDGETS!E718/BASEBUDGETS!C674</f>
        <v>#DIV/0!</v>
      </c>
      <c r="F14" s="770" t="str">
        <f>BASEBUDGETS!C718</f>
        <v>acre</v>
      </c>
      <c r="G14" s="756">
        <v>0</v>
      </c>
      <c r="H14" s="756">
        <v>0</v>
      </c>
      <c r="I14" s="756" t="e">
        <f>IF(E14=0,0,BASEBUDGETS!D718*E14)</f>
        <v>#DIV/0!</v>
      </c>
      <c r="J14" s="765" t="e">
        <f t="shared" si="0"/>
        <v>#DIV/0!</v>
      </c>
      <c r="L14" s="772">
        <f>N14*'AcresYieldsPrices&amp;Water'!D$6</f>
        <v>0</v>
      </c>
      <c r="M14" s="611" t="s">
        <v>186</v>
      </c>
      <c r="N14" s="653">
        <f>IFERROR(H96,0)</f>
        <v>0</v>
      </c>
    </row>
    <row r="15" spans="2:14" s="611" customFormat="1" ht="21">
      <c r="C15" s="660" t="str">
        <f>BASEBUDGETS!B719</f>
        <v>Float, Custom</v>
      </c>
      <c r="D15" s="765">
        <f>CustomOperations!H17</f>
        <v>17.940000000000001</v>
      </c>
      <c r="E15" s="771" t="e">
        <f>BASEBUDGETS!E719/BASEBUDGETS!C674</f>
        <v>#DIV/0!</v>
      </c>
      <c r="F15" s="770" t="str">
        <f>BASEBUDGETS!C719</f>
        <v>acre</v>
      </c>
      <c r="G15" s="756">
        <v>0</v>
      </c>
      <c r="H15" s="756">
        <v>0</v>
      </c>
      <c r="I15" s="756" t="e">
        <f>IF(E15=0,0,BASEBUDGETS!D719*E15)</f>
        <v>#DIV/0!</v>
      </c>
      <c r="J15" s="765" t="e">
        <f t="shared" si="0"/>
        <v>#DIV/0!</v>
      </c>
      <c r="L15" s="772">
        <f>N15*'AcresYieldsPrices&amp;Water'!D$6</f>
        <v>0</v>
      </c>
      <c r="M15" s="611" t="s">
        <v>401</v>
      </c>
      <c r="N15" s="653">
        <f>IFERROR(J109,0)</f>
        <v>0</v>
      </c>
    </row>
    <row r="16" spans="2:14" s="611" customFormat="1" ht="21">
      <c r="C16" s="660" t="str">
        <f>BASEBUDGETS!B720</f>
        <v>Lister, Custom</v>
      </c>
      <c r="D16" s="765">
        <f>CustomOperations!H19</f>
        <v>20.38</v>
      </c>
      <c r="E16" s="771" t="e">
        <f>BASEBUDGETS!E720/BASEBUDGETS!C674</f>
        <v>#DIV/0!</v>
      </c>
      <c r="F16" s="770" t="str">
        <f>BASEBUDGETS!C720</f>
        <v>acre</v>
      </c>
      <c r="G16" s="756">
        <v>0</v>
      </c>
      <c r="H16" s="756">
        <v>0</v>
      </c>
      <c r="I16" s="756" t="e">
        <f>IF(E16=0,0,BASEBUDGETS!D720*E16)</f>
        <v>#DIV/0!</v>
      </c>
      <c r="J16" s="765" t="e">
        <f t="shared" si="0"/>
        <v>#DIV/0!</v>
      </c>
      <c r="L16" s="772">
        <f>N16*'AcresYieldsPrices&amp;Water'!D$6</f>
        <v>0</v>
      </c>
      <c r="M16" s="611" t="s">
        <v>405</v>
      </c>
      <c r="N16" s="653">
        <f>IFERROR((J79+J77+J76+J61+J51+J40+J39+J32+J31+SUM(J9:J17)),0)</f>
        <v>0</v>
      </c>
    </row>
    <row r="17" spans="2:12" s="611" customFormat="1" ht="21">
      <c r="C17" s="660" t="str">
        <f>BASEBUDGETS!B721</f>
        <v>Bed Shape, Custom</v>
      </c>
      <c r="D17" s="765">
        <f>CustomOperations!H21</f>
        <v>13.69</v>
      </c>
      <c r="E17" s="771" t="e">
        <f>BASEBUDGETS!E721/BASEBUDGETS!C674</f>
        <v>#DIV/0!</v>
      </c>
      <c r="F17" s="770" t="str">
        <f>BASEBUDGETS!C721</f>
        <v>acre</v>
      </c>
      <c r="G17" s="756">
        <v>0</v>
      </c>
      <c r="H17" s="756">
        <v>0</v>
      </c>
      <c r="I17" s="756" t="e">
        <f>IF(E17=0,0,BASEBUDGETS!D721*E17)</f>
        <v>#DIV/0!</v>
      </c>
      <c r="J17" s="765" t="e">
        <f t="shared" si="0"/>
        <v>#DIV/0!</v>
      </c>
      <c r="L17" s="653"/>
    </row>
    <row r="18" spans="2:12" s="611" customFormat="1" ht="21">
      <c r="C18" s="660" t="str">
        <f>TillageOperations!$B$7</f>
        <v>V-Ripper</v>
      </c>
      <c r="D18" s="765"/>
      <c r="E18" s="771" t="e">
        <f>BASEBUDGETS!E725/BASEBUDGETS!C674</f>
        <v>#DIV/0!</v>
      </c>
      <c r="F18" s="770" t="str">
        <f>BASEBUDGETS!C725</f>
        <v>acre</v>
      </c>
      <c r="G18" s="756" t="e">
        <f>IF(E18=0,0,BASEBUDGETS!D726*E18)</f>
        <v>#DIV/0!</v>
      </c>
      <c r="H18" s="756" t="e">
        <f>IF(E18=0,0,BASEBUDGETS!D725*E18)</f>
        <v>#DIV/0!</v>
      </c>
      <c r="I18" s="756">
        <v>0</v>
      </c>
      <c r="J18" s="765" t="e">
        <f t="shared" si="0"/>
        <v>#DIV/0!</v>
      </c>
      <c r="L18" s="653"/>
    </row>
    <row r="19" spans="2:12" s="611" customFormat="1" ht="21">
      <c r="C19" s="660" t="str">
        <f>TillageOperations!$B$8</f>
        <v>Offset Disk</v>
      </c>
      <c r="D19" s="765"/>
      <c r="E19" s="771" t="e">
        <f>BASEBUDGETS!E727/BASEBUDGETS!C674</f>
        <v>#DIV/0!</v>
      </c>
      <c r="F19" s="770" t="str">
        <f>BASEBUDGETS!C727</f>
        <v>acre</v>
      </c>
      <c r="G19" s="756" t="e">
        <f>IF(E19=0,0,BASEBUDGETS!D728*E19)</f>
        <v>#DIV/0!</v>
      </c>
      <c r="H19" s="756" t="e">
        <f>IF(E19=0,0,BASEBUDGETS!D727*E19)</f>
        <v>#DIV/0!</v>
      </c>
      <c r="I19" s="756">
        <v>0</v>
      </c>
      <c r="J19" s="765" t="e">
        <f t="shared" si="0"/>
        <v>#DIV/0!</v>
      </c>
      <c r="L19" s="653"/>
    </row>
    <row r="20" spans="2:12" s="611" customFormat="1" ht="21">
      <c r="C20" s="660" t="str">
        <f>TillageOperations!$B$9</f>
        <v>Drag</v>
      </c>
      <c r="D20" s="765"/>
      <c r="E20" s="771" t="e">
        <f>BASEBUDGETS!E729/BASEBUDGETS!C674</f>
        <v>#DIV/0!</v>
      </c>
      <c r="F20" s="770" t="str">
        <f>BASEBUDGETS!C729</f>
        <v>acre</v>
      </c>
      <c r="G20" s="756" t="e">
        <f>IF(E20=0,0,BASEBUDGETS!D730*E20)</f>
        <v>#DIV/0!</v>
      </c>
      <c r="H20" s="756" t="e">
        <f>IF(E20=0,0,BASEBUDGETS!D729*E20)</f>
        <v>#DIV/0!</v>
      </c>
      <c r="I20" s="756">
        <v>0</v>
      </c>
      <c r="J20" s="765" t="e">
        <f t="shared" si="0"/>
        <v>#DIV/0!</v>
      </c>
      <c r="L20" s="653"/>
    </row>
    <row r="21" spans="2:12" s="611" customFormat="1" ht="21">
      <c r="C21" s="660" t="str">
        <f>TillageOperations!$B$10</f>
        <v>Chisel</v>
      </c>
      <c r="D21" s="765"/>
      <c r="E21" s="771" t="e">
        <f>BASEBUDGETS!E731/BASEBUDGETS!C674</f>
        <v>#DIV/0!</v>
      </c>
      <c r="F21" s="770" t="str">
        <f>BASEBUDGETS!C731</f>
        <v>acre</v>
      </c>
      <c r="G21" s="756" t="e">
        <f>IF(E21=0,0,BASEBUDGETS!D732*E21)</f>
        <v>#DIV/0!</v>
      </c>
      <c r="H21" s="756" t="e">
        <f>IF(E21=0,0,BASEBUDGETS!D731*E21)</f>
        <v>#DIV/0!</v>
      </c>
      <c r="I21" s="756">
        <v>0</v>
      </c>
      <c r="J21" s="765" t="e">
        <f t="shared" si="0"/>
        <v>#DIV/0!</v>
      </c>
      <c r="L21" s="653"/>
    </row>
    <row r="22" spans="2:12" s="611" customFormat="1" ht="21">
      <c r="C22" s="660" t="str">
        <f>TillageOperations!$B$11</f>
        <v>Moldboard Plow</v>
      </c>
      <c r="D22" s="765"/>
      <c r="E22" s="771" t="e">
        <f>BASEBUDGETS!E733/BASEBUDGETS!C674</f>
        <v>#DIV/0!</v>
      </c>
      <c r="F22" s="770" t="str">
        <f>BASEBUDGETS!C733</f>
        <v>acre</v>
      </c>
      <c r="G22" s="756" t="e">
        <f>IF(E22=0,0,BASEBUDGETS!D734*E22)</f>
        <v>#DIV/0!</v>
      </c>
      <c r="H22" s="756" t="e">
        <f>IF(E22=0,0,BASEBUDGETS!D733*E22)</f>
        <v>#DIV/0!</v>
      </c>
      <c r="I22" s="756">
        <v>0</v>
      </c>
      <c r="J22" s="765" t="e">
        <f t="shared" si="0"/>
        <v>#DIV/0!</v>
      </c>
      <c r="L22" s="653"/>
    </row>
    <row r="23" spans="2:12" s="611" customFormat="1" ht="21">
      <c r="C23" s="660" t="str">
        <f>TillageOperations!$B$12</f>
        <v>Cultivator</v>
      </c>
      <c r="D23" s="765"/>
      <c r="E23" s="771" t="e">
        <f>BASEBUDGETS!E735/BASEBUDGETS!C674</f>
        <v>#DIV/0!</v>
      </c>
      <c r="F23" s="770" t="str">
        <f>BASEBUDGETS!C735</f>
        <v>acre</v>
      </c>
      <c r="G23" s="756" t="e">
        <f>IF(E23=0,0,BASEBUDGETS!D736*E23)</f>
        <v>#DIV/0!</v>
      </c>
      <c r="H23" s="756" t="e">
        <f>IF(E23=0,0,BASEBUDGETS!D735*E23)</f>
        <v>#DIV/0!</v>
      </c>
      <c r="I23" s="756">
        <v>0</v>
      </c>
      <c r="J23" s="765" t="e">
        <f t="shared" si="0"/>
        <v>#DIV/0!</v>
      </c>
      <c r="L23" s="653"/>
    </row>
    <row r="24" spans="2:12" s="611" customFormat="1" ht="21">
      <c r="C24" s="660" t="str">
        <f>TillageOperations!$B$13</f>
        <v>Landplane</v>
      </c>
      <c r="D24" s="765"/>
      <c r="E24" s="771" t="e">
        <f>BASEBUDGETS!E737/BASEBUDGETS!C674</f>
        <v>#DIV/0!</v>
      </c>
      <c r="F24" s="770" t="str">
        <f>BASEBUDGETS!C737</f>
        <v>acre</v>
      </c>
      <c r="G24" s="756" t="e">
        <f>IF(E24=0,0,BASEBUDGETS!D738*E24)</f>
        <v>#DIV/0!</v>
      </c>
      <c r="H24" s="756" t="e">
        <f>IF(E24=0,0,BASEBUDGETS!D737*E24)</f>
        <v>#DIV/0!</v>
      </c>
      <c r="I24" s="756">
        <v>0</v>
      </c>
      <c r="J24" s="765" t="e">
        <f t="shared" si="0"/>
        <v>#DIV/0!</v>
      </c>
      <c r="L24" s="653"/>
    </row>
    <row r="25" spans="2:12" s="611" customFormat="1" ht="21">
      <c r="C25" s="660" t="str">
        <f>TillageOperations!$B$14</f>
        <v>Float</v>
      </c>
      <c r="D25" s="765"/>
      <c r="E25" s="771" t="e">
        <f>BASEBUDGETS!E739/BASEBUDGETS!C674</f>
        <v>#DIV/0!</v>
      </c>
      <c r="F25" s="770" t="str">
        <f>BASEBUDGETS!C739</f>
        <v>acre</v>
      </c>
      <c r="G25" s="756" t="e">
        <f>IF(E25=0,0,BASEBUDGETS!D740*E25)</f>
        <v>#DIV/0!</v>
      </c>
      <c r="H25" s="756" t="e">
        <f>IF(E25=0,0,BASEBUDGETS!D739*E25)</f>
        <v>#DIV/0!</v>
      </c>
      <c r="I25" s="756">
        <v>0</v>
      </c>
      <c r="J25" s="765" t="e">
        <f t="shared" si="0"/>
        <v>#DIV/0!</v>
      </c>
      <c r="L25" s="653"/>
    </row>
    <row r="26" spans="2:12" s="611" customFormat="1" ht="21">
      <c r="C26" s="660" t="str">
        <f>TillageOperations!$B$15</f>
        <v>Lister</v>
      </c>
      <c r="D26" s="765"/>
      <c r="E26" s="771" t="e">
        <f>BASEBUDGETS!E741/BASEBUDGETS!C674</f>
        <v>#DIV/0!</v>
      </c>
      <c r="F26" s="770" t="str">
        <f>BASEBUDGETS!C741</f>
        <v>acre</v>
      </c>
      <c r="G26" s="756" t="e">
        <f>IF(E26=0,0,BASEBUDGETS!D742*E26)</f>
        <v>#DIV/0!</v>
      </c>
      <c r="H26" s="756" t="e">
        <f>IF(E26=0,0,BASEBUDGETS!D741*E26)</f>
        <v>#DIV/0!</v>
      </c>
      <c r="I26" s="756">
        <v>0</v>
      </c>
      <c r="J26" s="765" t="e">
        <f t="shared" si="0"/>
        <v>#DIV/0!</v>
      </c>
      <c r="L26" s="653"/>
    </row>
    <row r="27" spans="2:12" s="611" customFormat="1" ht="21">
      <c r="C27" s="660" t="str">
        <f>TillageOperations!$B$16</f>
        <v>Bed Shaper</v>
      </c>
      <c r="D27" s="765"/>
      <c r="E27" s="771" t="e">
        <f>BASEBUDGETS!E743/BASEBUDGETS!C674</f>
        <v>#DIV/0!</v>
      </c>
      <c r="F27" s="770" t="str">
        <f>BASEBUDGETS!C743</f>
        <v>acre</v>
      </c>
      <c r="G27" s="756" t="e">
        <f>IF(E27=0,0,BASEBUDGETS!D744*E27)</f>
        <v>#DIV/0!</v>
      </c>
      <c r="H27" s="756" t="e">
        <f>IF(E27=0,0,BASEBUDGETS!D743*E27)</f>
        <v>#DIV/0!</v>
      </c>
      <c r="I27" s="756">
        <v>0</v>
      </c>
      <c r="J27" s="765" t="e">
        <f t="shared" si="0"/>
        <v>#DIV/0!</v>
      </c>
      <c r="L27" s="653"/>
    </row>
    <row r="28" spans="2:12" s="611" customFormat="1" ht="21">
      <c r="C28" s="660" t="str">
        <f>BASEBUDGETS!B782</f>
        <v>Additional Land Prep. Labor</v>
      </c>
      <c r="D28" s="765">
        <f>GeneralInputPrices!$D$30</f>
        <v>14.55</v>
      </c>
      <c r="E28" s="758" t="e">
        <f>BASEBUDGETS!E782/BASEBUDGETS!C674</f>
        <v>#DIV/0!</v>
      </c>
      <c r="F28" s="773" t="str">
        <f>BASEBUDGETS!C782</f>
        <v>hour</v>
      </c>
      <c r="G28" s="756" t="e">
        <f>D28*E28</f>
        <v>#DIV/0!</v>
      </c>
      <c r="H28" s="756">
        <v>0</v>
      </c>
      <c r="I28" s="756">
        <v>0</v>
      </c>
      <c r="J28" s="765" t="e">
        <f t="shared" si="0"/>
        <v>#DIV/0!</v>
      </c>
      <c r="L28" s="653"/>
    </row>
    <row r="29" spans="2:12" s="611" customFormat="1" ht="21">
      <c r="C29" s="660" t="str">
        <f>BASEBUDGETS!B783</f>
        <v>Additional Land Prep. Labor</v>
      </c>
      <c r="D29" s="765">
        <f>GeneralInputPrices!$D$30</f>
        <v>14.55</v>
      </c>
      <c r="E29" s="758" t="e">
        <f>BASEBUDGETS!E783/BASEBUDGETS!C674</f>
        <v>#DIV/0!</v>
      </c>
      <c r="F29" s="773" t="str">
        <f>BASEBUDGETS!C783</f>
        <v>hour</v>
      </c>
      <c r="G29" s="756" t="e">
        <f>D29*E29</f>
        <v>#DIV/0!</v>
      </c>
      <c r="H29" s="756">
        <v>0</v>
      </c>
      <c r="I29" s="756">
        <v>0</v>
      </c>
      <c r="J29" s="765" t="e">
        <f t="shared" si="0"/>
        <v>#DIV/0!</v>
      </c>
      <c r="L29" s="653"/>
    </row>
    <row r="30" spans="2:12" s="611" customFormat="1" ht="21">
      <c r="B30" s="760" t="s">
        <v>175</v>
      </c>
      <c r="C30" s="760"/>
      <c r="D30" s="765"/>
      <c r="E30" s="774"/>
      <c r="G30" s="757"/>
      <c r="H30" s="757"/>
      <c r="I30" s="757"/>
      <c r="J30" s="757"/>
      <c r="L30" s="653"/>
    </row>
    <row r="31" spans="2:12" s="611" customFormat="1" ht="21">
      <c r="C31" s="660" t="str">
        <f>BASEBUDGETS!B710</f>
        <v>Drill, Custom</v>
      </c>
      <c r="D31" s="765">
        <f>CustomOperations!H24</f>
        <v>700</v>
      </c>
      <c r="E31" s="771" t="e">
        <f>BASEBUDGETS!E710/BASEBUDGETS!C674</f>
        <v>#DIV/0!</v>
      </c>
      <c r="F31" s="770" t="str">
        <f>BASEBUDGETS!C710</f>
        <v>acre</v>
      </c>
      <c r="G31" s="756">
        <v>0</v>
      </c>
      <c r="H31" s="756">
        <v>0</v>
      </c>
      <c r="I31" s="756" t="e">
        <f>IF(E31=0,0,(BASEBUDGETS!D710*E31))</f>
        <v>#DIV/0!</v>
      </c>
      <c r="J31" s="765" t="e">
        <f t="shared" ref="J31:J33" si="1">G31+H31+I31</f>
        <v>#DIV/0!</v>
      </c>
      <c r="L31" s="653"/>
    </row>
    <row r="32" spans="2:12" s="611" customFormat="1" ht="21">
      <c r="C32" s="660" t="str">
        <f>BASEBUDGETS!B711</f>
        <v>Row Planter, Custom</v>
      </c>
      <c r="D32" s="765">
        <f>CustomOperations!H26</f>
        <v>150</v>
      </c>
      <c r="E32" s="771" t="e">
        <f>BASEBUDGETS!E711/BASEBUDGETS!C674</f>
        <v>#DIV/0!</v>
      </c>
      <c r="F32" s="770" t="str">
        <f>BASEBUDGETS!C711</f>
        <v>acre</v>
      </c>
      <c r="G32" s="756">
        <v>0</v>
      </c>
      <c r="H32" s="756">
        <v>0</v>
      </c>
      <c r="I32" s="756" t="e">
        <f>IF(E32=0,0,(BASEBUDGETS!D711*E32))</f>
        <v>#DIV/0!</v>
      </c>
      <c r="J32" s="765" t="e">
        <f t="shared" si="1"/>
        <v>#DIV/0!</v>
      </c>
      <c r="L32" s="653"/>
    </row>
    <row r="33" spans="3:15" s="611" customFormat="1" ht="21">
      <c r="C33" s="660" t="str">
        <f>TillageOperations!$B$21</f>
        <v>Drill</v>
      </c>
      <c r="D33" s="765"/>
      <c r="E33" s="771" t="e">
        <f>BASEBUDGETS!E749/BASEBUDGETS!C674</f>
        <v>#DIV/0!</v>
      </c>
      <c r="F33" s="770" t="str">
        <f>BASEBUDGETS!C749</f>
        <v>acre</v>
      </c>
      <c r="G33" s="756" t="e">
        <f>IF(E33=0,0,BASEBUDGETS!D750*E33)</f>
        <v>#DIV/0!</v>
      </c>
      <c r="H33" s="756" t="e">
        <f>IF(E33=0,0,BASEBUDGETS!D749*E33)</f>
        <v>#DIV/0!</v>
      </c>
      <c r="I33" s="756">
        <v>0</v>
      </c>
      <c r="J33" s="765" t="e">
        <f t="shared" si="1"/>
        <v>#DIV/0!</v>
      </c>
      <c r="L33" s="653"/>
    </row>
    <row r="34" spans="3:15" s="611" customFormat="1" ht="21">
      <c r="C34" s="660" t="str">
        <f>TillageOperations!$B$19</f>
        <v>Row Planter</v>
      </c>
      <c r="D34" s="765"/>
      <c r="E34" s="771" t="e">
        <f>BASEBUDGETS!E745/BASEBUDGETS!C674</f>
        <v>#DIV/0!</v>
      </c>
      <c r="F34" s="770" t="str">
        <f>BASEBUDGETS!C745</f>
        <v>acre</v>
      </c>
      <c r="G34" s="756" t="e">
        <f>IF(E34=0,0,BASEBUDGETS!D746*E34)</f>
        <v>#DIV/0!</v>
      </c>
      <c r="H34" s="756" t="e">
        <f>IF(E34=0,0,BASEBUDGETS!D745*E34)</f>
        <v>#DIV/0!</v>
      </c>
      <c r="I34" s="756">
        <v>0</v>
      </c>
      <c r="J34" s="765" t="e">
        <f>G34+H34+I34</f>
        <v>#DIV/0!</v>
      </c>
      <c r="L34" s="653"/>
    </row>
    <row r="35" spans="3:15" s="611" customFormat="1" ht="21">
      <c r="C35" s="660" t="str">
        <f>TillageOperations!$B$22</f>
        <v>Transplanter</v>
      </c>
      <c r="D35" s="765"/>
      <c r="E35" s="771" t="e">
        <f>BASEBUDGETS!E780/BASEBUDGETS!C674</f>
        <v>#DIV/0!</v>
      </c>
      <c r="F35" s="770" t="str">
        <f>BASEBUDGETS!C780</f>
        <v>acre</v>
      </c>
      <c r="G35" s="756" t="e">
        <f>IF(E35=0,0,BASEBUDGETS!D781*E35)</f>
        <v>#DIV/0!</v>
      </c>
      <c r="H35" s="756" t="e">
        <f>IF(E35=0,0,BASEBUDGETS!D780*E35)</f>
        <v>#DIV/0!</v>
      </c>
      <c r="I35" s="756">
        <v>0</v>
      </c>
      <c r="J35" s="765" t="e">
        <f>G35+H35+I35</f>
        <v>#DIV/0!</v>
      </c>
      <c r="L35" s="653"/>
    </row>
    <row r="36" spans="3:15" s="611" customFormat="1" ht="21">
      <c r="C36" s="660" t="s">
        <v>439</v>
      </c>
      <c r="D36" s="765"/>
      <c r="E36" s="771"/>
      <c r="F36" s="770"/>
      <c r="G36" s="756">
        <v>0</v>
      </c>
      <c r="H36" s="756">
        <v>0</v>
      </c>
      <c r="I36" s="756" t="e">
        <f>(D37*E37)+(D38*E38)</f>
        <v>#DIV/0!</v>
      </c>
      <c r="J36" s="765" t="e">
        <f>G36+H36+I36</f>
        <v>#DIV/0!</v>
      </c>
      <c r="L36" s="653"/>
    </row>
    <row r="37" spans="3:15" s="611" customFormat="1" ht="21">
      <c r="C37" s="660" t="str">
        <f>BASEBUDGETS!B682</f>
        <v xml:space="preserve">   - Seed</v>
      </c>
      <c r="D37" s="765">
        <f>BASEBUDGETS!D682</f>
        <v>0.25</v>
      </c>
      <c r="E37" s="775" t="e">
        <f>BASEBUDGETS!E682/BASEBUDGETS!C674</f>
        <v>#DIV/0!</v>
      </c>
      <c r="F37" s="769" t="str">
        <f>BASEBUDGETS!C682</f>
        <v>pounds</v>
      </c>
      <c r="G37" s="757"/>
      <c r="H37" s="757"/>
      <c r="I37" s="757"/>
      <c r="J37" s="757"/>
      <c r="L37" s="653"/>
    </row>
    <row r="38" spans="3:15" s="611" customFormat="1" ht="21">
      <c r="C38" s="660" t="str">
        <f>BASEBUDGETS!B683</f>
        <v xml:space="preserve">   - Inoculant</v>
      </c>
      <c r="D38" s="765">
        <f>BASEBUDGETS!D683</f>
        <v>3</v>
      </c>
      <c r="E38" s="775" t="e">
        <f>BASEBUDGETS!E683/BASEBUDGETS!C674</f>
        <v>#DIV/0!</v>
      </c>
      <c r="F38" s="769" t="str">
        <f>BASEBUDGETS!C683</f>
        <v>pounds</v>
      </c>
      <c r="G38" s="765"/>
      <c r="H38" s="765"/>
      <c r="I38" s="765"/>
      <c r="J38" s="765"/>
      <c r="L38" s="653"/>
    </row>
    <row r="39" spans="3:15" s="611" customFormat="1" ht="21">
      <c r="C39" s="660" t="str">
        <f>BASEBUDGETS!B722</f>
        <v>Fertilizer Spreader, Custom</v>
      </c>
      <c r="D39" s="765">
        <f>CustomOperations!H32</f>
        <v>10.08</v>
      </c>
      <c r="E39" s="771" t="e">
        <f>BASEBUDGETS!E722/BASEBUDGETS!C674</f>
        <v>#DIV/0!</v>
      </c>
      <c r="F39" s="770" t="str">
        <f>BASEBUDGETS!C722</f>
        <v>acre</v>
      </c>
      <c r="G39" s="756">
        <v>0</v>
      </c>
      <c r="H39" s="756">
        <v>0</v>
      </c>
      <c r="I39" s="756" t="e">
        <f>IF(E39=0,0,BASEBUDGETS!D722*E39)</f>
        <v>#DIV/0!</v>
      </c>
      <c r="J39" s="765" t="e">
        <f>G39+H39+I39</f>
        <v>#DIV/0!</v>
      </c>
      <c r="L39" s="653"/>
    </row>
    <row r="40" spans="3:15" s="611" customFormat="1" ht="21">
      <c r="C40" s="660" t="str">
        <f>BASEBUDGETS!B723</f>
        <v>Laser Landplaning, Custom</v>
      </c>
      <c r="D40" s="765">
        <f>CustomOperations!H34</f>
        <v>411</v>
      </c>
      <c r="E40" s="771" t="e">
        <f>BASEBUDGETS!E723/BASEBUDGETS!C674</f>
        <v>#DIV/0!</v>
      </c>
      <c r="F40" s="770" t="str">
        <f>BASEBUDGETS!C723</f>
        <v>acre</v>
      </c>
      <c r="G40" s="756">
        <v>0</v>
      </c>
      <c r="H40" s="756">
        <v>0</v>
      </c>
      <c r="I40" s="756" t="e">
        <f>IF(E40=0,0,BASEBUDGETS!D723*E40)</f>
        <v>#DIV/0!</v>
      </c>
      <c r="J40" s="765" t="e">
        <f>G40+H40+I40</f>
        <v>#DIV/0!</v>
      </c>
      <c r="L40" s="653"/>
    </row>
    <row r="41" spans="3:15" s="611" customFormat="1" ht="21">
      <c r="C41" s="660" t="str">
        <f>TillageOperations!$B$23</f>
        <v>Fertilizer Spreader</v>
      </c>
      <c r="D41" s="765"/>
      <c r="E41" s="771" t="e">
        <f>BASEBUDGETS!E774/BASEBUDGETS!C674</f>
        <v>#DIV/0!</v>
      </c>
      <c r="F41" s="770" t="str">
        <f>BASEBUDGETS!C774</f>
        <v>acre</v>
      </c>
      <c r="G41" s="756" t="e">
        <f>IF(E41=0,0,BASEBUDGETS!D775*E41)</f>
        <v>#DIV/0!</v>
      </c>
      <c r="H41" s="756" t="e">
        <f>IF(E41=0,0,BASEBUDGETS!D774*E41)</f>
        <v>#DIV/0!</v>
      </c>
      <c r="I41" s="756">
        <v>0</v>
      </c>
      <c r="J41" s="765" t="e">
        <f>G41+H41+I41</f>
        <v>#DIV/0!</v>
      </c>
      <c r="L41" s="653"/>
    </row>
    <row r="42" spans="3:15" s="611" customFormat="1" ht="21">
      <c r="C42" s="660" t="str">
        <f>TillageOperations!$B$24</f>
        <v>Fertilizer Injection System</v>
      </c>
      <c r="D42" s="765"/>
      <c r="E42" s="771" t="e">
        <f>BASEBUDGETS!E776/BASEBUDGETS!C674</f>
        <v>#DIV/0!</v>
      </c>
      <c r="F42" s="770" t="str">
        <f>BASEBUDGETS!C776</f>
        <v>acre</v>
      </c>
      <c r="G42" s="756" t="e">
        <f>IF(E42=0,0,BASEBUDGETS!D777*E42)</f>
        <v>#DIV/0!</v>
      </c>
      <c r="H42" s="756" t="e">
        <f>IF(E42=0,0,BASEBUDGETS!D776*E42)</f>
        <v>#DIV/0!</v>
      </c>
      <c r="I42" s="756">
        <v>0</v>
      </c>
      <c r="J42" s="765" t="e">
        <f>G42+H42+I42</f>
        <v>#DIV/0!</v>
      </c>
      <c r="L42" s="653"/>
    </row>
    <row r="43" spans="3:15" ht="20.100000000000001" customHeight="1">
      <c r="C43" s="660" t="s">
        <v>407</v>
      </c>
      <c r="D43" s="765"/>
      <c r="E43" s="771"/>
      <c r="F43" s="770"/>
      <c r="G43" s="756">
        <v>0</v>
      </c>
      <c r="H43" s="756">
        <v>0</v>
      </c>
      <c r="I43" s="756" t="e">
        <f>(D44*E44)+(D45*E45)+(D46*E46)+(D47*E47)+(D48*E48)+(D49*E49)+(D50*E50)</f>
        <v>#DIV/0!</v>
      </c>
      <c r="J43" s="765" t="e">
        <f>G43+H43+I43</f>
        <v>#DIV/0!</v>
      </c>
      <c r="M43" s="611"/>
      <c r="N43" s="611"/>
      <c r="O43" s="611"/>
    </row>
    <row r="44" spans="3:15" s="611" customFormat="1" ht="21">
      <c r="C44" s="660" t="str">
        <f>BASEBUDGETS!B684</f>
        <v xml:space="preserve">   - Nitrogen</v>
      </c>
      <c r="D44" s="765">
        <f>BASEBUDGETS!D684</f>
        <v>0.46</v>
      </c>
      <c r="E44" s="775" t="e">
        <f>BASEBUDGETS!E684/BASEBUDGETS!C674</f>
        <v>#DIV/0!</v>
      </c>
      <c r="F44" s="769" t="str">
        <f>BASEBUDGETS!C684</f>
        <v>pounds</v>
      </c>
      <c r="G44" s="765"/>
      <c r="H44" s="765"/>
      <c r="I44" s="765"/>
      <c r="J44" s="765"/>
      <c r="L44" s="653"/>
    </row>
    <row r="45" spans="3:15" s="611" customFormat="1" ht="21">
      <c r="C45" s="660" t="str">
        <f>BASEBUDGETS!B685</f>
        <v xml:space="preserve">   - Phosphorus</v>
      </c>
      <c r="D45" s="765">
        <f>BASEBUDGETS!D685</f>
        <v>0.36</v>
      </c>
      <c r="E45" s="775" t="e">
        <f>BASEBUDGETS!E685/BASEBUDGETS!C674</f>
        <v>#DIV/0!</v>
      </c>
      <c r="F45" s="769" t="str">
        <f>BASEBUDGETS!C685</f>
        <v>pounds</v>
      </c>
      <c r="G45" s="765"/>
      <c r="H45" s="765"/>
      <c r="I45" s="765"/>
      <c r="J45" s="765"/>
      <c r="L45" s="653"/>
    </row>
    <row r="46" spans="3:15" s="611" customFormat="1" ht="21">
      <c r="C46" s="660" t="str">
        <f>BASEBUDGETS!B686</f>
        <v xml:space="preserve">   - Anhydrous Ammonia</v>
      </c>
      <c r="D46" s="765">
        <f>BASEBUDGETS!D686</f>
        <v>0.21</v>
      </c>
      <c r="E46" s="775" t="e">
        <f>BASEBUDGETS!E686/BASEBUDGETS!C674</f>
        <v>#DIV/0!</v>
      </c>
      <c r="F46" s="769" t="str">
        <f>BASEBUDGETS!C686</f>
        <v>pounds</v>
      </c>
      <c r="G46" s="765"/>
      <c r="H46" s="765"/>
      <c r="I46" s="765"/>
      <c r="J46" s="765"/>
      <c r="L46" s="653"/>
    </row>
    <row r="47" spans="3:15" s="611" customFormat="1" ht="21">
      <c r="C47" s="660" t="str">
        <f>BASEBUDGETS!B687</f>
        <v xml:space="preserve">   - Trace Elements</v>
      </c>
      <c r="D47" s="765">
        <f>BASEBUDGETS!D687</f>
        <v>0.24</v>
      </c>
      <c r="E47" s="775" t="e">
        <f>BASEBUDGETS!E687/BASEBUDGETS!C674</f>
        <v>#DIV/0!</v>
      </c>
      <c r="F47" s="769" t="str">
        <f>BASEBUDGETS!C687</f>
        <v>pounds</v>
      </c>
      <c r="G47" s="765"/>
      <c r="H47" s="765"/>
      <c r="I47" s="765"/>
      <c r="J47" s="765"/>
      <c r="L47" s="653"/>
    </row>
    <row r="48" spans="3:15" s="611" customFormat="1" ht="21">
      <c r="C48" s="660" t="str">
        <f>BASEBUDGETS!B688</f>
        <v xml:space="preserve">   - Nitrogen</v>
      </c>
      <c r="D48" s="765">
        <f>BASEBUDGETS!D688</f>
        <v>650</v>
      </c>
      <c r="E48" s="775" t="e">
        <f>BASEBUDGETS!E688/BASEBUDGETS!C674</f>
        <v>#DIV/0!</v>
      </c>
      <c r="F48" s="769" t="str">
        <f>BASEBUDGETS!C688</f>
        <v>acre</v>
      </c>
      <c r="G48" s="765"/>
      <c r="H48" s="765"/>
      <c r="I48" s="765"/>
      <c r="J48" s="765"/>
      <c r="L48" s="653"/>
    </row>
    <row r="49" spans="2:12" s="611" customFormat="1" ht="21">
      <c r="C49" s="660" t="str">
        <f>BASEBUDGETS!B689</f>
        <v xml:space="preserve">   - Phosphorus</v>
      </c>
      <c r="D49" s="765">
        <f>BASEBUDGETS!D689</f>
        <v>0</v>
      </c>
      <c r="E49" s="775" t="e">
        <f>BASEBUDGETS!E689/BASEBUDGETS!C674</f>
        <v>#DIV/0!</v>
      </c>
      <c r="F49" s="769" t="str">
        <f>BASEBUDGETS!C689</f>
        <v>acre</v>
      </c>
      <c r="G49" s="765"/>
      <c r="H49" s="765"/>
      <c r="I49" s="765"/>
      <c r="J49" s="765"/>
      <c r="L49" s="653"/>
    </row>
    <row r="50" spans="2:12" s="611" customFormat="1" ht="21">
      <c r="C50" s="660" t="str">
        <f>BASEBUDGETS!B690</f>
        <v xml:space="preserve">   - Fertilizer - Anhydrous Applicator</v>
      </c>
      <c r="D50" s="765">
        <f>BASEBUDGETS!D690</f>
        <v>0</v>
      </c>
      <c r="E50" s="775" t="e">
        <f>BASEBUDGETS!E690/BASEBUDGETS!C674</f>
        <v>#DIV/0!</v>
      </c>
      <c r="F50" s="769" t="str">
        <f>BASEBUDGETS!C690</f>
        <v>acre</v>
      </c>
      <c r="G50" s="765"/>
      <c r="H50" s="765"/>
      <c r="I50" s="765"/>
      <c r="J50" s="765"/>
      <c r="L50" s="653"/>
    </row>
    <row r="51" spans="2:12" s="611" customFormat="1" ht="21">
      <c r="C51" s="660" t="str">
        <f>BASEBUDGETS!B724</f>
        <v>Boom Sprayer, Custom</v>
      </c>
      <c r="D51" s="765">
        <f>CustomOperations!H18</f>
        <v>0</v>
      </c>
      <c r="E51" s="771" t="e">
        <f>BASEBUDGETS!E724/BASEBUDGETS!C674</f>
        <v>#DIV/0!</v>
      </c>
      <c r="F51" s="770" t="str">
        <f>BASEBUDGETS!C724</f>
        <v>acre</v>
      </c>
      <c r="G51" s="756">
        <v>0</v>
      </c>
      <c r="H51" s="756">
        <v>0</v>
      </c>
      <c r="I51" s="756" t="e">
        <f>IF(E51=0,0,BASEBUDGETS!D724*E51)</f>
        <v>#DIV/0!</v>
      </c>
      <c r="J51" s="765" t="e">
        <f>G51+H51+I51</f>
        <v>#DIV/0!</v>
      </c>
      <c r="L51" s="653"/>
    </row>
    <row r="52" spans="2:12" s="611" customFormat="1" ht="21">
      <c r="C52" s="660" t="str">
        <f>TillageOperations!$B$25</f>
        <v>Boom Sprayer</v>
      </c>
      <c r="D52" s="765"/>
      <c r="E52" s="771" t="e">
        <f>BASEBUDGETS!E778/BASEBUDGETS!C674</f>
        <v>#DIV/0!</v>
      </c>
      <c r="F52" s="770" t="str">
        <f>BASEBUDGETS!C778</f>
        <v>acre</v>
      </c>
      <c r="G52" s="756" t="e">
        <f>IF(E52=0,0,BASEBUDGETS!D779*E52)</f>
        <v>#DIV/0!</v>
      </c>
      <c r="H52" s="756" t="e">
        <f>IF(E52=0,0,BASEBUDGETS!D778*E52)</f>
        <v>#DIV/0!</v>
      </c>
      <c r="I52" s="756">
        <v>0</v>
      </c>
      <c r="J52" s="765" t="e">
        <f>G52+H52+I52</f>
        <v>#DIV/0!</v>
      </c>
      <c r="L52" s="653"/>
    </row>
    <row r="53" spans="2:12" s="611" customFormat="1" ht="21">
      <c r="C53" s="660" t="s">
        <v>408</v>
      </c>
      <c r="D53" s="765"/>
      <c r="E53" s="771"/>
      <c r="F53" s="770"/>
      <c r="G53" s="756">
        <v>0</v>
      </c>
      <c r="H53" s="756">
        <v>0</v>
      </c>
      <c r="I53" s="756" t="e">
        <f>(D54*E54)+(D55*E55)+(D56*E56)+(D57*E57)+(D58*E58)+(D59*E59)+(D60*E60)</f>
        <v>#DIV/0!</v>
      </c>
      <c r="J53" s="765" t="e">
        <f>G53+H53+I53</f>
        <v>#DIV/0!</v>
      </c>
      <c r="L53" s="653"/>
    </row>
    <row r="54" spans="2:12" s="611" customFormat="1" ht="21">
      <c r="C54" s="660" t="str">
        <f>BASEBUDGETS!B691</f>
        <v xml:space="preserve">   - Prowl</v>
      </c>
      <c r="D54" s="765">
        <f>BASEBUDGETS!D691</f>
        <v>6.0625</v>
      </c>
      <c r="E54" s="775" t="e">
        <f>BASEBUDGETS!E691/BASEBUDGETS!C674</f>
        <v>#DIV/0!</v>
      </c>
      <c r="F54" s="769" t="str">
        <f>BASEBUDGETS!C691</f>
        <v>pints</v>
      </c>
      <c r="G54" s="765"/>
      <c r="H54" s="765"/>
      <c r="I54" s="765"/>
      <c r="J54" s="765"/>
      <c r="L54" s="653"/>
    </row>
    <row r="55" spans="2:12" s="611" customFormat="1" ht="21">
      <c r="C55" s="660" t="str">
        <f>BASEBUDGETS!B692</f>
        <v xml:space="preserve">   - Aim</v>
      </c>
      <c r="D55" s="765">
        <f>BASEBUDGETS!D692</f>
        <v>5.9375</v>
      </c>
      <c r="E55" s="775" t="e">
        <f>BASEBUDGETS!E692/BASEBUDGETS!C674</f>
        <v>#DIV/0!</v>
      </c>
      <c r="F55" s="769" t="str">
        <f>BASEBUDGETS!C692</f>
        <v>ounces</v>
      </c>
      <c r="G55" s="765"/>
      <c r="H55" s="765"/>
      <c r="I55" s="765"/>
      <c r="J55" s="765"/>
      <c r="L55" s="653"/>
    </row>
    <row r="56" spans="2:12" s="611" customFormat="1" ht="21">
      <c r="C56" s="660" t="str">
        <f>BASEBUDGETS!B693</f>
        <v xml:space="preserve">   - Fusilade</v>
      </c>
      <c r="D56" s="765">
        <f>BASEBUDGETS!D693</f>
        <v>1.25</v>
      </c>
      <c r="E56" s="775" t="e">
        <f>BASEBUDGETS!E693/BASEBUDGETS!C674</f>
        <v>#DIV/0!</v>
      </c>
      <c r="F56" s="769" t="str">
        <f>BASEBUDGETS!C693</f>
        <v>ounces</v>
      </c>
      <c r="G56" s="765"/>
      <c r="H56" s="765"/>
      <c r="I56" s="765"/>
      <c r="J56" s="765"/>
      <c r="L56" s="653"/>
    </row>
    <row r="57" spans="2:12" s="611" customFormat="1" ht="21">
      <c r="C57" s="660" t="str">
        <f>BASEBUDGETS!B694</f>
        <v xml:space="preserve">   - Herbicides</v>
      </c>
      <c r="D57" s="765">
        <f>BASEBUDGETS!D694</f>
        <v>0</v>
      </c>
      <c r="E57" s="775" t="e">
        <f>BASEBUDGETS!E694/BASEBUDGETS!C674</f>
        <v>#DIV/0!</v>
      </c>
      <c r="F57" s="769" t="str">
        <f>BASEBUDGETS!C694</f>
        <v>acre</v>
      </c>
      <c r="G57" s="765"/>
      <c r="H57" s="765"/>
      <c r="I57" s="765"/>
      <c r="J57" s="765"/>
      <c r="L57" s="653"/>
    </row>
    <row r="58" spans="2:12" s="611" customFormat="1" ht="21">
      <c r="C58" s="660" t="str">
        <f>BASEBUDGETS!B695</f>
        <v xml:space="preserve">   - Herbicide - #2</v>
      </c>
      <c r="D58" s="765">
        <f>BASEBUDGETS!D695</f>
        <v>0</v>
      </c>
      <c r="E58" s="775" t="e">
        <f>BASEBUDGETS!E695/BASEBUDGETS!C674</f>
        <v>#DIV/0!</v>
      </c>
      <c r="F58" s="769" t="str">
        <f>BASEBUDGETS!C695</f>
        <v>acre</v>
      </c>
      <c r="G58" s="765"/>
      <c r="H58" s="765"/>
      <c r="I58" s="765"/>
      <c r="J58" s="765"/>
      <c r="L58" s="653"/>
    </row>
    <row r="59" spans="2:12" s="611" customFormat="1" ht="21">
      <c r="C59" s="660" t="str">
        <f>BASEBUDGETS!B696</f>
        <v xml:space="preserve">   - Insecticides</v>
      </c>
      <c r="D59" s="765">
        <f>BASEBUDGETS!D696</f>
        <v>0</v>
      </c>
      <c r="E59" s="775" t="e">
        <f>BASEBUDGETS!E696/BASEBUDGETS!C674</f>
        <v>#DIV/0!</v>
      </c>
      <c r="F59" s="769" t="str">
        <f>BASEBUDGETS!C696</f>
        <v>acre</v>
      </c>
      <c r="G59" s="765"/>
      <c r="H59" s="765"/>
      <c r="I59" s="765"/>
      <c r="J59" s="765"/>
      <c r="L59" s="653"/>
    </row>
    <row r="60" spans="2:12" s="611" customFormat="1" ht="21">
      <c r="C60" s="660" t="str">
        <f>BASEBUDGETS!B697</f>
        <v xml:space="preserve">   - Insecticide - #2</v>
      </c>
      <c r="D60" s="765">
        <f>BASEBUDGETS!D697</f>
        <v>0</v>
      </c>
      <c r="E60" s="775" t="e">
        <f>BASEBUDGETS!E697/BASEBUDGETS!C674</f>
        <v>#DIV/0!</v>
      </c>
      <c r="F60" s="769" t="str">
        <f>BASEBUDGETS!C697</f>
        <v>acre</v>
      </c>
      <c r="G60" s="765"/>
      <c r="H60" s="765"/>
      <c r="I60" s="765"/>
      <c r="J60" s="765"/>
      <c r="L60" s="653"/>
    </row>
    <row r="61" spans="2:12" s="611" customFormat="1" ht="21">
      <c r="C61" s="660" t="str">
        <f>BASEBUDGETS!B712</f>
        <v>Row Cultivator, Custom</v>
      </c>
      <c r="D61" s="765">
        <f>CustomOperations!H28</f>
        <v>0</v>
      </c>
      <c r="E61" s="771" t="e">
        <f>BASEBUDGETS!E712/BASEBUDGETS!C674</f>
        <v>#DIV/0!</v>
      </c>
      <c r="F61" s="770" t="str">
        <f>BASEBUDGETS!C712</f>
        <v>acre</v>
      </c>
      <c r="G61" s="756">
        <v>0</v>
      </c>
      <c r="H61" s="756">
        <v>0</v>
      </c>
      <c r="I61" s="756" t="e">
        <f>IF(E61=0,0,BASEBUDGETS!D712*E61)</f>
        <v>#DIV/0!</v>
      </c>
      <c r="J61" s="765" t="e">
        <f>G61+H61+I61</f>
        <v>#DIV/0!</v>
      </c>
      <c r="L61" s="653"/>
    </row>
    <row r="62" spans="2:12" s="611" customFormat="1" ht="21">
      <c r="C62" s="660" t="str">
        <f>TillageOperations!$B$20</f>
        <v>Row Cultivator</v>
      </c>
      <c r="D62" s="765"/>
      <c r="E62" s="771" t="e">
        <f>BASEBUDGETS!E747/BASEBUDGETS!C674</f>
        <v>#DIV/0!</v>
      </c>
      <c r="F62" s="770" t="str">
        <f>BASEBUDGETS!C747</f>
        <v>acre</v>
      </c>
      <c r="G62" s="756" t="e">
        <f>IF(E62=0,0,BASEBUDGETS!D748*E62)</f>
        <v>#DIV/0!</v>
      </c>
      <c r="H62" s="756" t="e">
        <f>IF(E62=0,0,BASEBUDGETS!D747*E62)</f>
        <v>#DIV/0!</v>
      </c>
      <c r="I62" s="756">
        <v>0</v>
      </c>
      <c r="J62" s="765" t="e">
        <f>G62+H62+I62</f>
        <v>#DIV/0!</v>
      </c>
      <c r="L62" s="653"/>
    </row>
    <row r="63" spans="2:12" s="611" customFormat="1" ht="21">
      <c r="C63" s="660" t="s">
        <v>151</v>
      </c>
      <c r="D63" s="765"/>
      <c r="E63" s="776" t="s">
        <v>10</v>
      </c>
      <c r="F63" s="777" t="s">
        <v>10</v>
      </c>
      <c r="G63" s="756" t="e">
        <f>(D65*E65)+(D68*E68)+(D71*E71)</f>
        <v>#DIV/0!</v>
      </c>
      <c r="H63" s="756">
        <v>0</v>
      </c>
      <c r="I63" s="678" t="e">
        <f>(D64*E64)+(D67*E67)+(D70*E70+(D66*E66)+(D69*E69)+(D72*E72))</f>
        <v>#DIV/0!</v>
      </c>
      <c r="J63" s="765" t="e">
        <f>G63+H63+I63</f>
        <v>#DIV/0!</v>
      </c>
      <c r="L63" s="653"/>
    </row>
    <row r="64" spans="2:12" s="611" customFormat="1" ht="21">
      <c r="B64" s="660"/>
      <c r="C64" s="660" t="str">
        <f>BASEBUDGETS!B698</f>
        <v>Flood - Irrigation Water</v>
      </c>
      <c r="D64" s="765">
        <f>BASEBUDGETS!D698</f>
        <v>55</v>
      </c>
      <c r="E64" s="775" t="e">
        <f>BASEBUDGETS!E698/BASEBUDGETS!C$674</f>
        <v>#DIV/0!</v>
      </c>
      <c r="F64" s="769" t="str">
        <f>BASEBUDGETS!C698</f>
        <v>ac ft</v>
      </c>
      <c r="G64" s="756"/>
      <c r="H64" s="756"/>
      <c r="I64" s="765"/>
      <c r="J64" s="765"/>
      <c r="L64" s="653"/>
    </row>
    <row r="65" spans="2:12" s="611" customFormat="1" ht="21">
      <c r="B65" s="660"/>
      <c r="C65" s="660" t="str">
        <f>BASEBUDGETS!B699</f>
        <v>Flood - Irrigation Labor</v>
      </c>
      <c r="D65" s="765">
        <f>BASEBUDGETS!D699</f>
        <v>14.55</v>
      </c>
      <c r="E65" s="775" t="e">
        <f>BASEBUDGETS!E699/BASEBUDGETS!C$674</f>
        <v>#DIV/0!</v>
      </c>
      <c r="F65" s="769" t="str">
        <f>BASEBUDGETS!C699</f>
        <v>hour</v>
      </c>
      <c r="G65" s="756"/>
      <c r="H65" s="756"/>
      <c r="I65" s="765"/>
      <c r="J65" s="765"/>
      <c r="L65" s="653"/>
    </row>
    <row r="66" spans="2:12" s="611" customFormat="1" ht="21">
      <c r="C66" s="660" t="str">
        <f>BASEBUDGETS!B700</f>
        <v xml:space="preserve">   - Annual Repairs &amp; Maintenance</v>
      </c>
      <c r="D66" s="765">
        <f>BASEBUDGETS!D700</f>
        <v>3</v>
      </c>
      <c r="E66" s="775" t="e">
        <f>BASEBUDGETS!E700/BASEBUDGETS!C$674</f>
        <v>#DIV/0!</v>
      </c>
      <c r="F66" s="769" t="str">
        <f>BASEBUDGETS!C700</f>
        <v>acre</v>
      </c>
      <c r="G66" s="757"/>
      <c r="H66" s="757"/>
      <c r="I66" s="756"/>
      <c r="J66" s="778" t="s">
        <v>10</v>
      </c>
      <c r="L66" s="653"/>
    </row>
    <row r="67" spans="2:12" s="611" customFormat="1" ht="21">
      <c r="C67" s="660" t="str">
        <f>BASEBUDGETS!B701</f>
        <v>Drip-tape - Irrigation Water</v>
      </c>
      <c r="D67" s="765">
        <f>BASEBUDGETS!D701</f>
        <v>55</v>
      </c>
      <c r="E67" s="775" t="e">
        <f>BASEBUDGETS!E701/BASEBUDGETS!C$674</f>
        <v>#DIV/0!</v>
      </c>
      <c r="F67" s="769" t="str">
        <f>BASEBUDGETS!C701</f>
        <v>ac ft</v>
      </c>
      <c r="G67" s="756"/>
      <c r="H67" s="756"/>
      <c r="I67" s="756"/>
      <c r="J67" s="765"/>
      <c r="L67" s="653"/>
    </row>
    <row r="68" spans="2:12" s="611" customFormat="1" ht="21">
      <c r="C68" s="660" t="str">
        <f>BASEBUDGETS!B702</f>
        <v>Drip-tape - Irrigation Labor</v>
      </c>
      <c r="D68" s="765">
        <f>BASEBUDGETS!D702</f>
        <v>14.55</v>
      </c>
      <c r="E68" s="775" t="e">
        <f>BASEBUDGETS!E702/BASEBUDGETS!C$674</f>
        <v>#DIV/0!</v>
      </c>
      <c r="F68" s="769" t="str">
        <f>BASEBUDGETS!C702</f>
        <v>hour</v>
      </c>
      <c r="G68" s="756"/>
      <c r="H68" s="756"/>
      <c r="I68" s="756"/>
      <c r="J68" s="765"/>
      <c r="L68" s="653"/>
    </row>
    <row r="69" spans="2:12" s="611" customFormat="1" ht="21">
      <c r="C69" s="660" t="str">
        <f>BASEBUDGETS!B703</f>
        <v xml:space="preserve">   - Annual Repairs &amp; Maintenance</v>
      </c>
      <c r="D69" s="765">
        <f>BASEBUDGETS!D703</f>
        <v>7.5</v>
      </c>
      <c r="E69" s="775" t="e">
        <f>BASEBUDGETS!E703/BASEBUDGETS!C$674</f>
        <v>#DIV/0!</v>
      </c>
      <c r="F69" s="769" t="str">
        <f>BASEBUDGETS!C703</f>
        <v>acre</v>
      </c>
      <c r="G69" s="756"/>
      <c r="H69" s="756"/>
      <c r="I69" s="756"/>
      <c r="J69" s="765"/>
      <c r="L69" s="653"/>
    </row>
    <row r="70" spans="2:12" s="611" customFormat="1" ht="21">
      <c r="C70" s="660" t="str">
        <f>BASEBUDGETS!B704</f>
        <v>Sprinkler - Irrigation Water</v>
      </c>
      <c r="D70" s="765">
        <f>BASEBUDGETS!D704</f>
        <v>55</v>
      </c>
      <c r="E70" s="775" t="e">
        <f>BASEBUDGETS!E704/BASEBUDGETS!C$674</f>
        <v>#DIV/0!</v>
      </c>
      <c r="F70" s="769" t="str">
        <f>BASEBUDGETS!C704</f>
        <v>ac ft</v>
      </c>
      <c r="G70" s="756"/>
      <c r="H70" s="756"/>
      <c r="I70" s="756"/>
      <c r="J70" s="765"/>
      <c r="L70" s="653"/>
    </row>
    <row r="71" spans="2:12" s="611" customFormat="1" ht="21">
      <c r="C71" s="660" t="str">
        <f>BASEBUDGETS!B705</f>
        <v>Sprinkler - Irrigation Labor</v>
      </c>
      <c r="D71" s="765">
        <f>BASEBUDGETS!D705</f>
        <v>14.55</v>
      </c>
      <c r="E71" s="775" t="e">
        <f>BASEBUDGETS!E705/BASEBUDGETS!C$674</f>
        <v>#DIV/0!</v>
      </c>
      <c r="F71" s="769" t="str">
        <f>BASEBUDGETS!C705</f>
        <v>hour</v>
      </c>
      <c r="G71" s="756"/>
      <c r="H71" s="756"/>
      <c r="I71" s="756"/>
      <c r="J71" s="765"/>
      <c r="L71" s="653"/>
    </row>
    <row r="72" spans="2:12" s="611" customFormat="1" ht="21">
      <c r="C72" s="660" t="str">
        <f>BASEBUDGETS!B706</f>
        <v xml:space="preserve">   - Annual Repairs &amp; Maintenance</v>
      </c>
      <c r="D72" s="765">
        <f>BASEBUDGETS!D706</f>
        <v>15</v>
      </c>
      <c r="E72" s="775" t="e">
        <f>BASEBUDGETS!E706/BASEBUDGETS!C$674</f>
        <v>#DIV/0!</v>
      </c>
      <c r="F72" s="769" t="str">
        <f>BASEBUDGETS!C706</f>
        <v>acre</v>
      </c>
      <c r="G72" s="756"/>
      <c r="H72" s="756"/>
      <c r="I72" s="756"/>
      <c r="J72" s="765"/>
      <c r="L72" s="653"/>
    </row>
    <row r="73" spans="2:12" s="611" customFormat="1" ht="21">
      <c r="C73" s="660" t="str">
        <f>BASEBUDGETS!B784</f>
        <v>Additional Crop Prod. Labor</v>
      </c>
      <c r="D73" s="765">
        <f>GeneralInputPrices!$D$31</f>
        <v>14.55</v>
      </c>
      <c r="E73" s="771" t="e">
        <f>BASEBUDGETS!E784/BASEBUDGETS!C674</f>
        <v>#DIV/0!</v>
      </c>
      <c r="F73" s="770" t="str">
        <f>BASEBUDGETS!C784</f>
        <v>hour</v>
      </c>
      <c r="G73" s="756" t="e">
        <f>D73*E73</f>
        <v>#DIV/0!</v>
      </c>
      <c r="H73" s="756">
        <v>0</v>
      </c>
      <c r="I73" s="756">
        <v>0</v>
      </c>
      <c r="J73" s="765" t="e">
        <f t="shared" ref="J73:J74" si="2">G73+H73+I73</f>
        <v>#DIV/0!</v>
      </c>
      <c r="L73" s="653"/>
    </row>
    <row r="74" spans="2:12" s="611" customFormat="1" ht="21">
      <c r="C74" s="660" t="str">
        <f>BASEBUDGETS!B785</f>
        <v>Additional Crop Prod. Labor</v>
      </c>
      <c r="D74" s="765">
        <f>GeneralInputPrices!$D$31</f>
        <v>14.55</v>
      </c>
      <c r="E74" s="771" t="e">
        <f>BASEBUDGETS!E785/BASEBUDGETS!C674</f>
        <v>#DIV/0!</v>
      </c>
      <c r="F74" s="770" t="str">
        <f>BASEBUDGETS!C785</f>
        <v>hour</v>
      </c>
      <c r="G74" s="756" t="e">
        <f>D74*E74</f>
        <v>#DIV/0!</v>
      </c>
      <c r="H74" s="756">
        <v>0</v>
      </c>
      <c r="I74" s="756">
        <v>0</v>
      </c>
      <c r="J74" s="765" t="e">
        <f t="shared" si="2"/>
        <v>#DIV/0!</v>
      </c>
      <c r="L74" s="653"/>
    </row>
    <row r="75" spans="2:12" s="611" customFormat="1" ht="21">
      <c r="B75" s="804" t="s">
        <v>44</v>
      </c>
      <c r="C75" s="804"/>
      <c r="D75" s="778"/>
      <c r="E75" s="758"/>
      <c r="F75" s="780" t="s">
        <v>10</v>
      </c>
      <c r="G75" s="777" t="s">
        <v>10</v>
      </c>
      <c r="H75" s="777" t="s">
        <v>10</v>
      </c>
      <c r="I75" s="777" t="s">
        <v>10</v>
      </c>
      <c r="J75" s="777" t="s">
        <v>10</v>
      </c>
      <c r="L75" s="653"/>
    </row>
    <row r="76" spans="2:12" s="611" customFormat="1" ht="21">
      <c r="C76" s="660" t="str">
        <f>BASEBUDGETS!B707</f>
        <v>Harvest, Custom</v>
      </c>
      <c r="D76" s="765">
        <f>CustomOperations!H37</f>
        <v>0</v>
      </c>
      <c r="E76" s="771" t="e">
        <f>BASEBUDGETS!E707/BASEBUDGETS!C674</f>
        <v>#DIV/0!</v>
      </c>
      <c r="F76" s="770" t="str">
        <f>BASEBUDGETS!C707</f>
        <v>acre</v>
      </c>
      <c r="G76" s="756">
        <v>0</v>
      </c>
      <c r="H76" s="756">
        <v>0</v>
      </c>
      <c r="I76" s="756" t="e">
        <f>IF(E76=0,0,BASEBUDGETS!D707*E76)</f>
        <v>#DIV/0!</v>
      </c>
      <c r="J76" s="765" t="e">
        <f t="shared" ref="J76:J88" si="3">G76+H76+I76</f>
        <v>#DIV/0!</v>
      </c>
      <c r="L76" s="653"/>
    </row>
    <row r="77" spans="2:12" s="611" customFormat="1" ht="21">
      <c r="C77" s="660" t="str">
        <f>BASEBUDGETS!B708</f>
        <v>Hauling, Custom</v>
      </c>
      <c r="D77" s="765">
        <f>CustomOperations!H39</f>
        <v>0</v>
      </c>
      <c r="E77" s="771" t="e">
        <f>BASEBUDGETS!E708/BASEBUDGETS!C674</f>
        <v>#DIV/0!</v>
      </c>
      <c r="F77" s="770" t="str">
        <f>BASEBUDGETS!C708</f>
        <v>mile</v>
      </c>
      <c r="G77" s="756">
        <v>0</v>
      </c>
      <c r="H77" s="756">
        <v>0</v>
      </c>
      <c r="I77" s="756" t="e">
        <f>IF(E77=0,0,BASEBUDGETS!D708*E77)</f>
        <v>#DIV/0!</v>
      </c>
      <c r="J77" s="765" t="e">
        <f t="shared" si="3"/>
        <v>#DIV/0!</v>
      </c>
      <c r="L77" s="653"/>
    </row>
    <row r="78" spans="2:12" s="611" customFormat="1" ht="21">
      <c r="C78" s="660" t="str">
        <f>BASEBUDGETS!B709</f>
        <v>Gin Cotton/Drying/Swathing, Custom</v>
      </c>
      <c r="D78" s="765">
        <f>CustomOperations!H41</f>
        <v>0</v>
      </c>
      <c r="E78" s="678" t="e">
        <f>BASEBUDGETS!E709/BASEBUDGETS!C674</f>
        <v>#DIV/0!</v>
      </c>
      <c r="F78" s="770" t="str">
        <f>BASEBUDGETS!C709</f>
        <v>bale</v>
      </c>
      <c r="G78" s="756">
        <v>0</v>
      </c>
      <c r="H78" s="756">
        <v>0</v>
      </c>
      <c r="I78" s="756" t="e">
        <f>IF(E78=0,0,BASEBUDGETS!D709*E78)</f>
        <v>#DIV/0!</v>
      </c>
      <c r="J78" s="765" t="e">
        <f t="shared" ref="J78" si="4">G78+H78+I78</f>
        <v>#DIV/0!</v>
      </c>
      <c r="L78" s="653"/>
    </row>
    <row r="79" spans="2:12" s="611" customFormat="1" ht="21">
      <c r="C79" s="660" t="str">
        <f>TillageOperations!$B$27</f>
        <v>Cotton Picker</v>
      </c>
      <c r="D79" s="765"/>
      <c r="E79" s="771" t="e">
        <f>BASEBUDGETS!E751/BASEBUDGETS!C674</f>
        <v>#DIV/0!</v>
      </c>
      <c r="F79" s="770" t="str">
        <f>BASEBUDGETS!C751</f>
        <v>acre</v>
      </c>
      <c r="G79" s="756" t="e">
        <f>IF(E79=0,0,BASEBUDGETS!D752*E79)</f>
        <v>#DIV/0!</v>
      </c>
      <c r="H79" s="756" t="e">
        <f>IF(E79=0,0,BASEBUDGETS!D751*E79)</f>
        <v>#DIV/0!</v>
      </c>
      <c r="I79" s="756">
        <v>0</v>
      </c>
      <c r="J79" s="765" t="e">
        <f t="shared" si="3"/>
        <v>#DIV/0!</v>
      </c>
      <c r="L79" s="653"/>
    </row>
    <row r="80" spans="2:12" s="611" customFormat="1" ht="21">
      <c r="C80" s="781" t="s">
        <v>287</v>
      </c>
      <c r="D80" s="765"/>
      <c r="E80" s="771" t="e">
        <f>BASEBUDGETS!E753/BASEBUDGETS!C674</f>
        <v>#DIV/0!</v>
      </c>
      <c r="F80" s="770" t="str">
        <f>BASEBUDGETS!C753</f>
        <v>acre</v>
      </c>
      <c r="G80" s="756" t="e">
        <f>IF(E80=0,0,BASEBUDGETS!D754*E80)</f>
        <v>#DIV/0!</v>
      </c>
      <c r="H80" s="756" t="e">
        <f>IF(E80=0,0,BASEBUDGETS!D753*E80)</f>
        <v>#DIV/0!</v>
      </c>
      <c r="I80" s="756">
        <v>0</v>
      </c>
      <c r="J80" s="765" t="e">
        <f t="shared" ref="J80" si="5">G80+H80+I80</f>
        <v>#DIV/0!</v>
      </c>
      <c r="L80" s="653"/>
    </row>
    <row r="81" spans="2:12" s="611" customFormat="1" ht="21">
      <c r="C81" s="660" t="str">
        <f>TillageOperations!$B$29</f>
        <v>Haul Cotton</v>
      </c>
      <c r="D81" s="765"/>
      <c r="E81" s="771" t="e">
        <f>BASEBUDGETS!E755/BASEBUDGETS!C674</f>
        <v>#DIV/0!</v>
      </c>
      <c r="F81" s="770" t="str">
        <f>BASEBUDGETS!C755</f>
        <v>acre</v>
      </c>
      <c r="G81" s="756" t="e">
        <f>IF(E81=0,0,BASEBUDGETS!D756*E81)</f>
        <v>#DIV/0!</v>
      </c>
      <c r="H81" s="756" t="e">
        <f>IF(E81=0,0,BASEBUDGETS!D755*E81)</f>
        <v>#DIV/0!</v>
      </c>
      <c r="I81" s="756">
        <v>0</v>
      </c>
      <c r="J81" s="765" t="e">
        <f t="shared" si="3"/>
        <v>#DIV/0!</v>
      </c>
      <c r="L81" s="653"/>
    </row>
    <row r="82" spans="2:12" s="611" customFormat="1" ht="21">
      <c r="C82" s="660" t="str">
        <f>TillageOperations!$B$17</f>
        <v>Cotton Shredder/Root Puller</v>
      </c>
      <c r="D82" s="765"/>
      <c r="E82" s="771" t="e">
        <f>BASEBUDGETS!E757/BASEBUDGETS!C674</f>
        <v>#DIV/0!</v>
      </c>
      <c r="F82" s="770" t="str">
        <f>BASEBUDGETS!C757</f>
        <v>acre</v>
      </c>
      <c r="G82" s="756" t="e">
        <f>IF(E82=0,0,BASEBUDGETS!D758*E82)</f>
        <v>#DIV/0!</v>
      </c>
      <c r="H82" s="756" t="e">
        <f>IF(E82=0,0,BASEBUDGETS!D757*E82)</f>
        <v>#DIV/0!</v>
      </c>
      <c r="I82" s="756">
        <v>0</v>
      </c>
      <c r="J82" s="765" t="e">
        <f t="shared" si="3"/>
        <v>#DIV/0!</v>
      </c>
      <c r="L82" s="653"/>
    </row>
    <row r="83" spans="2:12" s="611" customFormat="1" ht="21">
      <c r="C83" s="660" t="str">
        <f>TillageOperations!$B$30</f>
        <v>Combine</v>
      </c>
      <c r="D83" s="765"/>
      <c r="E83" s="771" t="e">
        <f>BASEBUDGETS!E759/BASEBUDGETS!C674</f>
        <v>#DIV/0!</v>
      </c>
      <c r="F83" s="770" t="str">
        <f>BASEBUDGETS!C759</f>
        <v>acre</v>
      </c>
      <c r="G83" s="756" t="e">
        <f>IF(E83=0,0,BASEBUDGETS!D760*E83)</f>
        <v>#DIV/0!</v>
      </c>
      <c r="H83" s="756" t="e">
        <f>IF(E83=0,0,BASEBUDGETS!D759*E83)</f>
        <v>#DIV/0!</v>
      </c>
      <c r="I83" s="756">
        <v>0</v>
      </c>
      <c r="J83" s="765" t="e">
        <f t="shared" si="3"/>
        <v>#DIV/0!</v>
      </c>
      <c r="L83" s="653"/>
    </row>
    <row r="84" spans="2:12" s="611" customFormat="1" ht="21">
      <c r="C84" s="660" t="str">
        <f>TillageOperations!$B$31</f>
        <v>Grain Cart</v>
      </c>
      <c r="D84" s="765"/>
      <c r="E84" s="771" t="e">
        <f>BASEBUDGETS!E761/BASEBUDGETS!C674</f>
        <v>#DIV/0!</v>
      </c>
      <c r="F84" s="770" t="str">
        <f>BASEBUDGETS!C761</f>
        <v>acre</v>
      </c>
      <c r="G84" s="756" t="e">
        <f>IF(E84=0,0,BASEBUDGETS!D762*E84)</f>
        <v>#DIV/0!</v>
      </c>
      <c r="H84" s="756" t="e">
        <f>IF(E84=0,0,BASEBUDGETS!D761*E84)</f>
        <v>#DIV/0!</v>
      </c>
      <c r="I84" s="756">
        <v>0</v>
      </c>
      <c r="J84" s="765" t="e">
        <f t="shared" si="3"/>
        <v>#DIV/0!</v>
      </c>
      <c r="L84" s="653"/>
    </row>
    <row r="85" spans="2:12" s="611" customFormat="1" ht="21">
      <c r="C85" s="660" t="str">
        <f>TillageOperations!$B$32</f>
        <v>Swather</v>
      </c>
      <c r="D85" s="765"/>
      <c r="E85" s="771" t="e">
        <f>BASEBUDGETS!E763/BASEBUDGETS!C674</f>
        <v>#DIV/0!</v>
      </c>
      <c r="F85" s="770" t="str">
        <f>BASEBUDGETS!C763</f>
        <v>acre</v>
      </c>
      <c r="G85" s="756" t="e">
        <f>IF(E85=0,0,BASEBUDGETS!D764*E85)</f>
        <v>#DIV/0!</v>
      </c>
      <c r="H85" s="756" t="e">
        <f>IF(E85=0,0,BASEBUDGETS!D763*E85)</f>
        <v>#DIV/0!</v>
      </c>
      <c r="I85" s="756">
        <v>0</v>
      </c>
      <c r="J85" s="765" t="e">
        <f t="shared" si="3"/>
        <v>#DIV/0!</v>
      </c>
      <c r="L85" s="653"/>
    </row>
    <row r="86" spans="2:12" s="611" customFormat="1" ht="21">
      <c r="C86" s="660" t="str">
        <f>TillageOperations!$B$33</f>
        <v>Baler</v>
      </c>
      <c r="D86" s="765"/>
      <c r="E86" s="771" t="e">
        <f>BASEBUDGETS!E765/BASEBUDGETS!C674</f>
        <v>#DIV/0!</v>
      </c>
      <c r="F86" s="770" t="str">
        <f>BASEBUDGETS!C765</f>
        <v>acre</v>
      </c>
      <c r="G86" s="756" t="e">
        <f>IF(E86=0,0,BASEBUDGETS!D766*E86)</f>
        <v>#DIV/0!</v>
      </c>
      <c r="H86" s="756" t="e">
        <f>IF(E86=0,0,BASEBUDGETS!D765*E86)</f>
        <v>#DIV/0!</v>
      </c>
      <c r="I86" s="756" t="e">
        <f>IF(E86=0,0,D89*E89)</f>
        <v>#DIV/0!</v>
      </c>
      <c r="J86" s="765" t="e">
        <f t="shared" si="3"/>
        <v>#DIV/0!</v>
      </c>
      <c r="L86" s="653"/>
    </row>
    <row r="87" spans="2:12" s="611" customFormat="1" ht="21">
      <c r="C87" s="660" t="str">
        <f>TillageOperations!$B$34</f>
        <v>Swather</v>
      </c>
      <c r="D87" s="765"/>
      <c r="E87" s="771" t="e">
        <f>BASEBUDGETS!E767/BASEBUDGETS!C674</f>
        <v>#DIV/0!</v>
      </c>
      <c r="F87" s="770" t="str">
        <f>BASEBUDGETS!C767</f>
        <v>acre</v>
      </c>
      <c r="G87" s="756" t="e">
        <f>IF(E87=0,0,BASEBUDGETS!D768*E87)</f>
        <v>#DIV/0!</v>
      </c>
      <c r="H87" s="756" t="e">
        <f>IF(E87=0,0,BASEBUDGETS!D767*E87)</f>
        <v>#DIV/0!</v>
      </c>
      <c r="I87" s="756">
        <v>0</v>
      </c>
      <c r="J87" s="765" t="e">
        <f t="shared" si="3"/>
        <v>#DIV/0!</v>
      </c>
      <c r="L87" s="653"/>
    </row>
    <row r="88" spans="2:12" s="611" customFormat="1" ht="21">
      <c r="C88" s="660" t="str">
        <f>TillageOperations!$B$35</f>
        <v>Baler</v>
      </c>
      <c r="D88" s="765"/>
      <c r="E88" s="771" t="e">
        <f>BASEBUDGETS!E769/BASEBUDGETS!C674</f>
        <v>#DIV/0!</v>
      </c>
      <c r="F88" s="770" t="str">
        <f>BASEBUDGETS!C769</f>
        <v>acre</v>
      </c>
      <c r="G88" s="756" t="e">
        <f>IF(E88=0,0,BASEBUDGETS!D770*E88)</f>
        <v>#DIV/0!</v>
      </c>
      <c r="H88" s="756" t="e">
        <f>IF(E88=0,0,BASEBUDGETS!D769*E88)</f>
        <v>#DIV/0!</v>
      </c>
      <c r="I88" s="756" t="e">
        <f>IF(E88=0,0,D89*E89)</f>
        <v>#DIV/0!</v>
      </c>
      <c r="J88" s="765" t="e">
        <f t="shared" si="3"/>
        <v>#DIV/0!</v>
      </c>
      <c r="L88" s="653"/>
    </row>
    <row r="89" spans="2:12" s="611" customFormat="1" ht="21">
      <c r="C89" s="660" t="str">
        <f>'Inputs&amp;PricesbyCrop'!$B$31</f>
        <v xml:space="preserve">   - Baling Twine</v>
      </c>
      <c r="D89" s="765">
        <f>BASEBUDGETS!D771</f>
        <v>0</v>
      </c>
      <c r="E89" s="775" t="e">
        <f>BASEBUDGETS!E771/BASEBUDGETS!C674</f>
        <v>#DIV/0!</v>
      </c>
      <c r="F89" s="769" t="str">
        <f>'Inputs&amp;PricesbyCrop'!$C$31</f>
        <v>acre</v>
      </c>
      <c r="G89" s="756"/>
      <c r="H89" s="756"/>
      <c r="I89" s="756"/>
      <c r="J89" s="765"/>
      <c r="L89" s="653"/>
    </row>
    <row r="90" spans="2:12" s="611" customFormat="1" ht="21">
      <c r="C90" s="660" t="str">
        <f>TillageOperations!$B$36</f>
        <v>Bale Wagon</v>
      </c>
      <c r="D90" s="765"/>
      <c r="E90" s="771" t="e">
        <f>BASEBUDGETS!E772/BASEBUDGETS!C674</f>
        <v>#DIV/0!</v>
      </c>
      <c r="F90" s="770" t="str">
        <f>BASEBUDGETS!C772</f>
        <v>acre</v>
      </c>
      <c r="G90" s="756" t="e">
        <f>IF(E90=0,0,BASEBUDGETS!D773*E90)</f>
        <v>#DIV/0!</v>
      </c>
      <c r="H90" s="756" t="e">
        <f>IF(E90=0,0,BASEBUDGETS!D772*E90)</f>
        <v>#DIV/0!</v>
      </c>
      <c r="I90" s="756">
        <v>0</v>
      </c>
      <c r="J90" s="765" t="e">
        <f t="shared" ref="J90:J92" si="6">G90+H90+I90</f>
        <v>#DIV/0!</v>
      </c>
      <c r="L90" s="653"/>
    </row>
    <row r="91" spans="2:12" s="611" customFormat="1" ht="21">
      <c r="C91" s="660" t="str">
        <f>BASEBUDGETS!B786</f>
        <v>Additional Harvest Labor</v>
      </c>
      <c r="D91" s="765">
        <f>GeneralInputPrices!$D$32</f>
        <v>17.89</v>
      </c>
      <c r="E91" s="771" t="e">
        <f>BASEBUDGETS!E786/BASEBUDGETS!C674</f>
        <v>#DIV/0!</v>
      </c>
      <c r="F91" s="770" t="str">
        <f>BASEBUDGETS!C786</f>
        <v>hour</v>
      </c>
      <c r="G91" s="756" t="e">
        <f>D91*E91</f>
        <v>#DIV/0!</v>
      </c>
      <c r="H91" s="756">
        <v>0</v>
      </c>
      <c r="I91" s="756">
        <v>0</v>
      </c>
      <c r="J91" s="765" t="e">
        <f t="shared" si="6"/>
        <v>#DIV/0!</v>
      </c>
      <c r="L91" s="653"/>
    </row>
    <row r="92" spans="2:12" s="611" customFormat="1" ht="21">
      <c r="C92" s="660" t="str">
        <f>BASEBUDGETS!B787</f>
        <v>Additional Harvest Labor</v>
      </c>
      <c r="D92" s="765">
        <f>GeneralInputPrices!$D$32</f>
        <v>17.89</v>
      </c>
      <c r="E92" s="771" t="e">
        <f>BASEBUDGETS!E787/BASEBUDGETS!C674</f>
        <v>#DIV/0!</v>
      </c>
      <c r="F92" s="770" t="str">
        <f>BASEBUDGETS!C787</f>
        <v>hour</v>
      </c>
      <c r="G92" s="756" t="e">
        <f>D92*E92</f>
        <v>#DIV/0!</v>
      </c>
      <c r="H92" s="756">
        <v>0</v>
      </c>
      <c r="I92" s="756">
        <v>0</v>
      </c>
      <c r="J92" s="765" t="e">
        <f t="shared" si="6"/>
        <v>#DIV/0!</v>
      </c>
      <c r="L92" s="653"/>
    </row>
    <row r="93" spans="2:12" s="611" customFormat="1" ht="21">
      <c r="B93" s="760" t="s">
        <v>184</v>
      </c>
      <c r="C93" s="760"/>
      <c r="D93" s="765"/>
      <c r="E93" s="771"/>
      <c r="F93" s="770"/>
      <c r="G93" s="756"/>
      <c r="H93" s="756"/>
      <c r="I93" s="756"/>
      <c r="J93" s="765"/>
      <c r="L93" s="653"/>
    </row>
    <row r="94" spans="2:12" s="611" customFormat="1" ht="21">
      <c r="C94" s="660" t="str">
        <f>BASEBUDGETS!B788</f>
        <v>Other Expenses</v>
      </c>
      <c r="D94" s="765"/>
      <c r="E94" s="783">
        <f>BASEBUDGETS!D788</f>
        <v>0.05</v>
      </c>
      <c r="F94" s="780" t="s">
        <v>10</v>
      </c>
      <c r="G94" s="756">
        <v>0</v>
      </c>
      <c r="H94" s="756">
        <v>0</v>
      </c>
      <c r="I94" s="756" t="e">
        <f>SUM(J9:J92)*E94</f>
        <v>#DIV/0!</v>
      </c>
      <c r="J94" s="765" t="e">
        <f>G94+H94+I94</f>
        <v>#DIV/0!</v>
      </c>
      <c r="L94" s="653"/>
    </row>
    <row r="95" spans="2:12" s="611" customFormat="1" ht="21">
      <c r="C95" s="660" t="str">
        <f>BASEBUDGETS!B789</f>
        <v>Interest on Operating Capital</v>
      </c>
      <c r="D95" s="765"/>
      <c r="E95" s="783">
        <f>BASEBUDGETS!D789</f>
        <v>0.06</v>
      </c>
      <c r="F95" s="780" t="s">
        <v>10</v>
      </c>
      <c r="G95" s="784">
        <v>0</v>
      </c>
      <c r="H95" s="784">
        <v>0</v>
      </c>
      <c r="I95" s="784" t="e">
        <f>SUM(J9:J94)*((E95/12)*GeneralInputPrices!$D$39)</f>
        <v>#DIV/0!</v>
      </c>
      <c r="J95" s="785" t="e">
        <f>G95+H95+I95</f>
        <v>#DIV/0!</v>
      </c>
      <c r="L95" s="653"/>
    </row>
    <row r="96" spans="2:12" s="611" customFormat="1" ht="21">
      <c r="B96" s="760" t="s">
        <v>153</v>
      </c>
      <c r="C96" s="760"/>
      <c r="D96" s="760"/>
      <c r="E96" s="760"/>
      <c r="F96" s="660"/>
      <c r="G96" s="756" t="e">
        <f>SUM(G9:G95)</f>
        <v>#DIV/0!</v>
      </c>
      <c r="H96" s="756" t="e">
        <f>SUM(H9:H95)</f>
        <v>#DIV/0!</v>
      </c>
      <c r="I96" s="756" t="e">
        <f>SUM(I9:I95)</f>
        <v>#DIV/0!</v>
      </c>
      <c r="J96" s="756" t="e">
        <f>SUM(J9:J95)</f>
        <v>#DIV/0!</v>
      </c>
      <c r="L96" s="653"/>
    </row>
    <row r="97" spans="2:12" s="611" customFormat="1">
      <c r="D97" s="786"/>
      <c r="E97" s="774"/>
      <c r="G97" s="757"/>
      <c r="H97" s="757"/>
      <c r="I97" s="757"/>
      <c r="J97" s="757"/>
      <c r="L97" s="653"/>
    </row>
    <row r="98" spans="2:12" s="611" customFormat="1" ht="21">
      <c r="B98" s="805" t="s">
        <v>78</v>
      </c>
      <c r="C98" s="805"/>
      <c r="D98" s="805"/>
      <c r="E98" s="805"/>
      <c r="F98" s="805"/>
      <c r="G98" s="791"/>
      <c r="H98" s="792" t="s">
        <v>1</v>
      </c>
      <c r="I98" s="767" t="s">
        <v>24</v>
      </c>
      <c r="J98" s="767" t="s">
        <v>0</v>
      </c>
      <c r="L98" s="653"/>
    </row>
    <row r="99" spans="2:12" s="611" customFormat="1" ht="21">
      <c r="B99" s="754" t="str">
        <f>BASEBUDGETS!B824</f>
        <v>Crop Insurance</v>
      </c>
      <c r="C99" s="754"/>
      <c r="D99" s="754"/>
      <c r="E99" s="754"/>
      <c r="F99" s="754"/>
      <c r="G99" s="757"/>
      <c r="H99" s="770" t="str">
        <f>BASEBUDGETS!C824</f>
        <v>acre</v>
      </c>
      <c r="I99" s="756" t="e">
        <f>BASEBUDGETS!F824/BASEBUDGETS!C674</f>
        <v>#DIV/0!</v>
      </c>
      <c r="J99" s="756" t="e">
        <f>I99</f>
        <v>#DIV/0!</v>
      </c>
      <c r="L99" s="653"/>
    </row>
    <row r="100" spans="2:12" s="611" customFormat="1" ht="21">
      <c r="B100" s="760" t="str">
        <f>BASEBUDGETS!B825</f>
        <v>Property Insurance</v>
      </c>
      <c r="C100" s="760"/>
      <c r="D100" s="760"/>
      <c r="E100" s="760"/>
      <c r="F100" s="760"/>
      <c r="G100" s="757"/>
      <c r="H100" s="770" t="str">
        <f>BASEBUDGETS!C825</f>
        <v>acre</v>
      </c>
      <c r="I100" s="756" t="e">
        <f>BASEBUDGETS!F825/BASEBUDGETS!C674</f>
        <v>#DIV/0!</v>
      </c>
      <c r="J100" s="756" t="e">
        <f>I100</f>
        <v>#DIV/0!</v>
      </c>
      <c r="L100" s="653"/>
    </row>
    <row r="101" spans="2:12" s="611" customFormat="1" ht="21">
      <c r="B101" s="760" t="str">
        <f>BASEBUDGETS!B826</f>
        <v>Property Taxes</v>
      </c>
      <c r="C101" s="760"/>
      <c r="D101" s="760"/>
      <c r="E101" s="760"/>
      <c r="F101" s="760"/>
      <c r="G101" s="757"/>
      <c r="H101" s="770" t="str">
        <f>BASEBUDGETS!C826</f>
        <v>acre</v>
      </c>
      <c r="I101" s="756" t="e">
        <f>BASEBUDGETS!F826/BASEBUDGETS!C674</f>
        <v>#DIV/0!</v>
      </c>
      <c r="J101" s="756" t="e">
        <f t="shared" ref="J101:J102" si="7">I101</f>
        <v>#DIV/0!</v>
      </c>
      <c r="L101" s="653"/>
    </row>
    <row r="102" spans="2:12" s="611" customFormat="1" ht="21">
      <c r="B102" s="760" t="str">
        <f>BASEBUDGETS!B829</f>
        <v>Licenses and Fees</v>
      </c>
      <c r="C102" s="760"/>
      <c r="D102" s="760"/>
      <c r="E102" s="760"/>
      <c r="F102" s="760"/>
      <c r="G102" s="757"/>
      <c r="H102" s="770" t="str">
        <f>BASEBUDGETS!C829</f>
        <v>acre</v>
      </c>
      <c r="I102" s="756" t="e">
        <f>BASEBUDGETS!F829/BASEBUDGETS!C674</f>
        <v>#DIV/0!</v>
      </c>
      <c r="J102" s="756" t="e">
        <f t="shared" si="7"/>
        <v>#DIV/0!</v>
      </c>
      <c r="L102" s="653"/>
    </row>
    <row r="103" spans="2:12" s="611" customFormat="1" ht="21">
      <c r="B103" s="794" t="s">
        <v>484</v>
      </c>
      <c r="C103" s="794"/>
      <c r="D103" s="794"/>
      <c r="E103" s="756"/>
      <c r="F103" s="756"/>
      <c r="G103" s="756"/>
      <c r="H103" s="770" t="s">
        <v>157</v>
      </c>
      <c r="I103" s="756">
        <f>IF('AcresYieldsPrices&amp;Water'!D9=0,0,((Fallow!L17*'AcresYieldsPrices&amp;Water'!T12)/'AcresYieldsPrices&amp;Water'!D6)*-1)</f>
        <v>0</v>
      </c>
      <c r="J103" s="765">
        <f>I103</f>
        <v>0</v>
      </c>
      <c r="L103" s="653"/>
    </row>
    <row r="104" spans="2:12" s="611" customFormat="1" ht="21">
      <c r="B104" s="760" t="str">
        <f>BASEBUDGETS!B827</f>
        <v>Annual Cash Rent Payment</v>
      </c>
      <c r="C104" s="760"/>
      <c r="D104" s="760"/>
      <c r="E104" s="760"/>
      <c r="F104" s="760"/>
      <c r="G104" s="757"/>
      <c r="H104" s="770" t="str">
        <f>BASEBUDGETS!C827</f>
        <v>acre</v>
      </c>
      <c r="I104" s="756" t="e">
        <f>BASEBUDGETS!F827/BASEBUDGETS!C674</f>
        <v>#DIV/0!</v>
      </c>
      <c r="J104" s="784" t="e">
        <f>I104</f>
        <v>#DIV/0!</v>
      </c>
      <c r="L104" s="653"/>
    </row>
    <row r="105" spans="2:12" s="611" customFormat="1" ht="21">
      <c r="B105" s="760" t="s">
        <v>79</v>
      </c>
      <c r="C105" s="760"/>
      <c r="D105" s="760"/>
      <c r="E105" s="760"/>
      <c r="F105" s="760"/>
      <c r="G105" s="756"/>
      <c r="H105" s="756"/>
      <c r="I105" s="756"/>
      <c r="J105" s="765" t="e">
        <f>SUM(J99:J104)</f>
        <v>#DIV/0!</v>
      </c>
      <c r="L105" s="653"/>
    </row>
    <row r="106" spans="2:12" s="611" customFormat="1">
      <c r="D106" s="786"/>
      <c r="E106" s="774"/>
      <c r="G106" s="757"/>
      <c r="H106" s="757"/>
      <c r="I106" s="757"/>
      <c r="J106" s="786"/>
      <c r="L106" s="653"/>
    </row>
    <row r="107" spans="2:12" s="611" customFormat="1" ht="21">
      <c r="B107" s="805" t="s">
        <v>154</v>
      </c>
      <c r="C107" s="805"/>
      <c r="D107" s="805"/>
      <c r="E107" s="805"/>
      <c r="F107" s="805"/>
      <c r="G107" s="791"/>
      <c r="H107" s="792" t="s">
        <v>1</v>
      </c>
      <c r="I107" s="767" t="s">
        <v>24</v>
      </c>
      <c r="J107" s="767" t="s">
        <v>0</v>
      </c>
      <c r="L107" s="653"/>
    </row>
    <row r="108" spans="2:12" s="611" customFormat="1" ht="21">
      <c r="B108" s="760" t="s">
        <v>534</v>
      </c>
      <c r="C108" s="760"/>
      <c r="D108" s="760"/>
      <c r="E108" s="760"/>
      <c r="F108" s="760"/>
      <c r="G108" s="760"/>
      <c r="H108" s="770" t="s">
        <v>157</v>
      </c>
      <c r="I108" s="660" t="e">
        <f>SUM(BASEBUDGETS!F793:F795)/BASEBUDGETS!C674</f>
        <v>#DIV/0!</v>
      </c>
      <c r="J108" s="765" t="e">
        <f>I108</f>
        <v>#DIV/0!</v>
      </c>
      <c r="L108" s="653"/>
    </row>
    <row r="109" spans="2:12" s="611" customFormat="1" ht="21">
      <c r="B109" s="794" t="s">
        <v>156</v>
      </c>
      <c r="C109" s="794"/>
      <c r="D109" s="794"/>
      <c r="E109" s="794"/>
      <c r="F109" s="794"/>
      <c r="G109" s="756"/>
      <c r="H109" s="770" t="str">
        <f>BASEBUDGETS!C793</f>
        <v>acre</v>
      </c>
      <c r="I109" s="758" t="e">
        <f>SUM(BASEBUDGETS!F796:F823)/BASEBUDGETS!C674</f>
        <v>#DIV/0!</v>
      </c>
      <c r="J109" s="797" t="e">
        <f>I109</f>
        <v>#DIV/0!</v>
      </c>
      <c r="L109" s="653"/>
    </row>
    <row r="110" spans="2:12" s="611" customFormat="1" ht="21">
      <c r="B110" s="807" t="s">
        <v>77</v>
      </c>
      <c r="C110" s="807"/>
      <c r="D110" s="807"/>
      <c r="E110" s="807"/>
      <c r="F110" s="807"/>
      <c r="G110" s="756"/>
      <c r="H110" s="756"/>
      <c r="I110" s="756"/>
      <c r="J110" s="678" t="e">
        <f>J109+J108</f>
        <v>#DIV/0!</v>
      </c>
      <c r="L110" s="653"/>
    </row>
    <row r="111" spans="2:12" s="611" customFormat="1" ht="21">
      <c r="B111" s="660"/>
      <c r="C111" s="660"/>
      <c r="D111" s="765"/>
      <c r="E111" s="758"/>
      <c r="F111" s="660"/>
      <c r="G111" s="756"/>
      <c r="H111" s="756"/>
      <c r="I111" s="756"/>
      <c r="J111" s="765"/>
      <c r="L111" s="653"/>
    </row>
    <row r="112" spans="2:12" s="611" customFormat="1" ht="20.399999999999999">
      <c r="B112" s="808" t="s">
        <v>63</v>
      </c>
      <c r="C112" s="808"/>
      <c r="D112" s="808"/>
      <c r="E112" s="808"/>
      <c r="F112" s="808"/>
      <c r="G112" s="764"/>
      <c r="H112" s="764"/>
      <c r="I112" s="764"/>
      <c r="J112" s="801">
        <f>IF(I4=0,0,J96+J105+J110)</f>
        <v>0</v>
      </c>
      <c r="L112" s="653"/>
    </row>
    <row r="113" spans="2:15" ht="20.399999999999999">
      <c r="B113" s="805" t="s">
        <v>64</v>
      </c>
      <c r="C113" s="805"/>
      <c r="D113" s="805"/>
      <c r="E113" s="805"/>
      <c r="F113" s="805"/>
      <c r="G113" s="803"/>
      <c r="H113" s="803"/>
      <c r="I113" s="803"/>
      <c r="J113" s="788">
        <f>J5-J112</f>
        <v>0</v>
      </c>
      <c r="M113" s="611"/>
      <c r="N113" s="611"/>
      <c r="O113" s="611"/>
    </row>
    <row r="114" spans="2:15">
      <c r="M114" s="611"/>
      <c r="N114" s="611"/>
      <c r="O114" s="611"/>
    </row>
    <row r="115" spans="2:15">
      <c r="M115" s="611"/>
      <c r="N115" s="611"/>
      <c r="O115" s="611"/>
    </row>
  </sheetData>
  <sheetProtection algorithmName="SHA-512" hashValue="ITRrQ2Tp4nswrodl/KdKzjuOeJDmRfjTCmQsW1Z1jxJ0Rl+W5hs5RJ0Zn4wA4ZAJwxAWmanEOX+cZ1tOStcI5g==" saltValue="BaFMMNAEi8+Q7ZdgzMD5ug==" spinCount="100000" sheet="1" objects="1" scenarios="1"/>
  <mergeCells count="23">
    <mergeCell ref="B96:E96"/>
    <mergeCell ref="B98:F98"/>
    <mergeCell ref="B99:F99"/>
    <mergeCell ref="B100:F100"/>
    <mergeCell ref="G2:I2"/>
    <mergeCell ref="B4:E4"/>
    <mergeCell ref="B2:F2"/>
    <mergeCell ref="B75:C75"/>
    <mergeCell ref="B93:C93"/>
    <mergeCell ref="B3:C3"/>
    <mergeCell ref="B8:C8"/>
    <mergeCell ref="B30:C30"/>
    <mergeCell ref="B109:F109"/>
    <mergeCell ref="B110:F110"/>
    <mergeCell ref="B112:F112"/>
    <mergeCell ref="B113:F113"/>
    <mergeCell ref="B101:F101"/>
    <mergeCell ref="B102:F102"/>
    <mergeCell ref="B104:F104"/>
    <mergeCell ref="B105:F105"/>
    <mergeCell ref="B107:F107"/>
    <mergeCell ref="B103:D103"/>
    <mergeCell ref="B108:G108"/>
  </mergeCells>
  <pageMargins left="0.7" right="0.7" top="0.75" bottom="0.75" header="0.3" footer="0.3"/>
  <pageSetup scale="59" fitToHeight="2" orientation="portrait" horizontalDpi="0" verticalDpi="0"/>
  <ignoredErrors>
    <ignoredError sqref="B5:E8 B109:H113 B98:J98 B75:C75 B4 G4:J8 G75:J75 F4:F17 F54:F61 F28 C28:C29 H91:I92 B30:C30 B66:B72 B37:B42 B44 F38:F40 F44:F51 C34:C35 J53 H73:I74 C73:C74 F73:F77 F91:F92 J112 G2 B31:C33 C37:C44 B45:C52 B54:C61 E75 E43:H43 C91:D92 D73:D77 B99:H102 B9:D27 D28:D64 F64 C62:C64 B63:B64 C65:D72 C78:D78 B104:H107 F65:F72" unlockedFormula="1"/>
    <ignoredError sqref="I104:J107 B93:J93 E9:E17 G9:J17 E54:E61 G54:J61 B76:C77 G76:J77 E52:H52 E18:J27 E28 G28:J28 G91:G92 J91:J92 B95:J97 B94:H94 J94 G39:H40 F41:H42 E44:E51 G38:H38 G44:J50 E38:E42 G51:H51 J51:J52 J73:J74 G73:G74 G66:J72 I113:J113 I112 E37:H37 E29:J30 E62:J62 E91:E92 E31:I35 J31:J35 E76:E77 B79:J90 E73:E74 I99:J102 J43 J36 J37 J38 J39:J42 I38 I37 I41:I42 I39:I40 I43 I36 G64:J64 E63:F63 E78:J78 I103:J103 I109:J109 I108:J108 I63:J63 E65:E72 I110:J111" evalError="1" unlockedFormula="1"/>
    <ignoredError sqref="K9:K27 K30:K33 K66:K72 K54:K61 K37:K42 K44:K52 I94 K63:K64 G63:H63 E64" evalError="1"/>
  </ignoredError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C2CFA-278D-3040-AA47-388D0AC68404}">
  <sheetPr codeName="Sheet18">
    <pageSetUpPr fitToPage="1"/>
  </sheetPr>
  <dimension ref="A1:N113"/>
  <sheetViews>
    <sheetView zoomScale="110" zoomScaleNormal="110" workbookViewId="0">
      <selection activeCell="B3" sqref="B3:C3"/>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s="611" customFormat="1"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'AcresYieldsPrices&amp;Water'!B7</f>
        <v>Hemp for Grain</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BASEBUDGETS!B840</f>
        <v>Hemp for Grain</v>
      </c>
      <c r="C4" s="754"/>
      <c r="D4" s="754"/>
      <c r="E4" s="754"/>
      <c r="F4" s="755" t="str">
        <f>BASEBUDGETS!C840</f>
        <v>pound</v>
      </c>
      <c r="G4" s="756">
        <f>BASEBUDGETS!D840</f>
        <v>0.75</v>
      </c>
      <c r="H4" s="757"/>
      <c r="I4" s="758">
        <f>IF(BASEBUDGETS!E840=0,0,BASEBUDGETS!E840/BASEBUDGETS!C836)</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BASEBUDGETS!B875</f>
        <v>V Ripper, Custom</v>
      </c>
      <c r="D9" s="765">
        <f>CustomOperations!I5</f>
        <v>44.25</v>
      </c>
      <c r="E9" s="771" t="e">
        <f>BASEBUDGETS!E875/BASEBUDGETS!C836</f>
        <v>#DIV/0!</v>
      </c>
      <c r="F9" s="770" t="str">
        <f>BASEBUDGETS!C875</f>
        <v>acre</v>
      </c>
      <c r="G9" s="756">
        <v>0</v>
      </c>
      <c r="H9" s="756">
        <v>0</v>
      </c>
      <c r="I9" s="756" t="e">
        <f>IF(E9=0,0,BASEBUDGETS!D875*E9)</f>
        <v>#DIV/0!</v>
      </c>
      <c r="J9" s="765" t="e">
        <f>G9+H9+I9</f>
        <v>#DIV/0!</v>
      </c>
      <c r="L9" s="772">
        <f>N9*'AcresYieldsPrices&amp;Water'!D$7</f>
        <v>0</v>
      </c>
      <c r="M9" s="611" t="s">
        <v>394</v>
      </c>
      <c r="N9" s="653">
        <f>IFERROR(I37,0)</f>
        <v>0</v>
      </c>
    </row>
    <row r="10" spans="2:14" s="611" customFormat="1" ht="21">
      <c r="C10" s="660" t="str">
        <f>BASEBUDGETS!B876</f>
        <v>Disk, Custom</v>
      </c>
      <c r="D10" s="765">
        <f>CustomOperations!I7</f>
        <v>0</v>
      </c>
      <c r="E10" s="771" t="e">
        <f>BASEBUDGETS!E876/BASEBUDGETS!C836</f>
        <v>#DIV/0!</v>
      </c>
      <c r="F10" s="770" t="str">
        <f>BASEBUDGETS!C876</f>
        <v>acre</v>
      </c>
      <c r="G10" s="756">
        <v>0</v>
      </c>
      <c r="H10" s="756">
        <v>0</v>
      </c>
      <c r="I10" s="756" t="e">
        <f>IF(E10=0,0,BASEBUDGETS!D876*E10)</f>
        <v>#DIV/0!</v>
      </c>
      <c r="J10" s="765" t="e">
        <f>G10+H10+I10</f>
        <v>#DIV/0!</v>
      </c>
      <c r="L10" s="772">
        <f>N10*'AcresYieldsPrices&amp;Water'!D$7</f>
        <v>0</v>
      </c>
      <c r="M10" s="611" t="s">
        <v>395</v>
      </c>
      <c r="N10" s="653">
        <f>IFERROR(I44,0)</f>
        <v>0</v>
      </c>
    </row>
    <row r="11" spans="2:14" s="611" customFormat="1" ht="21">
      <c r="C11" s="660" t="str">
        <f>BASEBUDGETS!B877</f>
        <v>Drag, Custom</v>
      </c>
      <c r="D11" s="765">
        <f>CustomOperations!I9</f>
        <v>0</v>
      </c>
      <c r="E11" s="771" t="e">
        <f>BASEBUDGETS!E877/BASEBUDGETS!C836</f>
        <v>#DIV/0!</v>
      </c>
      <c r="F11" s="770" t="str">
        <f>BASEBUDGETS!C877</f>
        <v>acre</v>
      </c>
      <c r="G11" s="756">
        <v>0</v>
      </c>
      <c r="H11" s="756">
        <v>0</v>
      </c>
      <c r="I11" s="756" t="e">
        <f>IF(E11=0,0,BASEBUDGETS!D877*E11)</f>
        <v>#DIV/0!</v>
      </c>
      <c r="J11" s="765" t="e">
        <f t="shared" ref="J11:J30" si="0">G11+H11+I11</f>
        <v>#DIV/0!</v>
      </c>
      <c r="L11" s="772">
        <f>N11*'AcresYieldsPrices&amp;Water'!D$7</f>
        <v>0</v>
      </c>
      <c r="M11" s="611" t="s">
        <v>396</v>
      </c>
      <c r="N11" s="653">
        <f>IFERROR(I54,0)</f>
        <v>0</v>
      </c>
    </row>
    <row r="12" spans="2:14" s="611" customFormat="1" ht="21">
      <c r="C12" s="660" t="str">
        <f>BASEBUDGETS!B878</f>
        <v>Chisel, Custom</v>
      </c>
      <c r="D12" s="765">
        <f>CustomOperations!I11</f>
        <v>0</v>
      </c>
      <c r="E12" s="771" t="e">
        <f>BASEBUDGETS!E878/BASEBUDGETS!C836</f>
        <v>#DIV/0!</v>
      </c>
      <c r="F12" s="770" t="str">
        <f>BASEBUDGETS!C878</f>
        <v>acre</v>
      </c>
      <c r="G12" s="756">
        <v>0</v>
      </c>
      <c r="H12" s="756">
        <v>0</v>
      </c>
      <c r="I12" s="756" t="e">
        <f>IF(E12=0,0,BASEBUDGETS!D878*E12)</f>
        <v>#DIV/0!</v>
      </c>
      <c r="J12" s="765" t="e">
        <f t="shared" si="0"/>
        <v>#DIV/0!</v>
      </c>
      <c r="L12" s="772">
        <f>N12*'AcresYieldsPrices&amp;Water'!D$7</f>
        <v>0</v>
      </c>
      <c r="M12" s="611" t="s">
        <v>392</v>
      </c>
      <c r="N12" s="653">
        <f>IFERROR(E29+E30+E74+E75+E91+E92+E72+E69+E66,0)</f>
        <v>0</v>
      </c>
    </row>
    <row r="13" spans="2:14" s="611" customFormat="1" ht="21">
      <c r="C13" s="660" t="str">
        <f>BASEBUDGETS!B879</f>
        <v>Moldboard Plow, Custom</v>
      </c>
      <c r="D13" s="765">
        <f>CustomOperations!I13</f>
        <v>0</v>
      </c>
      <c r="E13" s="771" t="e">
        <f>BASEBUDGETS!E879/BASEBUDGETS!C836</f>
        <v>#DIV/0!</v>
      </c>
      <c r="F13" s="770" t="str">
        <f>BASEBUDGETS!C879</f>
        <v>acre</v>
      </c>
      <c r="G13" s="756">
        <v>0</v>
      </c>
      <c r="H13" s="756">
        <v>0</v>
      </c>
      <c r="I13" s="756" t="e">
        <f>IF(E13=0,0,BASEBUDGETS!D879*E13)</f>
        <v>#DIV/0!</v>
      </c>
      <c r="J13" s="765" t="e">
        <f t="shared" si="0"/>
        <v>#DIV/0!</v>
      </c>
      <c r="L13" s="772">
        <f>N13*'AcresYieldsPrices&amp;Water'!D$7</f>
        <v>0</v>
      </c>
      <c r="M13" s="611" t="s">
        <v>393</v>
      </c>
      <c r="N13" s="653">
        <f>IFERROR(((SUM(G18:G28)+G36+G34+G35+G43+G42+G53+G63+SUM(G80:G90))/[2]GeneralInputPrices!$D$20),0)</f>
        <v>0</v>
      </c>
    </row>
    <row r="14" spans="2:14" s="611" customFormat="1" ht="21">
      <c r="C14" s="660" t="str">
        <f>BASEBUDGETS!B880</f>
        <v>Landplane, Custom</v>
      </c>
      <c r="D14" s="765">
        <f>CustomOperations!I15</f>
        <v>17.940000000000001</v>
      </c>
      <c r="E14" s="771" t="e">
        <f>BASEBUDGETS!E880/BASEBUDGETS!C836</f>
        <v>#DIV/0!</v>
      </c>
      <c r="F14" s="770" t="str">
        <f>BASEBUDGETS!C880</f>
        <v>acre</v>
      </c>
      <c r="G14" s="756">
        <v>0</v>
      </c>
      <c r="H14" s="756">
        <v>0</v>
      </c>
      <c r="I14" s="756" t="e">
        <f>IF(E14=0,0,BASEBUDGETS!D880*E14)</f>
        <v>#DIV/0!</v>
      </c>
      <c r="J14" s="765" t="e">
        <f t="shared" si="0"/>
        <v>#DIV/0!</v>
      </c>
      <c r="L14" s="772">
        <f>N14*'AcresYieldsPrices&amp;Water'!D$7</f>
        <v>0</v>
      </c>
      <c r="M14" s="611" t="s">
        <v>186</v>
      </c>
      <c r="N14" s="653">
        <f>IFERROR(H96,0)</f>
        <v>0</v>
      </c>
    </row>
    <row r="15" spans="2:14" s="611" customFormat="1" ht="21">
      <c r="C15" s="660" t="str">
        <f>BASEBUDGETS!B881</f>
        <v>Float, Custom</v>
      </c>
      <c r="D15" s="765">
        <f>CustomOperations!I17</f>
        <v>17.940000000000001</v>
      </c>
      <c r="E15" s="771" t="e">
        <f>BASEBUDGETS!E881/BASEBUDGETS!C836</f>
        <v>#DIV/0!</v>
      </c>
      <c r="F15" s="770" t="str">
        <f>BASEBUDGETS!C881</f>
        <v>acre</v>
      </c>
      <c r="G15" s="756">
        <v>0</v>
      </c>
      <c r="H15" s="756">
        <v>0</v>
      </c>
      <c r="I15" s="756" t="e">
        <f>IF(E15=0,0,BASEBUDGETS!D881*E15)</f>
        <v>#DIV/0!</v>
      </c>
      <c r="J15" s="765" t="e">
        <f t="shared" si="0"/>
        <v>#DIV/0!</v>
      </c>
      <c r="L15" s="772">
        <f>N15*'AcresYieldsPrices&amp;Water'!D$7</f>
        <v>0</v>
      </c>
      <c r="M15" s="611" t="s">
        <v>401</v>
      </c>
      <c r="N15" s="653">
        <f>IFERROR(J109,0)</f>
        <v>0</v>
      </c>
    </row>
    <row r="16" spans="2:14" s="611" customFormat="1" ht="21">
      <c r="C16" s="660" t="str">
        <f>BASEBUDGETS!B882</f>
        <v>Lister, Custom</v>
      </c>
      <c r="D16" s="765">
        <f>CustomOperations!I19</f>
        <v>20.38</v>
      </c>
      <c r="E16" s="771" t="e">
        <f>BASEBUDGETS!E882/BASEBUDGETS!C836</f>
        <v>#DIV/0!</v>
      </c>
      <c r="F16" s="770" t="str">
        <f>BASEBUDGETS!C882</f>
        <v>acre</v>
      </c>
      <c r="G16" s="756">
        <v>0</v>
      </c>
      <c r="H16" s="756">
        <v>0</v>
      </c>
      <c r="I16" s="756" t="e">
        <f>IF(E16=0,0,BASEBUDGETS!D882*E16)</f>
        <v>#DIV/0!</v>
      </c>
      <c r="J16" s="765" t="e">
        <f t="shared" si="0"/>
        <v>#DIV/0!</v>
      </c>
      <c r="L16" s="772">
        <f>N16*'AcresYieldsPrices&amp;Water'!D$7</f>
        <v>0</v>
      </c>
      <c r="M16" s="611" t="s">
        <v>405</v>
      </c>
      <c r="N16" s="653">
        <f>IFERROR((J79+J78+J77+J62+J52+J41+J40+J33+J32+SUM(J9:J17)),0)</f>
        <v>0</v>
      </c>
    </row>
    <row r="17" spans="2:10" s="611" customFormat="1" ht="21">
      <c r="C17" s="660" t="str">
        <f>BASEBUDGETS!B883</f>
        <v>Bed Shape, Custom</v>
      </c>
      <c r="D17" s="765">
        <f>CustomOperations!I21</f>
        <v>13.69</v>
      </c>
      <c r="E17" s="771" t="e">
        <f>BASEBUDGETS!E883/BASEBUDGETS!C836</f>
        <v>#DIV/0!</v>
      </c>
      <c r="F17" s="770" t="str">
        <f>BASEBUDGETS!C883</f>
        <v>acre</v>
      </c>
      <c r="G17" s="756">
        <v>0</v>
      </c>
      <c r="H17" s="756">
        <v>0</v>
      </c>
      <c r="I17" s="756" t="e">
        <f>IF(E17=0,0,BASEBUDGETS!D883*E17)</f>
        <v>#DIV/0!</v>
      </c>
      <c r="J17" s="765" t="e">
        <f t="shared" si="0"/>
        <v>#DIV/0!</v>
      </c>
    </row>
    <row r="18" spans="2:10" s="611" customFormat="1" ht="21">
      <c r="C18" s="660" t="str">
        <f>TillageOperations!$B$7</f>
        <v>V-Ripper</v>
      </c>
      <c r="D18" s="765"/>
      <c r="E18" s="771" t="e">
        <f>BASEBUDGETS!E887/BASEBUDGETS!C836</f>
        <v>#DIV/0!</v>
      </c>
      <c r="F18" s="770" t="str">
        <f>BASEBUDGETS!C887</f>
        <v>acre</v>
      </c>
      <c r="G18" s="756" t="e">
        <f>IF(E18=0,0,BASEBUDGETS!D888*E18)</f>
        <v>#DIV/0!</v>
      </c>
      <c r="H18" s="756" t="e">
        <f>IF(E18=0,0,BASEBUDGETS!D887*E18)</f>
        <v>#DIV/0!</v>
      </c>
      <c r="I18" s="756">
        <v>0</v>
      </c>
      <c r="J18" s="765" t="e">
        <f t="shared" si="0"/>
        <v>#DIV/0!</v>
      </c>
    </row>
    <row r="19" spans="2:10" s="611" customFormat="1" ht="21">
      <c r="C19" s="660" t="str">
        <f>TillageOperations!$B$8</f>
        <v>Offset Disk</v>
      </c>
      <c r="D19" s="765"/>
      <c r="E19" s="771" t="e">
        <f>BASEBUDGETS!E889/BASEBUDGETS!C836</f>
        <v>#DIV/0!</v>
      </c>
      <c r="F19" s="770" t="str">
        <f>BASEBUDGETS!C889</f>
        <v>acre</v>
      </c>
      <c r="G19" s="756" t="e">
        <f>IF(E19=0,0,BASEBUDGETS!D890*E19)</f>
        <v>#DIV/0!</v>
      </c>
      <c r="H19" s="756" t="e">
        <f>IF(E19=0,0,BASEBUDGETS!D889*E19)</f>
        <v>#DIV/0!</v>
      </c>
      <c r="I19" s="756">
        <v>0</v>
      </c>
      <c r="J19" s="765" t="e">
        <f t="shared" si="0"/>
        <v>#DIV/0!</v>
      </c>
    </row>
    <row r="20" spans="2:10" s="611" customFormat="1" ht="21">
      <c r="C20" s="660" t="str">
        <f>TillageOperations!$B$9</f>
        <v>Drag</v>
      </c>
      <c r="D20" s="765"/>
      <c r="E20" s="771" t="e">
        <f>BASEBUDGETS!E891/BASEBUDGETS!C836</f>
        <v>#DIV/0!</v>
      </c>
      <c r="F20" s="770" t="str">
        <f>BASEBUDGETS!C891</f>
        <v>acre</v>
      </c>
      <c r="G20" s="756" t="e">
        <f>IF(E20=0,0,BASEBUDGETS!D892*E20)</f>
        <v>#DIV/0!</v>
      </c>
      <c r="H20" s="756" t="e">
        <f>IF(E20=0,0,BASEBUDGETS!D891*E20)</f>
        <v>#DIV/0!</v>
      </c>
      <c r="I20" s="756">
        <v>0</v>
      </c>
      <c r="J20" s="765" t="e">
        <f t="shared" si="0"/>
        <v>#DIV/0!</v>
      </c>
    </row>
    <row r="21" spans="2:10" s="611" customFormat="1" ht="21">
      <c r="C21" s="660" t="str">
        <f>TillageOperations!$B$10</f>
        <v>Chisel</v>
      </c>
      <c r="D21" s="765"/>
      <c r="E21" s="771" t="e">
        <f>BASEBUDGETS!E893/BASEBUDGETS!C836</f>
        <v>#DIV/0!</v>
      </c>
      <c r="F21" s="770" t="str">
        <f>BASEBUDGETS!C893</f>
        <v>acre</v>
      </c>
      <c r="G21" s="756" t="e">
        <f>IF(E21=0,0,BASEBUDGETS!D894*E21)</f>
        <v>#DIV/0!</v>
      </c>
      <c r="H21" s="756" t="e">
        <f>IF(E21=0,0,BASEBUDGETS!D893*E21)</f>
        <v>#DIV/0!</v>
      </c>
      <c r="I21" s="756">
        <v>0</v>
      </c>
      <c r="J21" s="765" t="e">
        <f t="shared" si="0"/>
        <v>#DIV/0!</v>
      </c>
    </row>
    <row r="22" spans="2:10" s="611" customFormat="1" ht="21">
      <c r="C22" s="660" t="str">
        <f>TillageOperations!$B$11</f>
        <v>Moldboard Plow</v>
      </c>
      <c r="D22" s="765"/>
      <c r="E22" s="771" t="e">
        <f>BASEBUDGETS!E895/BASEBUDGETS!C836</f>
        <v>#DIV/0!</v>
      </c>
      <c r="F22" s="770" t="str">
        <f>BASEBUDGETS!C895</f>
        <v>acre</v>
      </c>
      <c r="G22" s="756" t="e">
        <f>IF(E22=0,0,BASEBUDGETS!D896*E22)</f>
        <v>#DIV/0!</v>
      </c>
      <c r="H22" s="756" t="e">
        <f>IF(E22=0,0,BASEBUDGETS!D895*E22)</f>
        <v>#DIV/0!</v>
      </c>
      <c r="I22" s="756">
        <v>0</v>
      </c>
      <c r="J22" s="765" t="e">
        <f t="shared" si="0"/>
        <v>#DIV/0!</v>
      </c>
    </row>
    <row r="23" spans="2:10" s="611" customFormat="1" ht="21">
      <c r="C23" s="660" t="str">
        <f>TillageOperations!$B$12</f>
        <v>Cultivator</v>
      </c>
      <c r="D23" s="765"/>
      <c r="E23" s="771" t="e">
        <f>BASEBUDGETS!E897/BASEBUDGETS!C836</f>
        <v>#DIV/0!</v>
      </c>
      <c r="F23" s="770" t="str">
        <f>BASEBUDGETS!C897</f>
        <v>acre</v>
      </c>
      <c r="G23" s="756" t="e">
        <f>IF(E23=0,0,BASEBUDGETS!D898*E23)</f>
        <v>#DIV/0!</v>
      </c>
      <c r="H23" s="756" t="e">
        <f>IF(E23=0,0,BASEBUDGETS!D897*E23)</f>
        <v>#DIV/0!</v>
      </c>
      <c r="I23" s="756">
        <v>0</v>
      </c>
      <c r="J23" s="765" t="e">
        <f t="shared" si="0"/>
        <v>#DIV/0!</v>
      </c>
    </row>
    <row r="24" spans="2:10" s="611" customFormat="1" ht="21">
      <c r="C24" s="660" t="str">
        <f>TillageOperations!$B$13</f>
        <v>Landplane</v>
      </c>
      <c r="D24" s="765"/>
      <c r="E24" s="771" t="e">
        <f>BASEBUDGETS!E899/BASEBUDGETS!C836</f>
        <v>#DIV/0!</v>
      </c>
      <c r="F24" s="770" t="str">
        <f>BASEBUDGETS!C899</f>
        <v>acre</v>
      </c>
      <c r="G24" s="756" t="e">
        <f>IF(E24=0,0,BASEBUDGETS!D900*E24)</f>
        <v>#DIV/0!</v>
      </c>
      <c r="H24" s="756" t="e">
        <f>IF(E24=0,0,BASEBUDGETS!D899*E24)</f>
        <v>#DIV/0!</v>
      </c>
      <c r="I24" s="756">
        <v>0</v>
      </c>
      <c r="J24" s="765" t="e">
        <f t="shared" si="0"/>
        <v>#DIV/0!</v>
      </c>
    </row>
    <row r="25" spans="2:10" s="611" customFormat="1" ht="21">
      <c r="C25" s="660" t="str">
        <f>TillageOperations!$B$14</f>
        <v>Float</v>
      </c>
      <c r="D25" s="765"/>
      <c r="E25" s="771" t="e">
        <f>BASEBUDGETS!E901/BASEBUDGETS!C836</f>
        <v>#DIV/0!</v>
      </c>
      <c r="F25" s="770" t="str">
        <f>BASEBUDGETS!C901</f>
        <v>acre</v>
      </c>
      <c r="G25" s="756" t="e">
        <f>IF(E25=0,0,BASEBUDGETS!D902*E25)</f>
        <v>#DIV/0!</v>
      </c>
      <c r="H25" s="756" t="e">
        <f>IF(E25=0,0,BASEBUDGETS!D901*E25)</f>
        <v>#DIV/0!</v>
      </c>
      <c r="I25" s="756">
        <v>0</v>
      </c>
      <c r="J25" s="765" t="e">
        <f t="shared" si="0"/>
        <v>#DIV/0!</v>
      </c>
    </row>
    <row r="26" spans="2:10" s="611" customFormat="1" ht="21">
      <c r="C26" s="660" t="str">
        <f>TillageOperations!$B$15</f>
        <v>Lister</v>
      </c>
      <c r="D26" s="765"/>
      <c r="E26" s="771" t="e">
        <f>BASEBUDGETS!E903/BASEBUDGETS!C836</f>
        <v>#DIV/0!</v>
      </c>
      <c r="F26" s="770" t="str">
        <f>BASEBUDGETS!C903</f>
        <v>acre</v>
      </c>
      <c r="G26" s="756" t="e">
        <f>IF(E26=0,0,BASEBUDGETS!D904*E26)</f>
        <v>#DIV/0!</v>
      </c>
      <c r="H26" s="756" t="e">
        <f>IF(E26=0,0,BASEBUDGETS!D903*E26)</f>
        <v>#DIV/0!</v>
      </c>
      <c r="I26" s="756">
        <v>0</v>
      </c>
      <c r="J26" s="765" t="e">
        <f t="shared" si="0"/>
        <v>#DIV/0!</v>
      </c>
    </row>
    <row r="27" spans="2:10" s="611" customFormat="1" ht="21">
      <c r="C27" s="660" t="str">
        <f>TillageOperations!$B$16</f>
        <v>Bed Shaper</v>
      </c>
      <c r="D27" s="765"/>
      <c r="E27" s="771" t="e">
        <f>BASEBUDGETS!E905/BASEBUDGETS!C836</f>
        <v>#DIV/0!</v>
      </c>
      <c r="F27" s="770" t="str">
        <f>BASEBUDGETS!C905</f>
        <v>acre</v>
      </c>
      <c r="G27" s="756" t="e">
        <f>IF(E27=0,0,BASEBUDGETS!D906*E27)</f>
        <v>#DIV/0!</v>
      </c>
      <c r="H27" s="756" t="e">
        <f>IF(E27=0,0,BASEBUDGETS!D905*E27)</f>
        <v>#DIV/0!</v>
      </c>
      <c r="I27" s="756">
        <v>0</v>
      </c>
      <c r="J27" s="765" t="e">
        <f t="shared" si="0"/>
        <v>#DIV/0!</v>
      </c>
    </row>
    <row r="28" spans="2:10" s="611" customFormat="1" ht="21">
      <c r="C28" s="660" t="str">
        <f>TillageOperations!$B$17</f>
        <v>Cotton Shredder/Root Puller</v>
      </c>
      <c r="D28" s="765"/>
      <c r="E28" s="771" t="e">
        <f>BASEBUDGETS!E919/BASEBUDGETS!C836</f>
        <v>#DIV/0!</v>
      </c>
      <c r="F28" s="770" t="str">
        <f>BASEBUDGETS!C919</f>
        <v>acre</v>
      </c>
      <c r="G28" s="756" t="e">
        <f>IF(E28=0,0,BASEBUDGETS!D920*E28)</f>
        <v>#DIV/0!</v>
      </c>
      <c r="H28" s="756" t="e">
        <f>IF(E28=0,0,BASEBUDGETS!D919*E28)</f>
        <v>#DIV/0!</v>
      </c>
      <c r="I28" s="756">
        <v>0</v>
      </c>
      <c r="J28" s="765" t="e">
        <f>G28+H28+I28</f>
        <v>#DIV/0!</v>
      </c>
    </row>
    <row r="29" spans="2:10" s="611" customFormat="1" ht="21">
      <c r="C29" s="660" t="str">
        <f>BASEBUDGETS!B944</f>
        <v>Additional Land Prep. Labor</v>
      </c>
      <c r="D29" s="765">
        <f>GeneralInputPrices!$D$30</f>
        <v>14.55</v>
      </c>
      <c r="E29" s="758" t="e">
        <f>BASEBUDGETS!E944/BASEBUDGETS!C836</f>
        <v>#DIV/0!</v>
      </c>
      <c r="F29" s="773" t="str">
        <f>BASEBUDGETS!C944</f>
        <v>hour</v>
      </c>
      <c r="G29" s="756" t="e">
        <f>D29*E29</f>
        <v>#DIV/0!</v>
      </c>
      <c r="H29" s="756">
        <v>0</v>
      </c>
      <c r="I29" s="756">
        <v>0</v>
      </c>
      <c r="J29" s="765" t="e">
        <f t="shared" si="0"/>
        <v>#DIV/0!</v>
      </c>
    </row>
    <row r="30" spans="2:10" s="611" customFormat="1" ht="21">
      <c r="C30" s="660" t="str">
        <f>BASEBUDGETS!B945</f>
        <v>Additional Land Prep. Labor</v>
      </c>
      <c r="D30" s="765">
        <f>GeneralInputPrices!$D$30</f>
        <v>14.55</v>
      </c>
      <c r="E30" s="758" t="e">
        <f>BASEBUDGETS!E945/BASEBUDGETS!C836</f>
        <v>#DIV/0!</v>
      </c>
      <c r="F30" s="773" t="str">
        <f>BASEBUDGETS!C945</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BASEBUDGETS!B872</f>
        <v>Drill, Custom</v>
      </c>
      <c r="D32" s="765">
        <f>CustomOperations!I24</f>
        <v>0</v>
      </c>
      <c r="E32" s="771" t="e">
        <f>BASEBUDGETS!E872/BASEBUDGETS!C836</f>
        <v>#DIV/0!</v>
      </c>
      <c r="F32" s="770" t="str">
        <f>BASEBUDGETS!C872</f>
        <v>acre</v>
      </c>
      <c r="G32" s="756">
        <v>0</v>
      </c>
      <c r="H32" s="756">
        <v>0</v>
      </c>
      <c r="I32" s="756" t="e">
        <f>IF(E32=0,0,(BASEBUDGETS!D872*E32))</f>
        <v>#DIV/0!</v>
      </c>
      <c r="J32" s="765" t="e">
        <f t="shared" ref="J32:J34" si="1">G32+H32+I32</f>
        <v>#DIV/0!</v>
      </c>
    </row>
    <row r="33" spans="3:10" s="611" customFormat="1" ht="21">
      <c r="C33" s="660" t="str">
        <f>BASEBUDGETS!B873</f>
        <v>Row Planter, Custom</v>
      </c>
      <c r="D33" s="765">
        <f>CustomOperations!I26</f>
        <v>0</v>
      </c>
      <c r="E33" s="771" t="e">
        <f>BASEBUDGETS!E873/BASEBUDGETS!C836</f>
        <v>#DIV/0!</v>
      </c>
      <c r="F33" s="770" t="str">
        <f>BASEBUDGETS!C873</f>
        <v>acre</v>
      </c>
      <c r="G33" s="756">
        <v>0</v>
      </c>
      <c r="H33" s="756">
        <v>0</v>
      </c>
      <c r="I33" s="756" t="e">
        <f>IF(E33=0,0,(BASEBUDGETS!D873*E33))</f>
        <v>#DIV/0!</v>
      </c>
      <c r="J33" s="765" t="e">
        <f t="shared" si="1"/>
        <v>#DIV/0!</v>
      </c>
    </row>
    <row r="34" spans="3:10" s="611" customFormat="1" ht="21">
      <c r="C34" s="660" t="str">
        <f>TillageOperations!$B$21</f>
        <v>Drill</v>
      </c>
      <c r="D34" s="765"/>
      <c r="E34" s="771" t="e">
        <f>BASEBUDGETS!E911/BASEBUDGETS!C836</f>
        <v>#DIV/0!</v>
      </c>
      <c r="F34" s="770" t="str">
        <f>BASEBUDGETS!C911</f>
        <v>acre</v>
      </c>
      <c r="G34" s="756" t="e">
        <f>IF(E34=0,0,BASEBUDGETS!D912*E34)</f>
        <v>#DIV/0!</v>
      </c>
      <c r="H34" s="756" t="e">
        <f>IF(E34=0,0,BASEBUDGETS!D911*E34)</f>
        <v>#DIV/0!</v>
      </c>
      <c r="I34" s="756">
        <v>0</v>
      </c>
      <c r="J34" s="765" t="e">
        <f t="shared" si="1"/>
        <v>#DIV/0!</v>
      </c>
    </row>
    <row r="35" spans="3:10" s="611" customFormat="1" ht="21">
      <c r="C35" s="660" t="str">
        <f>TillageOperations!$B$19</f>
        <v>Row Planter</v>
      </c>
      <c r="D35" s="765"/>
      <c r="E35" s="771" t="e">
        <f>BASEBUDGETS!E907/BASEBUDGETS!C836</f>
        <v>#DIV/0!</v>
      </c>
      <c r="F35" s="770" t="str">
        <f>BASEBUDGETS!C907</f>
        <v>acre</v>
      </c>
      <c r="G35" s="756" t="e">
        <f>IF(E35=0,0,BASEBUDGETS!D908*E35)</f>
        <v>#DIV/0!</v>
      </c>
      <c r="H35" s="756" t="e">
        <f>IF(E35=0,0,BASEBUDGETS!D907*E35)</f>
        <v>#DIV/0!</v>
      </c>
      <c r="I35" s="756">
        <v>0</v>
      </c>
      <c r="J35" s="765" t="e">
        <f>G35+H35+I35</f>
        <v>#DIV/0!</v>
      </c>
    </row>
    <row r="36" spans="3:10" s="611" customFormat="1" ht="21">
      <c r="C36" s="660" t="str">
        <f>TillageOperations!$B$22</f>
        <v>Transplanter</v>
      </c>
      <c r="D36" s="765"/>
      <c r="E36" s="771" t="e">
        <f>BASEBUDGETS!E942/BASEBUDGETS!C836</f>
        <v>#DIV/0!</v>
      </c>
      <c r="F36" s="770" t="str">
        <f>BASEBUDGETS!C942</f>
        <v>acre</v>
      </c>
      <c r="G36" s="756" t="e">
        <f>IF(E36=0,0,BASEBUDGETS!D943*E36)</f>
        <v>#DIV/0!</v>
      </c>
      <c r="H36" s="756" t="e">
        <f>IF(E36=0,0,BASEBUDGETS!D942*E36)</f>
        <v>#DIV/0!</v>
      </c>
      <c r="I36" s="756">
        <v>0</v>
      </c>
      <c r="J36" s="765" t="e">
        <f>G36+H36+I36</f>
        <v>#DIV/0!</v>
      </c>
    </row>
    <row r="37" spans="3:10" s="611" customFormat="1" ht="21">
      <c r="C37" s="660" t="s">
        <v>439</v>
      </c>
      <c r="D37" s="765"/>
      <c r="E37" s="771"/>
      <c r="F37" s="770"/>
      <c r="G37" s="756">
        <v>0</v>
      </c>
      <c r="H37" s="756">
        <v>0</v>
      </c>
      <c r="I37" s="756" t="e">
        <f>(D38*E38)+(D39*E39)</f>
        <v>#DIV/0!</v>
      </c>
      <c r="J37" s="765" t="e">
        <f>G37+H37+I37</f>
        <v>#DIV/0!</v>
      </c>
    </row>
    <row r="38" spans="3:10" s="611" customFormat="1" ht="21">
      <c r="C38" s="660" t="str">
        <f>BASEBUDGETS!B844</f>
        <v xml:space="preserve">   - Seed</v>
      </c>
      <c r="D38" s="765">
        <f>BASEBUDGETS!D844</f>
        <v>1.67</v>
      </c>
      <c r="E38" s="775" t="e">
        <f>BASEBUDGETS!E844/BASEBUDGETS!C836</f>
        <v>#DIV/0!</v>
      </c>
      <c r="F38" s="769" t="str">
        <f>BASEBUDGETS!C844</f>
        <v>pounds</v>
      </c>
      <c r="G38" s="757"/>
      <c r="H38" s="757"/>
      <c r="I38" s="757"/>
      <c r="J38" s="757"/>
    </row>
    <row r="39" spans="3:10" s="611" customFormat="1" ht="21">
      <c r="C39" s="660" t="str">
        <f>BASEBUDGETS!B845</f>
        <v xml:space="preserve">   - Inoculant</v>
      </c>
      <c r="D39" s="765">
        <f>BASEBUDGETS!D845</f>
        <v>3</v>
      </c>
      <c r="E39" s="775" t="e">
        <f>BASEBUDGETS!E845/BASEBUDGETS!C836</f>
        <v>#DIV/0!</v>
      </c>
      <c r="F39" s="769" t="str">
        <f>BASEBUDGETS!C845</f>
        <v>pounds</v>
      </c>
      <c r="G39" s="765"/>
      <c r="H39" s="765"/>
      <c r="I39" s="765"/>
      <c r="J39" s="765"/>
    </row>
    <row r="40" spans="3:10" s="611" customFormat="1" ht="21">
      <c r="C40" s="660" t="str">
        <f>BASEBUDGETS!B884</f>
        <v>Fertilizer Spreader, Custom</v>
      </c>
      <c r="D40" s="765">
        <f>CustomOperations!I32</f>
        <v>10.08</v>
      </c>
      <c r="E40" s="771" t="e">
        <f>BASEBUDGETS!E884/BASEBUDGETS!C836</f>
        <v>#DIV/0!</v>
      </c>
      <c r="F40" s="770" t="str">
        <f>BASEBUDGETS!C884</f>
        <v>acre</v>
      </c>
      <c r="G40" s="756">
        <v>0</v>
      </c>
      <c r="H40" s="756">
        <v>0</v>
      </c>
      <c r="I40" s="756" t="e">
        <f>IF(E40=0,0,BASEBUDGETS!D884*E40)</f>
        <v>#DIV/0!</v>
      </c>
      <c r="J40" s="765" t="e">
        <f>G40+H40+I40</f>
        <v>#DIV/0!</v>
      </c>
    </row>
    <row r="41" spans="3:10" s="611" customFormat="1" ht="21">
      <c r="C41" s="660" t="str">
        <f>BASEBUDGETS!B885</f>
        <v>Laser Landplaning, Custom</v>
      </c>
      <c r="D41" s="765">
        <f>CustomOperations!I34</f>
        <v>0</v>
      </c>
      <c r="E41" s="771" t="e">
        <f>BASEBUDGETS!E885/BASEBUDGETS!C836</f>
        <v>#DIV/0!</v>
      </c>
      <c r="F41" s="770" t="str">
        <f>BASEBUDGETS!C885</f>
        <v>acre</v>
      </c>
      <c r="G41" s="756">
        <v>0</v>
      </c>
      <c r="H41" s="756">
        <v>0</v>
      </c>
      <c r="I41" s="756" t="e">
        <f>IF(E41=0,0,BASEBUDGETS!D885*E41)</f>
        <v>#DIV/0!</v>
      </c>
      <c r="J41" s="765" t="e">
        <f>G41+H41+I41</f>
        <v>#DIV/0!</v>
      </c>
    </row>
    <row r="42" spans="3:10" s="611" customFormat="1" ht="21">
      <c r="C42" s="660" t="str">
        <f>TillageOperations!$B$23</f>
        <v>Fertilizer Spreader</v>
      </c>
      <c r="D42" s="765"/>
      <c r="E42" s="771" t="e">
        <f>BASEBUDGETS!E936/BASEBUDGETS!C836</f>
        <v>#DIV/0!</v>
      </c>
      <c r="F42" s="770" t="str">
        <f>BASEBUDGETS!C936</f>
        <v>acre</v>
      </c>
      <c r="G42" s="756" t="e">
        <f>IF(E42=0,0,BASEBUDGETS!D937*E42)</f>
        <v>#DIV/0!</v>
      </c>
      <c r="H42" s="756" t="e">
        <f>IF(E42=0,0,BASEBUDGETS!D936*E42)</f>
        <v>#DIV/0!</v>
      </c>
      <c r="I42" s="756">
        <v>0</v>
      </c>
      <c r="J42" s="765" t="e">
        <f>G42+H42+I42</f>
        <v>#DIV/0!</v>
      </c>
    </row>
    <row r="43" spans="3:10" s="611" customFormat="1" ht="21">
      <c r="C43" s="660" t="str">
        <f>TillageOperations!$B$24</f>
        <v>Fertilizer Injection System</v>
      </c>
      <c r="D43" s="765"/>
      <c r="E43" s="771" t="e">
        <f>BASEBUDGETS!E938/BASEBUDGETS!C836</f>
        <v>#DIV/0!</v>
      </c>
      <c r="F43" s="770" t="str">
        <f>BASEBUDGETS!C938</f>
        <v>acre</v>
      </c>
      <c r="G43" s="756" t="e">
        <f>IF(E43=0,0,BASEBUDGETS!D939*E43)</f>
        <v>#DIV/0!</v>
      </c>
      <c r="H43" s="756" t="e">
        <f>IF(E43=0,0,BASEBUDGETS!D938*E43)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BASEBUDGETS!B846</f>
        <v xml:space="preserve">   - Nitrogen</v>
      </c>
      <c r="D45" s="765">
        <f>BASEBUDGETS!D846</f>
        <v>0.46</v>
      </c>
      <c r="E45" s="775" t="e">
        <f>BASEBUDGETS!E846/BASEBUDGETS!C836</f>
        <v>#DIV/0!</v>
      </c>
      <c r="F45" s="769" t="str">
        <f>BASEBUDGETS!C846</f>
        <v>pounds</v>
      </c>
      <c r="G45" s="765"/>
      <c r="H45" s="765"/>
      <c r="I45" s="765"/>
      <c r="J45" s="765"/>
    </row>
    <row r="46" spans="3:10" s="611" customFormat="1" ht="21">
      <c r="C46" s="660" t="str">
        <f>BASEBUDGETS!B847</f>
        <v xml:space="preserve">   - Phosphorus</v>
      </c>
      <c r="D46" s="765">
        <f>BASEBUDGETS!D847</f>
        <v>0.36</v>
      </c>
      <c r="E46" s="775" t="e">
        <f>BASEBUDGETS!E847/BASEBUDGETS!C836</f>
        <v>#DIV/0!</v>
      </c>
      <c r="F46" s="769" t="str">
        <f>BASEBUDGETS!C847</f>
        <v>pounds</v>
      </c>
      <c r="G46" s="765"/>
      <c r="H46" s="765"/>
      <c r="I46" s="765"/>
      <c r="J46" s="765"/>
    </row>
    <row r="47" spans="3:10" s="611" customFormat="1" ht="21">
      <c r="C47" s="660" t="str">
        <f>BASEBUDGETS!B848</f>
        <v xml:space="preserve">   - Anhydrous Ammonia</v>
      </c>
      <c r="D47" s="765">
        <f>BASEBUDGETS!D848</f>
        <v>0.21</v>
      </c>
      <c r="E47" s="775" t="e">
        <f>BASEBUDGETS!E848/BASEBUDGETS!C836</f>
        <v>#DIV/0!</v>
      </c>
      <c r="F47" s="769" t="str">
        <f>BASEBUDGETS!C848</f>
        <v>pounds</v>
      </c>
      <c r="G47" s="765"/>
      <c r="H47" s="765"/>
      <c r="I47" s="765"/>
      <c r="J47" s="765"/>
    </row>
    <row r="48" spans="3:10" s="611" customFormat="1" ht="21">
      <c r="C48" s="660" t="str">
        <f>BASEBUDGETS!B849</f>
        <v xml:space="preserve">   - Trace Elements</v>
      </c>
      <c r="D48" s="765">
        <f>BASEBUDGETS!D849</f>
        <v>0.24</v>
      </c>
      <c r="E48" s="775" t="e">
        <f>BASEBUDGETS!E849/BASEBUDGETS!C836</f>
        <v>#DIV/0!</v>
      </c>
      <c r="F48" s="769" t="str">
        <f>BASEBUDGETS!C849</f>
        <v>pounds</v>
      </c>
      <c r="G48" s="765"/>
      <c r="H48" s="765"/>
      <c r="I48" s="765"/>
      <c r="J48" s="765"/>
    </row>
    <row r="49" spans="3:10" s="611" customFormat="1" ht="21">
      <c r="C49" s="660" t="str">
        <f>BASEBUDGETS!B850</f>
        <v xml:space="preserve">   - Nitrogen</v>
      </c>
      <c r="D49" s="765">
        <f>BASEBUDGETS!D850</f>
        <v>20</v>
      </c>
      <c r="E49" s="775" t="e">
        <f>BASEBUDGETS!E850/BASEBUDGETS!C836</f>
        <v>#DIV/0!</v>
      </c>
      <c r="F49" s="769" t="str">
        <f>BASEBUDGETS!C850</f>
        <v>acre</v>
      </c>
      <c r="G49" s="765"/>
      <c r="H49" s="765"/>
      <c r="I49" s="765"/>
      <c r="J49" s="765"/>
    </row>
    <row r="50" spans="3:10" s="611" customFormat="1" ht="21">
      <c r="C50" s="660" t="str">
        <f>BASEBUDGETS!B851</f>
        <v xml:space="preserve">   - Phosphorus</v>
      </c>
      <c r="D50" s="765">
        <f>BASEBUDGETS!D851</f>
        <v>0</v>
      </c>
      <c r="E50" s="775" t="e">
        <f>BASEBUDGETS!E851/BASEBUDGETS!C836</f>
        <v>#DIV/0!</v>
      </c>
      <c r="F50" s="769" t="str">
        <f>BASEBUDGETS!C851</f>
        <v>acre</v>
      </c>
      <c r="G50" s="765"/>
      <c r="H50" s="765"/>
      <c r="I50" s="765"/>
      <c r="J50" s="765"/>
    </row>
    <row r="51" spans="3:10" s="611" customFormat="1" ht="21">
      <c r="C51" s="660" t="str">
        <f>BASEBUDGETS!B852</f>
        <v xml:space="preserve">   - Fertilizer - Anhydrous Applicator</v>
      </c>
      <c r="D51" s="765">
        <f>BASEBUDGETS!D852</f>
        <v>0</v>
      </c>
      <c r="E51" s="775" t="e">
        <f>BASEBUDGETS!E852/BASEBUDGETS!C836</f>
        <v>#DIV/0!</v>
      </c>
      <c r="F51" s="769" t="str">
        <f>BASEBUDGETS!C852</f>
        <v>acre</v>
      </c>
      <c r="G51" s="765"/>
      <c r="H51" s="765"/>
      <c r="I51" s="765"/>
      <c r="J51" s="765"/>
    </row>
    <row r="52" spans="3:10" s="611" customFormat="1" ht="21">
      <c r="C52" s="660" t="str">
        <f>BASEBUDGETS!B886</f>
        <v>Boom Sprayer, Custom</v>
      </c>
      <c r="D52" s="765">
        <f>CustomOperations!I30</f>
        <v>10.050000000000001</v>
      </c>
      <c r="E52" s="771" t="e">
        <f>BASEBUDGETS!E886/BASEBUDGETS!C836</f>
        <v>#DIV/0!</v>
      </c>
      <c r="F52" s="770" t="str">
        <f>BASEBUDGETS!C886</f>
        <v>acre</v>
      </c>
      <c r="G52" s="756">
        <v>0</v>
      </c>
      <c r="H52" s="756">
        <v>0</v>
      </c>
      <c r="I52" s="756" t="e">
        <f>IF(E52=0,0,BASEBUDGETS!D886*E52)</f>
        <v>#DIV/0!</v>
      </c>
      <c r="J52" s="765" t="e">
        <f>G52+H52+I52</f>
        <v>#DIV/0!</v>
      </c>
    </row>
    <row r="53" spans="3:10" s="611" customFormat="1" ht="21">
      <c r="C53" s="660" t="str">
        <f>TillageOperations!$B$25</f>
        <v>Boom Sprayer</v>
      </c>
      <c r="D53" s="765"/>
      <c r="E53" s="771" t="e">
        <f>BASEBUDGETS!E940/BASEBUDGETS!C836</f>
        <v>#DIV/0!</v>
      </c>
      <c r="F53" s="770" t="str">
        <f>BASEBUDGETS!C940</f>
        <v>acre</v>
      </c>
      <c r="G53" s="756" t="e">
        <f>IF(E53=0,0,BASEBUDGETS!D941*E53)</f>
        <v>#DIV/0!</v>
      </c>
      <c r="H53" s="756" t="e">
        <f>IF(E53=0,0,BASEBUDGETS!D940*E53)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BASEBUDGETS!B853</f>
        <v xml:space="preserve">   - Prowl</v>
      </c>
      <c r="D55" s="765">
        <f>BASEBUDGETS!D853</f>
        <v>6.0625</v>
      </c>
      <c r="E55" s="775" t="e">
        <f>BASEBUDGETS!E853/BASEBUDGETS!C836</f>
        <v>#DIV/0!</v>
      </c>
      <c r="F55" s="769" t="str">
        <f>BASEBUDGETS!C853</f>
        <v>pints</v>
      </c>
      <c r="G55" s="765"/>
      <c r="H55" s="765"/>
      <c r="I55" s="765"/>
      <c r="J55" s="765"/>
    </row>
    <row r="56" spans="3:10" s="611" customFormat="1" ht="21">
      <c r="C56" s="660" t="str">
        <f>BASEBUDGETS!B854</f>
        <v xml:space="preserve">   - Aim</v>
      </c>
      <c r="D56" s="765">
        <f>BASEBUDGETS!D854</f>
        <v>5.9375</v>
      </c>
      <c r="E56" s="775" t="e">
        <f>BASEBUDGETS!E854/BASEBUDGETS!C836</f>
        <v>#DIV/0!</v>
      </c>
      <c r="F56" s="769" t="str">
        <f>BASEBUDGETS!C854</f>
        <v>ounces</v>
      </c>
      <c r="G56" s="765"/>
      <c r="H56" s="765"/>
      <c r="I56" s="765"/>
      <c r="J56" s="765"/>
    </row>
    <row r="57" spans="3:10" s="611" customFormat="1" ht="21">
      <c r="C57" s="660" t="str">
        <f>BASEBUDGETS!B855</f>
        <v xml:space="preserve">   - Fusilade</v>
      </c>
      <c r="D57" s="765">
        <f>BASEBUDGETS!D855</f>
        <v>1.25</v>
      </c>
      <c r="E57" s="775" t="e">
        <f>BASEBUDGETS!E855/BASEBUDGETS!C836</f>
        <v>#DIV/0!</v>
      </c>
      <c r="F57" s="769" t="str">
        <f>BASEBUDGETS!C855</f>
        <v>ounces</v>
      </c>
      <c r="G57" s="765"/>
      <c r="H57" s="765"/>
      <c r="I57" s="765"/>
      <c r="J57" s="765"/>
    </row>
    <row r="58" spans="3:10" s="611" customFormat="1" ht="21">
      <c r="C58" s="660" t="str">
        <f>BASEBUDGETS!B856</f>
        <v xml:space="preserve">   - Herbicides</v>
      </c>
      <c r="D58" s="765">
        <f>BASEBUDGETS!D856</f>
        <v>0</v>
      </c>
      <c r="E58" s="775" t="e">
        <f>BASEBUDGETS!E856/BASEBUDGETS!C836</f>
        <v>#DIV/0!</v>
      </c>
      <c r="F58" s="769" t="str">
        <f>BASEBUDGETS!C856</f>
        <v>acre</v>
      </c>
      <c r="G58" s="765"/>
      <c r="H58" s="765"/>
      <c r="I58" s="765"/>
      <c r="J58" s="765"/>
    </row>
    <row r="59" spans="3:10" s="611" customFormat="1" ht="21">
      <c r="C59" s="660" t="str">
        <f>BASEBUDGETS!B857</f>
        <v xml:space="preserve">   - Herbicide - #2</v>
      </c>
      <c r="D59" s="765">
        <f>BASEBUDGETS!D857</f>
        <v>0</v>
      </c>
      <c r="E59" s="775" t="e">
        <f>BASEBUDGETS!E857/BASEBUDGETS!C836</f>
        <v>#DIV/0!</v>
      </c>
      <c r="F59" s="769" t="str">
        <f>BASEBUDGETS!C857</f>
        <v>acre</v>
      </c>
      <c r="G59" s="765"/>
      <c r="H59" s="765"/>
      <c r="I59" s="765"/>
      <c r="J59" s="765"/>
    </row>
    <row r="60" spans="3:10" s="611" customFormat="1" ht="21">
      <c r="C60" s="660" t="str">
        <f>BASEBUDGETS!B858</f>
        <v xml:space="preserve">   - Insecticides</v>
      </c>
      <c r="D60" s="765">
        <f>BASEBUDGETS!D858</f>
        <v>0</v>
      </c>
      <c r="E60" s="775" t="e">
        <f>BASEBUDGETS!E858/BASEBUDGETS!C836</f>
        <v>#DIV/0!</v>
      </c>
      <c r="F60" s="769" t="str">
        <f>BASEBUDGETS!C858</f>
        <v>acre</v>
      </c>
      <c r="G60" s="765"/>
      <c r="H60" s="765"/>
      <c r="I60" s="765"/>
      <c r="J60" s="765"/>
    </row>
    <row r="61" spans="3:10" s="611" customFormat="1" ht="21">
      <c r="C61" s="660" t="str">
        <f>BASEBUDGETS!B859</f>
        <v xml:space="preserve">   - Insecticide - #2</v>
      </c>
      <c r="D61" s="765">
        <f>BASEBUDGETS!D859</f>
        <v>0</v>
      </c>
      <c r="E61" s="775" t="e">
        <f>BASEBUDGETS!E859/BASEBUDGETS!C836</f>
        <v>#DIV/0!</v>
      </c>
      <c r="F61" s="769" t="str">
        <f>BASEBUDGETS!C859</f>
        <v>acre</v>
      </c>
      <c r="G61" s="765"/>
      <c r="H61" s="765"/>
      <c r="I61" s="765"/>
      <c r="J61" s="765"/>
    </row>
    <row r="62" spans="3:10" s="611" customFormat="1" ht="21">
      <c r="C62" s="660" t="str">
        <f>BASEBUDGETS!B874</f>
        <v>Row Cultivator, Custom</v>
      </c>
      <c r="D62" s="765">
        <f>CustomOperations!I28</f>
        <v>0</v>
      </c>
      <c r="E62" s="771" t="e">
        <f>BASEBUDGETS!E874/BASEBUDGETS!C836</f>
        <v>#DIV/0!</v>
      </c>
      <c r="F62" s="770" t="str">
        <f>BASEBUDGETS!C874</f>
        <v>acre</v>
      </c>
      <c r="G62" s="756">
        <v>0</v>
      </c>
      <c r="H62" s="756">
        <v>0</v>
      </c>
      <c r="I62" s="756" t="e">
        <f>IF(E62=0,0,BASEBUDGETS!D874*E62)</f>
        <v>#DIV/0!</v>
      </c>
      <c r="J62" s="765" t="e">
        <f>G62+H62+I62</f>
        <v>#DIV/0!</v>
      </c>
    </row>
    <row r="63" spans="3:10" s="611" customFormat="1" ht="21">
      <c r="C63" s="660" t="str">
        <f>TillageOperations!$B$20</f>
        <v>Row Cultivator</v>
      </c>
      <c r="D63" s="765"/>
      <c r="E63" s="771" t="e">
        <f>BASEBUDGETS!E909/BASEBUDGETS!C836</f>
        <v>#DIV/0!</v>
      </c>
      <c r="F63" s="770" t="str">
        <f>BASEBUDGETS!C909</f>
        <v>acre</v>
      </c>
      <c r="G63" s="756" t="e">
        <f>IF(E63=0,0,BASEBUDGETS!D910*E63)</f>
        <v>#DIV/0!</v>
      </c>
      <c r="H63" s="756" t="e">
        <f>IF(E63=0,0,BASEBUDGETS!D909*E63)</f>
        <v>#DIV/0!</v>
      </c>
      <c r="I63" s="756">
        <v>0</v>
      </c>
      <c r="J63" s="765" t="e">
        <f>G63+H63+I63</f>
        <v>#DIV/0!</v>
      </c>
    </row>
    <row r="64" spans="3:10" s="611" customFormat="1" ht="21">
      <c r="C64" s="660" t="s">
        <v>151</v>
      </c>
      <c r="D64" s="765"/>
      <c r="E64" s="776" t="s">
        <v>10</v>
      </c>
      <c r="F64" s="777" t="s">
        <v>10</v>
      </c>
      <c r="G64" s="756" t="e">
        <f>(D66*E66)+(D69*E69)+(D72*E72)</f>
        <v>#DIV/0!</v>
      </c>
      <c r="H64" s="756">
        <v>0</v>
      </c>
      <c r="I64" s="678" t="e">
        <f>(D65*E65)+(D68*E68)+(D71*E71)+(D67*E67)+(D70*E70)+(D73*E73)</f>
        <v>#DIV/0!</v>
      </c>
      <c r="J64" s="765" t="e">
        <f>G64+H64+I64</f>
        <v>#DIV/0!</v>
      </c>
    </row>
    <row r="65" spans="2:10" s="611" customFormat="1" ht="21">
      <c r="B65" s="660"/>
      <c r="C65" s="660" t="str">
        <f>BASEBUDGETS!B860</f>
        <v>Flood - Irrigation Water</v>
      </c>
      <c r="D65" s="765">
        <f>BASEBUDGETS!D860</f>
        <v>55</v>
      </c>
      <c r="E65" s="775" t="e">
        <f>BASEBUDGETS!E860/BASEBUDGETS!C$836</f>
        <v>#DIV/0!</v>
      </c>
      <c r="F65" s="769" t="str">
        <f>BASEBUDGETS!C860</f>
        <v>ac ft</v>
      </c>
      <c r="G65" s="756"/>
      <c r="H65" s="756"/>
      <c r="I65" s="765"/>
      <c r="J65" s="765"/>
    </row>
    <row r="66" spans="2:10" s="611" customFormat="1" ht="21">
      <c r="C66" s="660" t="str">
        <f>BASEBUDGETS!B861</f>
        <v>Flood - Irrigation Labor</v>
      </c>
      <c r="D66" s="765">
        <f>BASEBUDGETS!D861</f>
        <v>14.55</v>
      </c>
      <c r="E66" s="775" t="e">
        <f>BASEBUDGETS!E861/BASEBUDGETS!C$836</f>
        <v>#DIV/0!</v>
      </c>
      <c r="F66" s="769" t="str">
        <f>BASEBUDGETS!C861</f>
        <v>hour</v>
      </c>
      <c r="G66" s="757"/>
      <c r="H66" s="757"/>
      <c r="I66" s="756"/>
      <c r="J66" s="778" t="s">
        <v>10</v>
      </c>
    </row>
    <row r="67" spans="2:10" s="611" customFormat="1" ht="21">
      <c r="C67" s="660" t="str">
        <f>BASEBUDGETS!B862</f>
        <v xml:space="preserve">   - Annual Repairs &amp; Maintenance</v>
      </c>
      <c r="D67" s="765">
        <f>BASEBUDGETS!D862</f>
        <v>3</v>
      </c>
      <c r="E67" s="775" t="e">
        <f>BASEBUDGETS!E862/BASEBUDGETS!C$836</f>
        <v>#DIV/0!</v>
      </c>
      <c r="F67" s="769" t="str">
        <f>BASEBUDGETS!C862</f>
        <v>acre</v>
      </c>
      <c r="G67" s="757"/>
      <c r="H67" s="757"/>
      <c r="I67" s="756"/>
      <c r="J67" s="778"/>
    </row>
    <row r="68" spans="2:10" s="611" customFormat="1" ht="21">
      <c r="C68" s="660" t="str">
        <f>BASEBUDGETS!B863</f>
        <v>Drip-tape - Irrigation Water</v>
      </c>
      <c r="D68" s="765">
        <f>BASEBUDGETS!D863</f>
        <v>55</v>
      </c>
      <c r="E68" s="775" t="e">
        <f>BASEBUDGETS!E863/BASEBUDGETS!C$836</f>
        <v>#DIV/0!</v>
      </c>
      <c r="F68" s="769" t="str">
        <f>BASEBUDGETS!C863</f>
        <v>ac ft</v>
      </c>
      <c r="G68" s="756"/>
      <c r="H68" s="756"/>
      <c r="I68" s="756"/>
      <c r="J68" s="765"/>
    </row>
    <row r="69" spans="2:10" s="611" customFormat="1" ht="21">
      <c r="C69" s="660" t="str">
        <f>BASEBUDGETS!B864</f>
        <v>Drip-tape - Irrigation Labor</v>
      </c>
      <c r="D69" s="765">
        <f>BASEBUDGETS!D864</f>
        <v>14.55</v>
      </c>
      <c r="E69" s="775" t="e">
        <f>BASEBUDGETS!E864/BASEBUDGETS!C$836</f>
        <v>#DIV/0!</v>
      </c>
      <c r="F69" s="769" t="str">
        <f>BASEBUDGETS!C864</f>
        <v>hour</v>
      </c>
      <c r="G69" s="756"/>
      <c r="H69" s="756"/>
      <c r="I69" s="756"/>
      <c r="J69" s="765"/>
    </row>
    <row r="70" spans="2:10" s="611" customFormat="1" ht="21">
      <c r="C70" s="660" t="str">
        <f>BASEBUDGETS!B865</f>
        <v xml:space="preserve">   - Annual Repairs &amp; Maintenance</v>
      </c>
      <c r="D70" s="765">
        <f>BASEBUDGETS!D865</f>
        <v>7.5</v>
      </c>
      <c r="E70" s="775" t="e">
        <f>BASEBUDGETS!E865/BASEBUDGETS!C$836</f>
        <v>#DIV/0!</v>
      </c>
      <c r="F70" s="769" t="str">
        <f>BASEBUDGETS!C865</f>
        <v>acre</v>
      </c>
      <c r="G70" s="756"/>
      <c r="H70" s="756"/>
      <c r="I70" s="756"/>
      <c r="J70" s="765"/>
    </row>
    <row r="71" spans="2:10" s="611" customFormat="1" ht="21">
      <c r="C71" s="660" t="str">
        <f>BASEBUDGETS!B866</f>
        <v>Sprinkler - Irrigation Water</v>
      </c>
      <c r="D71" s="765">
        <f>BASEBUDGETS!D866</f>
        <v>55</v>
      </c>
      <c r="E71" s="775" t="e">
        <f>BASEBUDGETS!E866/BASEBUDGETS!C$836</f>
        <v>#DIV/0!</v>
      </c>
      <c r="F71" s="769" t="str">
        <f>BASEBUDGETS!C866</f>
        <v>ac ft</v>
      </c>
      <c r="G71" s="756"/>
      <c r="H71" s="756"/>
      <c r="I71" s="756"/>
      <c r="J71" s="765"/>
    </row>
    <row r="72" spans="2:10" s="611" customFormat="1" ht="21">
      <c r="C72" s="660" t="str">
        <f>BASEBUDGETS!B867</f>
        <v>Sprinkler - Irrigation Labor</v>
      </c>
      <c r="D72" s="765">
        <f>BASEBUDGETS!D867</f>
        <v>14.55</v>
      </c>
      <c r="E72" s="775" t="e">
        <f>BASEBUDGETS!E867/BASEBUDGETS!C$836</f>
        <v>#DIV/0!</v>
      </c>
      <c r="F72" s="769" t="str">
        <f>BASEBUDGETS!C867</f>
        <v>hour</v>
      </c>
      <c r="G72" s="756"/>
      <c r="H72" s="756"/>
      <c r="I72" s="756"/>
      <c r="J72" s="765"/>
    </row>
    <row r="73" spans="2:10" s="611" customFormat="1" ht="21">
      <c r="C73" s="660" t="str">
        <f>BASEBUDGETS!B868</f>
        <v xml:space="preserve">   - Annual Repairs &amp; Maintenance</v>
      </c>
      <c r="D73" s="765">
        <f>BASEBUDGETS!D868</f>
        <v>15</v>
      </c>
      <c r="E73" s="775" t="e">
        <f>BASEBUDGETS!E868/BASEBUDGETS!C$836</f>
        <v>#DIV/0!</v>
      </c>
      <c r="F73" s="769" t="str">
        <f>BASEBUDGETS!C868</f>
        <v>acre</v>
      </c>
      <c r="G73" s="756"/>
      <c r="H73" s="756"/>
      <c r="I73" s="756"/>
      <c r="J73" s="765"/>
    </row>
    <row r="74" spans="2:10" s="611" customFormat="1" ht="21">
      <c r="C74" s="660" t="str">
        <f>BASEBUDGETS!B946</f>
        <v>Additional Crop Prod. Labor</v>
      </c>
      <c r="D74" s="765">
        <f>GeneralInputPrices!$D$31</f>
        <v>14.55</v>
      </c>
      <c r="E74" s="771" t="e">
        <f>BASEBUDGETS!E946/BASEBUDGETS!C836</f>
        <v>#DIV/0!</v>
      </c>
      <c r="F74" s="770" t="str">
        <f>BASEBUDGETS!C946</f>
        <v>hour</v>
      </c>
      <c r="G74" s="756" t="e">
        <f>D74*E74</f>
        <v>#DIV/0!</v>
      </c>
      <c r="H74" s="756">
        <v>0</v>
      </c>
      <c r="I74" s="756">
        <v>0</v>
      </c>
      <c r="J74" s="765" t="e">
        <f t="shared" ref="J74:J75" si="2">G74+H74+I74</f>
        <v>#DIV/0!</v>
      </c>
    </row>
    <row r="75" spans="2:10" s="611" customFormat="1" ht="21">
      <c r="C75" s="660" t="str">
        <f>BASEBUDGETS!B947</f>
        <v>Additional Crop Prod. Labor</v>
      </c>
      <c r="D75" s="765">
        <f>GeneralInputPrices!$D$31</f>
        <v>14.55</v>
      </c>
      <c r="E75" s="771" t="e">
        <f>BASEBUDGETS!E947/BASEBUDGETS!C836</f>
        <v>#DIV/0!</v>
      </c>
      <c r="F75" s="770" t="str">
        <f>BASEBUDGETS!C947</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BASEBUDGETS!B869</f>
        <v>Harvest, Custom</v>
      </c>
      <c r="D77" s="765">
        <f>CustomOperations!I37</f>
        <v>0</v>
      </c>
      <c r="E77" s="771" t="e">
        <f>BASEBUDGETS!E869/BASEBUDGETS!C836</f>
        <v>#DIV/0!</v>
      </c>
      <c r="F77" s="770" t="str">
        <f>BASEBUDGETS!C869</f>
        <v>acre</v>
      </c>
      <c r="G77" s="756">
        <v>0</v>
      </c>
      <c r="H77" s="756">
        <v>0</v>
      </c>
      <c r="I77" s="756" t="e">
        <f>IF(E77=0,0,BASEBUDGETS!D869*E77)</f>
        <v>#DIV/0!</v>
      </c>
      <c r="J77" s="765" t="e">
        <f t="shared" ref="J77:J88" si="3">G77+H77+I77</f>
        <v>#DIV/0!</v>
      </c>
    </row>
    <row r="78" spans="2:10" s="611" customFormat="1" ht="21">
      <c r="C78" s="660" t="str">
        <f>BASEBUDGETS!B870</f>
        <v>Hauling, Custom</v>
      </c>
      <c r="D78" s="765">
        <f>CustomOperations!I39</f>
        <v>0</v>
      </c>
      <c r="E78" s="771" t="e">
        <f>BASEBUDGETS!E870/BASEBUDGETS!C836</f>
        <v>#DIV/0!</v>
      </c>
      <c r="F78" s="770" t="str">
        <f>BASEBUDGETS!C870</f>
        <v>mile</v>
      </c>
      <c r="G78" s="756">
        <v>0</v>
      </c>
      <c r="H78" s="756">
        <v>0</v>
      </c>
      <c r="I78" s="756" t="e">
        <f>IF(E78=0,0,BASEBUDGETS!D870*E78)</f>
        <v>#DIV/0!</v>
      </c>
      <c r="J78" s="765" t="e">
        <f t="shared" si="3"/>
        <v>#DIV/0!</v>
      </c>
    </row>
    <row r="79" spans="2:10" s="611" customFormat="1" ht="21">
      <c r="C79" s="660" t="str">
        <f>BASEBUDGETS!B871</f>
        <v>Gin Cotton/Drying/Swathing, Custom</v>
      </c>
      <c r="D79" s="765">
        <f>CustomOperations!I41</f>
        <v>0</v>
      </c>
      <c r="E79" s="771" t="e">
        <f>BASEBUDGETS!E871/BASEBUDGETS!C836</f>
        <v>#DIV/0!</v>
      </c>
      <c r="F79" s="770" t="str">
        <f>BASEBUDGETS!C871</f>
        <v>bale</v>
      </c>
      <c r="G79" s="756">
        <v>0</v>
      </c>
      <c r="H79" s="756">
        <v>0</v>
      </c>
      <c r="I79" s="756" t="e">
        <f>IF(E79=0,0,BASEBUDGETS!D871*E79)</f>
        <v>#DIV/0!</v>
      </c>
      <c r="J79" s="765" t="e">
        <f t="shared" si="3"/>
        <v>#DIV/0!</v>
      </c>
    </row>
    <row r="80" spans="2:10" s="611" customFormat="1" ht="21">
      <c r="C80" s="660" t="str">
        <f>TillageOperations!$B$27</f>
        <v>Cotton Picker</v>
      </c>
      <c r="D80" s="765"/>
      <c r="E80" s="771" t="e">
        <f>BASEBUDGETS!E913/BASEBUDGETS!C836</f>
        <v>#DIV/0!</v>
      </c>
      <c r="F80" s="770" t="str">
        <f>BASEBUDGETS!C913</f>
        <v>acre</v>
      </c>
      <c r="G80" s="756" t="e">
        <f>IF(E80=0,0,BASEBUDGETS!D914*E80)</f>
        <v>#DIV/0!</v>
      </c>
      <c r="H80" s="756" t="e">
        <f>IF(E80=0,0,BASEBUDGETS!D913*E80)</f>
        <v>#DIV/0!</v>
      </c>
      <c r="I80" s="756">
        <v>0</v>
      </c>
      <c r="J80" s="765" t="e">
        <f t="shared" si="3"/>
        <v>#DIV/0!</v>
      </c>
    </row>
    <row r="81" spans="2:10" s="611" customFormat="1" ht="21">
      <c r="C81" s="781" t="s">
        <v>287</v>
      </c>
      <c r="D81" s="765"/>
      <c r="E81" s="771" t="e">
        <f>BASEBUDGETS!E915/BASEBUDGETS!C836</f>
        <v>#DIV/0!</v>
      </c>
      <c r="F81" s="770" t="str">
        <f>BASEBUDGETS!C915</f>
        <v>acre</v>
      </c>
      <c r="G81" s="756" t="e">
        <f>IF(E81=0,0,BASEBUDGETS!D916*E81)</f>
        <v>#DIV/0!</v>
      </c>
      <c r="H81" s="756" t="e">
        <f>IF(E81=0,0,BASEBUDGETS!D915*E81)</f>
        <v>#DIV/0!</v>
      </c>
      <c r="I81" s="756">
        <v>0</v>
      </c>
      <c r="J81" s="765" t="e">
        <f t="shared" ref="J81" si="4">G81+H81+I81</f>
        <v>#DIV/0!</v>
      </c>
    </row>
    <row r="82" spans="2:10" s="611" customFormat="1" ht="21">
      <c r="C82" s="660" t="str">
        <f>TillageOperations!$B$29</f>
        <v>Haul Cotton</v>
      </c>
      <c r="D82" s="765"/>
      <c r="E82" s="771" t="e">
        <f>BASEBUDGETS!E917/BASEBUDGETS!C836</f>
        <v>#DIV/0!</v>
      </c>
      <c r="F82" s="770" t="str">
        <f>BASEBUDGETS!C917</f>
        <v>acre</v>
      </c>
      <c r="G82" s="756" t="e">
        <f>IF(E82=0,0,BASEBUDGETS!D918*E82)</f>
        <v>#DIV/0!</v>
      </c>
      <c r="H82" s="756" t="e">
        <f>IF(E82=0,0,BASEBUDGETS!D917*E82)</f>
        <v>#DIV/0!</v>
      </c>
      <c r="I82" s="756">
        <v>0</v>
      </c>
      <c r="J82" s="765" t="e">
        <f t="shared" si="3"/>
        <v>#DIV/0!</v>
      </c>
    </row>
    <row r="83" spans="2:10" s="611" customFormat="1" ht="21">
      <c r="C83" s="660" t="str">
        <f>TillageOperations!$B$30</f>
        <v>Combine</v>
      </c>
      <c r="D83" s="765"/>
      <c r="E83" s="771" t="e">
        <f>BASEBUDGETS!E921/BASEBUDGETS!C836</f>
        <v>#DIV/0!</v>
      </c>
      <c r="F83" s="770" t="str">
        <f>BASEBUDGETS!C921</f>
        <v>acre</v>
      </c>
      <c r="G83" s="756" t="e">
        <f>IF(E83=0,0,BASEBUDGETS!D922*E83)</f>
        <v>#DIV/0!</v>
      </c>
      <c r="H83" s="756" t="e">
        <f>IF(E83=0,0,BASEBUDGETS!D921*E83)</f>
        <v>#DIV/0!</v>
      </c>
      <c r="I83" s="756">
        <v>0</v>
      </c>
      <c r="J83" s="765" t="e">
        <f t="shared" si="3"/>
        <v>#DIV/0!</v>
      </c>
    </row>
    <row r="84" spans="2:10" s="611" customFormat="1" ht="21">
      <c r="C84" s="660" t="str">
        <f>TillageOperations!$B$31</f>
        <v>Grain Cart</v>
      </c>
      <c r="D84" s="765"/>
      <c r="E84" s="771" t="e">
        <f>BASEBUDGETS!E923/BASEBUDGETS!C836</f>
        <v>#DIV/0!</v>
      </c>
      <c r="F84" s="770" t="str">
        <f>BASEBUDGETS!C923</f>
        <v>acre</v>
      </c>
      <c r="G84" s="756" t="e">
        <f>IF(E84=0,0,BASEBUDGETS!D924*E84)</f>
        <v>#DIV/0!</v>
      </c>
      <c r="H84" s="756" t="e">
        <f>IF(E84=0,0,BASEBUDGETS!D923*E84)</f>
        <v>#DIV/0!</v>
      </c>
      <c r="I84" s="756">
        <v>0</v>
      </c>
      <c r="J84" s="765" t="e">
        <f t="shared" si="3"/>
        <v>#DIV/0!</v>
      </c>
    </row>
    <row r="85" spans="2:10" s="611" customFormat="1" ht="21">
      <c r="C85" s="660" t="str">
        <f>TillageOperations!$B$32</f>
        <v>Swather</v>
      </c>
      <c r="D85" s="765"/>
      <c r="E85" s="771" t="e">
        <f>BASEBUDGETS!E925/BASEBUDGETS!C836</f>
        <v>#DIV/0!</v>
      </c>
      <c r="F85" s="770" t="str">
        <f>BASEBUDGETS!C925</f>
        <v>acre</v>
      </c>
      <c r="G85" s="756" t="e">
        <f>IF(E85=0,0,BASEBUDGETS!D926*E85)</f>
        <v>#DIV/0!</v>
      </c>
      <c r="H85" s="756" t="e">
        <f>IF(E85=0,0,BASEBUDGETS!D925*E85)</f>
        <v>#DIV/0!</v>
      </c>
      <c r="I85" s="756">
        <v>0</v>
      </c>
      <c r="J85" s="765" t="e">
        <f t="shared" si="3"/>
        <v>#DIV/0!</v>
      </c>
    </row>
    <row r="86" spans="2:10" s="611" customFormat="1" ht="21">
      <c r="C86" s="660" t="str">
        <f>TillageOperations!$B$33</f>
        <v>Baler</v>
      </c>
      <c r="D86" s="765"/>
      <c r="E86" s="771" t="e">
        <f>BASEBUDGETS!E927/BASEBUDGETS!C836</f>
        <v>#DIV/0!</v>
      </c>
      <c r="F86" s="770" t="str">
        <f>BASEBUDGETS!C927</f>
        <v>acre</v>
      </c>
      <c r="G86" s="756" t="e">
        <f>IF(E86=0,0,BASEBUDGETS!D928*E86)</f>
        <v>#DIV/0!</v>
      </c>
      <c r="H86" s="756" t="e">
        <f>IF(E86=0,0,BASEBUDGETS!D927*E86)</f>
        <v>#DIV/0!</v>
      </c>
      <c r="I86" s="756" t="e">
        <f>IF(E86=0,0,D89*E89)</f>
        <v>#DIV/0!</v>
      </c>
      <c r="J86" s="765" t="e">
        <f t="shared" si="3"/>
        <v>#DIV/0!</v>
      </c>
    </row>
    <row r="87" spans="2:10" s="611" customFormat="1" ht="21">
      <c r="C87" s="660" t="str">
        <f>TillageOperations!$B$34</f>
        <v>Swather</v>
      </c>
      <c r="D87" s="765"/>
      <c r="E87" s="771" t="e">
        <f>BASEBUDGETS!E929/BASEBUDGETS!C836</f>
        <v>#DIV/0!</v>
      </c>
      <c r="F87" s="770" t="str">
        <f>BASEBUDGETS!C929</f>
        <v>acre</v>
      </c>
      <c r="G87" s="756" t="e">
        <f>IF(E87=0,0,BASEBUDGETS!D930*E87)</f>
        <v>#DIV/0!</v>
      </c>
      <c r="H87" s="756" t="e">
        <f>IF(E87=0,0,BASEBUDGETS!D929*E87)</f>
        <v>#DIV/0!</v>
      </c>
      <c r="I87" s="756">
        <v>0</v>
      </c>
      <c r="J87" s="765" t="e">
        <f t="shared" si="3"/>
        <v>#DIV/0!</v>
      </c>
    </row>
    <row r="88" spans="2:10" s="611" customFormat="1" ht="21">
      <c r="C88" s="660" t="str">
        <f>TillageOperations!$B$35</f>
        <v>Baler</v>
      </c>
      <c r="D88" s="765"/>
      <c r="E88" s="771" t="e">
        <f>BASEBUDGETS!E931/BASEBUDGETS!C836</f>
        <v>#DIV/0!</v>
      </c>
      <c r="F88" s="770" t="str">
        <f>BASEBUDGETS!C931</f>
        <v>acre</v>
      </c>
      <c r="G88" s="756" t="e">
        <f>IF(E88=0,0,BASEBUDGETS!D932*E88)</f>
        <v>#DIV/0!</v>
      </c>
      <c r="H88" s="756" t="e">
        <f>IF(E88=0,0,BASEBUDGETS!D931*E88)</f>
        <v>#DIV/0!</v>
      </c>
      <c r="I88" s="756" t="e">
        <f>IF(E88=0,0,D89*E89)</f>
        <v>#DIV/0!</v>
      </c>
      <c r="J88" s="765" t="e">
        <f t="shared" si="3"/>
        <v>#DIV/0!</v>
      </c>
    </row>
    <row r="89" spans="2:10" s="611" customFormat="1" ht="21">
      <c r="C89" s="660" t="str">
        <f>'Inputs&amp;PricesbyCrop'!$B$31</f>
        <v xml:space="preserve">   - Baling Twine</v>
      </c>
      <c r="D89" s="765">
        <f>BASEBUDGETS!D933</f>
        <v>0</v>
      </c>
      <c r="E89" s="775" t="e">
        <f>BASEBUDGETS!E933/BASEBUDGETS!C836</f>
        <v>#DIV/0!</v>
      </c>
      <c r="F89" s="769" t="str">
        <f>'Inputs&amp;PricesbyCrop'!$C$31</f>
        <v>acre</v>
      </c>
      <c r="G89" s="756"/>
      <c r="H89" s="756"/>
      <c r="I89" s="756"/>
      <c r="J89" s="765"/>
    </row>
    <row r="90" spans="2:10" s="611" customFormat="1" ht="21">
      <c r="C90" s="660" t="str">
        <f>TillageOperations!$B$36</f>
        <v>Bale Wagon</v>
      </c>
      <c r="D90" s="765"/>
      <c r="E90" s="771" t="e">
        <f>BASEBUDGETS!E934/BASEBUDGETS!C836</f>
        <v>#DIV/0!</v>
      </c>
      <c r="F90" s="770" t="str">
        <f>BASEBUDGETS!C934</f>
        <v>acre</v>
      </c>
      <c r="G90" s="756" t="e">
        <f>IF(E90=0,0,BASEBUDGETS!D935*E90)</f>
        <v>#DIV/0!</v>
      </c>
      <c r="H90" s="756" t="e">
        <f>IF(E90=0,0,BASEBUDGETS!D934*E90)</f>
        <v>#DIV/0!</v>
      </c>
      <c r="I90" s="756">
        <v>0</v>
      </c>
      <c r="J90" s="765" t="e">
        <f t="shared" ref="J90:J92" si="5">G90+H90+I90</f>
        <v>#DIV/0!</v>
      </c>
    </row>
    <row r="91" spans="2:10" s="611" customFormat="1" ht="21">
      <c r="C91" s="660" t="str">
        <f>BASEBUDGETS!B948</f>
        <v>Additional Harvest Labor</v>
      </c>
      <c r="D91" s="765">
        <f>GeneralInputPrices!$D$32</f>
        <v>17.89</v>
      </c>
      <c r="E91" s="771" t="e">
        <f>BASEBUDGETS!E948/BASEBUDGETS!C836</f>
        <v>#DIV/0!</v>
      </c>
      <c r="F91" s="770" t="str">
        <f>BASEBUDGETS!C948</f>
        <v>hour</v>
      </c>
      <c r="G91" s="756" t="e">
        <f>D91*E91</f>
        <v>#DIV/0!</v>
      </c>
      <c r="H91" s="756">
        <v>0</v>
      </c>
      <c r="I91" s="756">
        <v>0</v>
      </c>
      <c r="J91" s="765" t="e">
        <f t="shared" si="5"/>
        <v>#DIV/0!</v>
      </c>
    </row>
    <row r="92" spans="2:10" s="611" customFormat="1" ht="21">
      <c r="C92" s="660" t="str">
        <f>BASEBUDGETS!B949</f>
        <v>Additional Harvest Labor</v>
      </c>
      <c r="D92" s="765">
        <f>GeneralInputPrices!$D$32</f>
        <v>17.89</v>
      </c>
      <c r="E92" s="771" t="e">
        <f>BASEBUDGETS!E949/BASEBUDGETS!C836</f>
        <v>#DIV/0!</v>
      </c>
      <c r="F92" s="770" t="str">
        <f>BASEBUDGETS!C949</f>
        <v>hour</v>
      </c>
      <c r="G92" s="756" t="e">
        <f>D92*E92</f>
        <v>#DIV/0!</v>
      </c>
      <c r="H92" s="756">
        <v>0</v>
      </c>
      <c r="I92" s="756">
        <v>0</v>
      </c>
      <c r="J92" s="765" t="e">
        <f t="shared" si="5"/>
        <v>#DIV/0!</v>
      </c>
    </row>
    <row r="93" spans="2:10" s="611" customFormat="1" ht="21">
      <c r="B93" s="760" t="s">
        <v>184</v>
      </c>
      <c r="C93" s="760"/>
      <c r="D93" s="765"/>
      <c r="E93" s="771"/>
      <c r="F93" s="770"/>
      <c r="G93" s="756"/>
      <c r="H93" s="756"/>
      <c r="I93" s="756"/>
      <c r="J93" s="765"/>
    </row>
    <row r="94" spans="2:10" s="611" customFormat="1" ht="21">
      <c r="C94" s="660" t="str">
        <f>BASEBUDGETS!B950</f>
        <v>Other Expenses</v>
      </c>
      <c r="D94" s="765"/>
      <c r="E94" s="783">
        <f>BASEBUDGETS!D950</f>
        <v>0.05</v>
      </c>
      <c r="F94" s="780" t="s">
        <v>10</v>
      </c>
      <c r="G94" s="756">
        <v>0</v>
      </c>
      <c r="H94" s="756">
        <v>0</v>
      </c>
      <c r="I94" s="756" t="e">
        <f>SUM(J9:J92)*E94</f>
        <v>#DIV/0!</v>
      </c>
      <c r="J94" s="765" t="e">
        <f>G94+H94+I94</f>
        <v>#DIV/0!</v>
      </c>
    </row>
    <row r="95" spans="2:10" s="611" customFormat="1" ht="21">
      <c r="C95" s="660" t="str">
        <f>BASEBUDGETS!B951</f>
        <v>Interest on Operating Capital</v>
      </c>
      <c r="D95" s="765"/>
      <c r="E95" s="783">
        <f>BASEBUDGETS!D951</f>
        <v>0.06</v>
      </c>
      <c r="F95" s="780" t="s">
        <v>10</v>
      </c>
      <c r="G95" s="784">
        <v>0</v>
      </c>
      <c r="H95" s="784">
        <v>0</v>
      </c>
      <c r="I95" s="784" t="e">
        <f>SUM(J9:J94)*((E95/12)*GeneralInputPrices!$D$39)</f>
        <v>#DIV/0!</v>
      </c>
      <c r="J95" s="785" t="e">
        <f>G95+H95+I95</f>
        <v>#DIV/0!</v>
      </c>
    </row>
    <row r="96" spans="2:10" s="611" customFormat="1" ht="21">
      <c r="B96" s="760" t="s">
        <v>153</v>
      </c>
      <c r="C96" s="760"/>
      <c r="D96" s="760"/>
      <c r="E96" s="760"/>
      <c r="F96" s="660"/>
      <c r="G96" s="756" t="e">
        <f>SUM(G9:G95)</f>
        <v>#DIV/0!</v>
      </c>
      <c r="H96" s="756" t="e">
        <f>SUM(H9:H95)</f>
        <v>#DIV/0!</v>
      </c>
      <c r="I96" s="756" t="e">
        <f>SUM(I9:I95)</f>
        <v>#DIV/0!</v>
      </c>
      <c r="J96" s="756" t="e">
        <f>SUM(J9:J95)</f>
        <v>#DIV/0!</v>
      </c>
    </row>
    <row r="97" spans="2:10" s="611" customFormat="1">
      <c r="D97" s="786"/>
      <c r="E97" s="774"/>
      <c r="G97" s="757"/>
      <c r="H97" s="757"/>
      <c r="I97" s="757"/>
      <c r="J97" s="757"/>
    </row>
    <row r="98" spans="2:10" s="611" customFormat="1" ht="21">
      <c r="B98" s="805" t="s">
        <v>78</v>
      </c>
      <c r="C98" s="805"/>
      <c r="D98" s="805"/>
      <c r="E98" s="805"/>
      <c r="F98" s="805"/>
      <c r="G98" s="791"/>
      <c r="H98" s="792" t="s">
        <v>1</v>
      </c>
      <c r="I98" s="767" t="s">
        <v>24</v>
      </c>
      <c r="J98" s="767" t="s">
        <v>0</v>
      </c>
    </row>
    <row r="99" spans="2:10" s="611" customFormat="1" ht="21">
      <c r="B99" s="754" t="str">
        <f>BASEBUDGETS!B986</f>
        <v>Crop Insurance</v>
      </c>
      <c r="C99" s="754"/>
      <c r="D99" s="754"/>
      <c r="E99" s="754"/>
      <c r="F99" s="754"/>
      <c r="G99" s="757"/>
      <c r="H99" s="770" t="str">
        <f>BASEBUDGETS!C986</f>
        <v>acre</v>
      </c>
      <c r="I99" s="756" t="e">
        <f>BASEBUDGETS!F986/BASEBUDGETS!C836</f>
        <v>#DIV/0!</v>
      </c>
      <c r="J99" s="756" t="e">
        <f>I99</f>
        <v>#DIV/0!</v>
      </c>
    </row>
    <row r="100" spans="2:10" s="611" customFormat="1" ht="21">
      <c r="B100" s="760" t="str">
        <f>BASEBUDGETS!B987</f>
        <v>Property Insurance</v>
      </c>
      <c r="C100" s="760"/>
      <c r="D100" s="760"/>
      <c r="E100" s="760"/>
      <c r="F100" s="760"/>
      <c r="G100" s="757"/>
      <c r="H100" s="770" t="str">
        <f>BASEBUDGETS!C987</f>
        <v>acre</v>
      </c>
      <c r="I100" s="756" t="e">
        <f>BASEBUDGETS!F987/BASEBUDGETS!C836</f>
        <v>#DIV/0!</v>
      </c>
      <c r="J100" s="756" t="e">
        <f>I100</f>
        <v>#DIV/0!</v>
      </c>
    </row>
    <row r="101" spans="2:10" s="611" customFormat="1" ht="21">
      <c r="B101" s="760" t="str">
        <f>BASEBUDGETS!B988</f>
        <v>Property Taxes</v>
      </c>
      <c r="C101" s="760"/>
      <c r="D101" s="760"/>
      <c r="E101" s="760"/>
      <c r="F101" s="760"/>
      <c r="G101" s="757"/>
      <c r="H101" s="770" t="str">
        <f>BASEBUDGETS!C988</f>
        <v>acre</v>
      </c>
      <c r="I101" s="756" t="e">
        <f>BASEBUDGETS!F988/BASEBUDGETS!C836</f>
        <v>#DIV/0!</v>
      </c>
      <c r="J101" s="756" t="e">
        <f t="shared" ref="J101:J104" si="6">I101</f>
        <v>#DIV/0!</v>
      </c>
    </row>
    <row r="102" spans="2:10" s="611" customFormat="1" ht="21">
      <c r="B102" s="760" t="str">
        <f>BASEBUDGETS!B991</f>
        <v>Licenses and Fees</v>
      </c>
      <c r="C102" s="760"/>
      <c r="D102" s="760"/>
      <c r="E102" s="760"/>
      <c r="F102" s="760"/>
      <c r="G102" s="757"/>
      <c r="H102" s="770" t="str">
        <f>BASEBUDGETS!C991</f>
        <v>acre</v>
      </c>
      <c r="I102" s="756" t="e">
        <f>BASEBUDGETS!F991/BASEBUDGETS!C836</f>
        <v>#DIV/0!</v>
      </c>
      <c r="J102" s="756" t="e">
        <f t="shared" si="6"/>
        <v>#DIV/0!</v>
      </c>
    </row>
    <row r="103" spans="2:10" s="611" customFormat="1" ht="21">
      <c r="B103" s="794" t="s">
        <v>484</v>
      </c>
      <c r="C103" s="794"/>
      <c r="D103" s="794"/>
      <c r="E103" s="756"/>
      <c r="F103" s="756"/>
      <c r="G103" s="756"/>
      <c r="H103" s="770" t="s">
        <v>157</v>
      </c>
      <c r="I103" s="756">
        <f>IF('AcresYieldsPrices&amp;Water'!D9=0,0,((Fallow!L17*'AcresYieldsPrices&amp;Water'!T13)/'AcresYieldsPrices&amp;Water'!D7)*-1)</f>
        <v>0</v>
      </c>
      <c r="J103" s="765">
        <f>I103</f>
        <v>0</v>
      </c>
    </row>
    <row r="104" spans="2:10" s="611" customFormat="1" ht="21">
      <c r="B104" s="760" t="str">
        <f>BASEBUDGETS!B989</f>
        <v>Annual Cash Rent Payment</v>
      </c>
      <c r="C104" s="760"/>
      <c r="D104" s="760"/>
      <c r="E104" s="760"/>
      <c r="F104" s="760"/>
      <c r="G104" s="757"/>
      <c r="H104" s="770" t="str">
        <f>BASEBUDGETS!C989</f>
        <v>acre</v>
      </c>
      <c r="I104" s="756" t="e">
        <f>BASEBUDGETS!F989/BASEBUDGETS!C836</f>
        <v>#DIV/0!</v>
      </c>
      <c r="J104" s="784" t="e">
        <f t="shared" si="6"/>
        <v>#DIV/0!</v>
      </c>
    </row>
    <row r="105" spans="2:10" s="611" customFormat="1" ht="21">
      <c r="B105" s="760" t="s">
        <v>79</v>
      </c>
      <c r="C105" s="760"/>
      <c r="D105" s="760"/>
      <c r="E105" s="760"/>
      <c r="F105" s="760"/>
      <c r="G105" s="756"/>
      <c r="H105" s="756"/>
      <c r="I105" s="756"/>
      <c r="J105" s="765" t="e">
        <f>SUM(J99:J104)</f>
        <v>#DIV/0!</v>
      </c>
    </row>
    <row r="106" spans="2:10" s="611" customFormat="1">
      <c r="D106" s="786"/>
      <c r="E106" s="774"/>
      <c r="G106" s="757"/>
      <c r="H106" s="757"/>
      <c r="I106" s="757"/>
      <c r="J106" s="786"/>
    </row>
    <row r="107" spans="2:10" s="611" customFormat="1" ht="21">
      <c r="B107" s="805" t="s">
        <v>154</v>
      </c>
      <c r="C107" s="805"/>
      <c r="D107" s="805"/>
      <c r="E107" s="805"/>
      <c r="F107" s="805"/>
      <c r="G107" s="791"/>
      <c r="H107" s="792" t="s">
        <v>1</v>
      </c>
      <c r="I107" s="767" t="s">
        <v>24</v>
      </c>
      <c r="J107" s="767" t="s">
        <v>0</v>
      </c>
    </row>
    <row r="108" spans="2:10" s="611" customFormat="1" ht="21">
      <c r="B108" s="760" t="s">
        <v>534</v>
      </c>
      <c r="C108" s="760"/>
      <c r="D108" s="760"/>
      <c r="E108" s="760"/>
      <c r="F108" s="760"/>
      <c r="G108" s="760"/>
      <c r="H108" s="770" t="s">
        <v>157</v>
      </c>
      <c r="I108" s="660" t="e">
        <f>SUM(BASEBUDGETS!F955:F957)/BASEBUDGETS!C836</f>
        <v>#DIV/0!</v>
      </c>
      <c r="J108" s="765" t="e">
        <f>I108</f>
        <v>#DIV/0!</v>
      </c>
    </row>
    <row r="109" spans="2:10" s="611" customFormat="1" ht="21">
      <c r="B109" s="796" t="s">
        <v>156</v>
      </c>
      <c r="C109" s="796"/>
      <c r="D109" s="796"/>
      <c r="E109" s="806"/>
      <c r="F109" s="796"/>
      <c r="G109" s="756"/>
      <c r="H109" s="770" t="str">
        <f>BASEBUDGETS!C955</f>
        <v>acre</v>
      </c>
      <c r="I109" s="758" t="e">
        <f>SUM(BASEBUDGETS!F958:F985)/BASEBUDGETS!C836</f>
        <v>#DIV/0!</v>
      </c>
      <c r="J109" s="797" t="e">
        <f>I109</f>
        <v>#DIV/0!</v>
      </c>
    </row>
    <row r="110" spans="2:10" s="611" customFormat="1" ht="21">
      <c r="B110" s="807" t="s">
        <v>77</v>
      </c>
      <c r="C110" s="807"/>
      <c r="D110" s="807"/>
      <c r="E110" s="807"/>
      <c r="F110" s="807"/>
      <c r="G110" s="807"/>
      <c r="H110" s="756"/>
      <c r="I110" s="756"/>
      <c r="J110" s="678" t="e">
        <f>J109+J108</f>
        <v>#DIV/0!</v>
      </c>
    </row>
    <row r="111" spans="2:10" s="611" customFormat="1" ht="21">
      <c r="B111" s="660"/>
      <c r="C111" s="660"/>
      <c r="D111" s="765"/>
      <c r="E111" s="758"/>
      <c r="F111" s="660"/>
      <c r="G111" s="756"/>
      <c r="H111" s="756"/>
      <c r="I111" s="756"/>
      <c r="J111" s="765"/>
    </row>
    <row r="112" spans="2:10" s="611" customFormat="1" ht="20.399999999999999">
      <c r="B112" s="808" t="s">
        <v>63</v>
      </c>
      <c r="C112" s="808"/>
      <c r="D112" s="808"/>
      <c r="E112" s="808"/>
      <c r="F112" s="808"/>
      <c r="G112" s="764"/>
      <c r="H112" s="764"/>
      <c r="I112" s="764"/>
      <c r="J112" s="801">
        <f>IF(I4=0,0,J96+J105+J110)</f>
        <v>0</v>
      </c>
    </row>
    <row r="113" spans="2:10" ht="20.399999999999999">
      <c r="B113" s="805" t="s">
        <v>64</v>
      </c>
      <c r="C113" s="805"/>
      <c r="D113" s="805"/>
      <c r="E113" s="805"/>
      <c r="F113" s="805"/>
      <c r="G113" s="803"/>
      <c r="H113" s="803"/>
      <c r="I113" s="803"/>
      <c r="J113" s="788">
        <f>J5-J112</f>
        <v>0</v>
      </c>
    </row>
  </sheetData>
  <sheetProtection algorithmName="SHA-512" hashValue="nOHmmRYc9ixEvJatZwbk47Smg2vH5siM2z77A5kaIsyAU9gF9eCsQB4hgouEst+QYG3b+OOOT2Qv+y+VELHqag==" saltValue="/sdp8+NsA3w7NH0rUUUhBw==" spinCount="100000" sheet="1" objects="1" scenarios="1"/>
  <mergeCells count="22">
    <mergeCell ref="B96:E96"/>
    <mergeCell ref="B98:F98"/>
    <mergeCell ref="B99:F99"/>
    <mergeCell ref="B100:F100"/>
    <mergeCell ref="G2:I2"/>
    <mergeCell ref="B4:E4"/>
    <mergeCell ref="B2:F2"/>
    <mergeCell ref="B76:C76"/>
    <mergeCell ref="B93:C93"/>
    <mergeCell ref="B3:C3"/>
    <mergeCell ref="B8:C8"/>
    <mergeCell ref="B31:C31"/>
    <mergeCell ref="B110:G110"/>
    <mergeCell ref="B112:F112"/>
    <mergeCell ref="B113:F113"/>
    <mergeCell ref="B101:F101"/>
    <mergeCell ref="B102:F102"/>
    <mergeCell ref="B104:F104"/>
    <mergeCell ref="B105:F105"/>
    <mergeCell ref="B107:F107"/>
    <mergeCell ref="B103:D103"/>
    <mergeCell ref="B108:G108"/>
  </mergeCells>
  <pageMargins left="0.7" right="0.7" top="0.75" bottom="0.75" header="0.3" footer="0.3"/>
  <pageSetup scale="58" fitToHeight="2" orientation="portrait" horizontalDpi="0" verticalDpi="0"/>
  <ignoredErrors>
    <ignoredError sqref="B96:F96 B93:D95 H109:H113 B104:F104 B4 B5:J5 F4:J4 F6:F17 F55:F62 F45:F52 B76:C76 C29:C30 B31:C31 B68:B73 K36 B38:B43 F38:F41 C35:C36 I43 B64 C63:C64 C74:C75 J112 G2 B9:D27 B32:C34 C38:C44 B45:C53 B55:C62 B77:C82 E44:H44 C91:D92 D74:D82 D29:D64 B99:F102 H100:H102 B83:D90 C28:D28 B65:D65 B66 C66:D73 H104:H107 F66:F73" unlockedFormula="1"/>
    <ignoredError sqref="G96:J96 H99:J99 E9:E17 G9:J17 E55:E62 G55:J62 E53:H53 E95:J95 E45:E52 F42:H43 G38:H41 E38:E43 G45:H52 I113:J113 I112 J94 E94:H94 E32:I36 I44:J54 I100:J102 E74:J93 E18:J31 J32:J43 I37:I42 E63:J63 G66:J66 F65:J65 G68:J73 E64:F64 I103:J107 I109:J109 I108:J108 I64:J64 E66:E73 I110:J111" evalError="1" unlockedFormula="1"/>
    <ignoredError sqref="K93:K95 G97:J97 G99 G98:J98 K9:K27 K31:K34 K68:K73 K55:K62 K38:K43 K45:K53 I94 K76:K90 K64:K66 G64:H64 E65" evalError="1"/>
  </ignoredError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5B12-FE69-F547-9E1E-95EA68223EAA}">
  <sheetPr codeName="Sheet19">
    <pageSetUpPr fitToPage="1"/>
  </sheetPr>
  <dimension ref="A1:AF113"/>
  <sheetViews>
    <sheetView zoomScale="110" zoomScaleNormal="110" workbookViewId="0">
      <selection activeCell="G4" sqref="G4"/>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32" width="11.44140625" style="611"/>
    <col min="33" max="16384" width="11.44140625" style="653"/>
  </cols>
  <sheetData>
    <row r="1" spans="2:14" ht="15.9" customHeight="1" thickBot="1">
      <c r="B1" s="741"/>
      <c r="C1" s="741"/>
      <c r="D1" s="742"/>
      <c r="E1" s="743"/>
      <c r="F1" s="744"/>
      <c r="G1" s="745"/>
      <c r="H1" s="745"/>
      <c r="I1" s="745"/>
      <c r="J1" s="745"/>
    </row>
    <row r="2" spans="2:14" ht="22.8">
      <c r="B2" s="746" t="s">
        <v>488</v>
      </c>
      <c r="C2" s="746"/>
      <c r="D2" s="746"/>
      <c r="E2" s="746"/>
      <c r="F2" s="746"/>
      <c r="G2" s="746" t="str">
        <f>'AcresYieldsPrices&amp;Water'!B8</f>
        <v>Hemp for Fiber</v>
      </c>
      <c r="H2" s="746"/>
      <c r="I2" s="746"/>
      <c r="J2" s="747" t="s">
        <v>487</v>
      </c>
    </row>
    <row r="3" spans="2:14" ht="22.8">
      <c r="B3" s="748" t="s">
        <v>22</v>
      </c>
      <c r="C3" s="748"/>
      <c r="D3" s="749"/>
      <c r="E3" s="750"/>
      <c r="F3" s="751" t="s">
        <v>1</v>
      </c>
      <c r="G3" s="752" t="s">
        <v>24</v>
      </c>
      <c r="H3" s="753"/>
      <c r="I3" s="752" t="s">
        <v>25</v>
      </c>
      <c r="J3" s="752" t="s">
        <v>0</v>
      </c>
    </row>
    <row r="4" spans="2:14" ht="21">
      <c r="B4" s="754" t="str">
        <f>BASEBUDGETS!B1002</f>
        <v>Hemp for Fiber</v>
      </c>
      <c r="C4" s="754"/>
      <c r="D4" s="754"/>
      <c r="E4" s="754"/>
      <c r="F4" s="755" t="str">
        <f>BASEBUDGETS!C1002</f>
        <v>pound</v>
      </c>
      <c r="G4" s="756">
        <f>BASEBUDGETS!D1002</f>
        <v>0.11</v>
      </c>
      <c r="I4" s="758">
        <f>IF(BASEBUDGETS!E1002=0,0,BASEBUDGETS!E1002/BASEBUDGETS!C998)</f>
        <v>0</v>
      </c>
      <c r="J4" s="761">
        <f>G4*I4</f>
        <v>0</v>
      </c>
    </row>
    <row r="5" spans="2:14" ht="20.399999999999999">
      <c r="B5" s="679" t="s">
        <v>27</v>
      </c>
      <c r="C5" s="679"/>
      <c r="D5" s="762"/>
      <c r="E5" s="763"/>
      <c r="F5" s="679"/>
      <c r="G5" s="764"/>
      <c r="H5" s="764"/>
      <c r="I5" s="764"/>
      <c r="J5" s="764">
        <f>SUM(J4:J4)</f>
        <v>0</v>
      </c>
    </row>
    <row r="6" spans="2:14" ht="21">
      <c r="B6" s="660"/>
      <c r="C6" s="660"/>
      <c r="D6" s="765"/>
      <c r="E6" s="758"/>
      <c r="F6" s="660"/>
      <c r="G6" s="756"/>
      <c r="H6" s="756"/>
      <c r="I6" s="756"/>
      <c r="J6" s="756"/>
    </row>
    <row r="7" spans="2:14" ht="21">
      <c r="B7" s="766" t="s">
        <v>76</v>
      </c>
      <c r="C7" s="766"/>
      <c r="D7" s="767" t="s">
        <v>45</v>
      </c>
      <c r="E7" s="810" t="s">
        <v>25</v>
      </c>
      <c r="F7" s="811" t="s">
        <v>1</v>
      </c>
      <c r="G7" s="812" t="s">
        <v>149</v>
      </c>
      <c r="H7" s="812" t="s">
        <v>8</v>
      </c>
      <c r="I7" s="812" t="s">
        <v>150</v>
      </c>
      <c r="J7" s="812" t="s">
        <v>7</v>
      </c>
    </row>
    <row r="8" spans="2:14" ht="21">
      <c r="B8" s="754" t="s">
        <v>210</v>
      </c>
      <c r="C8" s="754"/>
      <c r="D8" s="765"/>
      <c r="E8" s="758"/>
      <c r="F8" s="769"/>
      <c r="G8" s="770"/>
      <c r="H8" s="770"/>
      <c r="I8" s="770"/>
    </row>
    <row r="9" spans="2:14" ht="21">
      <c r="C9" s="660" t="str">
        <f>BASEBUDGETS!B1037</f>
        <v>V Ripper, Custom</v>
      </c>
      <c r="D9" s="765">
        <f>CustomOperations!J5</f>
        <v>44.25</v>
      </c>
      <c r="E9" s="771" t="e">
        <f>BASEBUDGETS!E1037/BASEBUDGETS!C998</f>
        <v>#DIV/0!</v>
      </c>
      <c r="F9" s="770" t="str">
        <f>BASEBUDGETS!C1037</f>
        <v>acre</v>
      </c>
      <c r="G9" s="756">
        <v>0</v>
      </c>
      <c r="H9" s="756">
        <v>0</v>
      </c>
      <c r="I9" s="756" t="e">
        <f>IF(E9=0,0,BASEBUDGETS!D1037*E9)</f>
        <v>#DIV/0!</v>
      </c>
      <c r="J9" s="765" t="e">
        <f>G9+H9+I9</f>
        <v>#DIV/0!</v>
      </c>
      <c r="L9" s="772">
        <f>N9*'AcresYieldsPrices&amp;Water'!D$8</f>
        <v>0</v>
      </c>
      <c r="M9" s="611" t="s">
        <v>394</v>
      </c>
      <c r="N9" s="653">
        <f>IFERROR(I37,0)</f>
        <v>0</v>
      </c>
    </row>
    <row r="10" spans="2:14" ht="21">
      <c r="C10" s="660" t="str">
        <f>BASEBUDGETS!B1038</f>
        <v>Disk, Custom</v>
      </c>
      <c r="D10" s="765">
        <f>CustomOperations!J7</f>
        <v>0</v>
      </c>
      <c r="E10" s="771" t="e">
        <f>BASEBUDGETS!E1038/BASEBUDGETS!C998</f>
        <v>#DIV/0!</v>
      </c>
      <c r="F10" s="770" t="str">
        <f>BASEBUDGETS!C1038</f>
        <v>acre</v>
      </c>
      <c r="G10" s="756">
        <v>0</v>
      </c>
      <c r="H10" s="756">
        <v>0</v>
      </c>
      <c r="I10" s="756" t="e">
        <f>IF(E10=0,0,BASEBUDGETS!D1038*E10)</f>
        <v>#DIV/0!</v>
      </c>
      <c r="J10" s="765" t="e">
        <f>G10+H10+I10</f>
        <v>#DIV/0!</v>
      </c>
      <c r="L10" s="772">
        <f>N10*'AcresYieldsPrices&amp;Water'!D$8</f>
        <v>0</v>
      </c>
      <c r="M10" s="611" t="s">
        <v>395</v>
      </c>
      <c r="N10" s="653">
        <f>IFERROR(I44,0)</f>
        <v>0</v>
      </c>
    </row>
    <row r="11" spans="2:14" ht="21">
      <c r="C11" s="660" t="str">
        <f>BASEBUDGETS!B1039</f>
        <v>Drag, Custom</v>
      </c>
      <c r="D11" s="765">
        <f>CustomOperations!J9</f>
        <v>0</v>
      </c>
      <c r="E11" s="771" t="e">
        <f>BASEBUDGETS!E1039/BASEBUDGETS!C998</f>
        <v>#DIV/0!</v>
      </c>
      <c r="F11" s="770" t="str">
        <f>BASEBUDGETS!C1039</f>
        <v>acre</v>
      </c>
      <c r="G11" s="756">
        <v>0</v>
      </c>
      <c r="H11" s="756">
        <v>0</v>
      </c>
      <c r="I11" s="756" t="e">
        <f>IF(E11=0,0,BASEBUDGETS!D1039*E11)</f>
        <v>#DIV/0!</v>
      </c>
      <c r="J11" s="765" t="e">
        <f t="shared" ref="J11:J30" si="0">G11+H11+I11</f>
        <v>#DIV/0!</v>
      </c>
      <c r="L11" s="772">
        <f>N11*'AcresYieldsPrices&amp;Water'!D$8</f>
        <v>0</v>
      </c>
      <c r="M11" s="611" t="s">
        <v>396</v>
      </c>
      <c r="N11" s="653">
        <f>IFERROR(I54,0)</f>
        <v>0</v>
      </c>
    </row>
    <row r="12" spans="2:14" ht="21">
      <c r="C12" s="660" t="str">
        <f>BASEBUDGETS!B1040</f>
        <v>Chisel, Custom</v>
      </c>
      <c r="D12" s="765">
        <f>CustomOperations!J11</f>
        <v>0</v>
      </c>
      <c r="E12" s="771" t="e">
        <f>BASEBUDGETS!E1040/BASEBUDGETS!C998</f>
        <v>#DIV/0!</v>
      </c>
      <c r="F12" s="770" t="str">
        <f>BASEBUDGETS!C1040</f>
        <v>acre</v>
      </c>
      <c r="G12" s="756">
        <v>0</v>
      </c>
      <c r="H12" s="756">
        <v>0</v>
      </c>
      <c r="I12" s="756" t="e">
        <f>IF(E12=0,0,BASEBUDGETS!D1040*E12)</f>
        <v>#DIV/0!</v>
      </c>
      <c r="J12" s="765" t="e">
        <f t="shared" si="0"/>
        <v>#DIV/0!</v>
      </c>
      <c r="L12" s="772">
        <f>N12*'AcresYieldsPrices&amp;Water'!D$8</f>
        <v>0</v>
      </c>
      <c r="M12" s="611" t="s">
        <v>392</v>
      </c>
      <c r="N12" s="653">
        <f>IFERROR(E29+E30+E74+E75+E91+E92+E72+E69+E66,0)</f>
        <v>0</v>
      </c>
    </row>
    <row r="13" spans="2:14" ht="21">
      <c r="C13" s="660" t="str">
        <f>BASEBUDGETS!B1041</f>
        <v>Moldboard Plow, Custom</v>
      </c>
      <c r="D13" s="765">
        <f>CustomOperations!J13</f>
        <v>0</v>
      </c>
      <c r="E13" s="771" t="e">
        <f>BASEBUDGETS!E1041/BASEBUDGETS!C998</f>
        <v>#DIV/0!</v>
      </c>
      <c r="F13" s="770" t="str">
        <f>BASEBUDGETS!C1041</f>
        <v>acre</v>
      </c>
      <c r="G13" s="756">
        <v>0</v>
      </c>
      <c r="H13" s="756">
        <v>0</v>
      </c>
      <c r="I13" s="756" t="e">
        <f>IF(E13=0,0,BASEBUDGETS!D1041*E13)</f>
        <v>#DIV/0!</v>
      </c>
      <c r="J13" s="765" t="e">
        <f t="shared" si="0"/>
        <v>#DIV/0!</v>
      </c>
      <c r="L13" s="772">
        <f>N13*'AcresYieldsPrices&amp;Water'!D$8</f>
        <v>0</v>
      </c>
      <c r="M13" s="611" t="s">
        <v>393</v>
      </c>
      <c r="N13" s="653">
        <f>IFERROR(((SUM(G18:G28)+G36+G34+G35+G43+G42+G53+G63+SUM(G80:G90))/[2]GeneralInputPrices!$D$20),0)</f>
        <v>0</v>
      </c>
    </row>
    <row r="14" spans="2:14" ht="21">
      <c r="C14" s="660" t="str">
        <f>BASEBUDGETS!B1042</f>
        <v>Landplane, Custom</v>
      </c>
      <c r="D14" s="765">
        <f>CustomOperations!J15</f>
        <v>17.940000000000001</v>
      </c>
      <c r="E14" s="771" t="e">
        <f>BASEBUDGETS!E1042/BASEBUDGETS!C998</f>
        <v>#DIV/0!</v>
      </c>
      <c r="F14" s="770" t="str">
        <f>BASEBUDGETS!C1042</f>
        <v>acre</v>
      </c>
      <c r="G14" s="756">
        <v>0</v>
      </c>
      <c r="H14" s="756">
        <v>0</v>
      </c>
      <c r="I14" s="756" t="e">
        <f>IF(E14=0,0,BASEBUDGETS!D1042*E14)</f>
        <v>#DIV/0!</v>
      </c>
      <c r="J14" s="765" t="e">
        <f t="shared" si="0"/>
        <v>#DIV/0!</v>
      </c>
      <c r="L14" s="772">
        <f>N14*'AcresYieldsPrices&amp;Water'!D$8</f>
        <v>0</v>
      </c>
      <c r="M14" s="611" t="s">
        <v>186</v>
      </c>
      <c r="N14" s="653">
        <f>IFERROR(H96,0)</f>
        <v>0</v>
      </c>
    </row>
    <row r="15" spans="2:14" ht="21">
      <c r="C15" s="660" t="str">
        <f>BASEBUDGETS!B1043</f>
        <v>Float, Custom</v>
      </c>
      <c r="D15" s="765">
        <f>CustomOperations!J17</f>
        <v>17.940000000000001</v>
      </c>
      <c r="E15" s="771" t="e">
        <f>BASEBUDGETS!E1043/BASEBUDGETS!C998</f>
        <v>#DIV/0!</v>
      </c>
      <c r="F15" s="770" t="str">
        <f>BASEBUDGETS!C1043</f>
        <v>acre</v>
      </c>
      <c r="G15" s="756">
        <v>0</v>
      </c>
      <c r="H15" s="756">
        <v>0</v>
      </c>
      <c r="I15" s="756" t="e">
        <f>IF(E15=0,0,BASEBUDGETS!D1043*E15)</f>
        <v>#DIV/0!</v>
      </c>
      <c r="J15" s="765" t="e">
        <f t="shared" si="0"/>
        <v>#DIV/0!</v>
      </c>
      <c r="L15" s="772">
        <f>N15*'AcresYieldsPrices&amp;Water'!D$8</f>
        <v>0</v>
      </c>
      <c r="M15" s="611" t="s">
        <v>401</v>
      </c>
      <c r="N15" s="653">
        <f>IFERROR(J109,0)</f>
        <v>0</v>
      </c>
    </row>
    <row r="16" spans="2:14" ht="21">
      <c r="C16" s="660" t="str">
        <f>BASEBUDGETS!B1044</f>
        <v>Lister, Custom</v>
      </c>
      <c r="D16" s="765">
        <f>CustomOperations!J19</f>
        <v>20.38</v>
      </c>
      <c r="E16" s="771" t="e">
        <f>BASEBUDGETS!E1044/BASEBUDGETS!C998</f>
        <v>#DIV/0!</v>
      </c>
      <c r="F16" s="770" t="str">
        <f>BASEBUDGETS!C1044</f>
        <v>acre</v>
      </c>
      <c r="G16" s="756">
        <v>0</v>
      </c>
      <c r="H16" s="756">
        <v>0</v>
      </c>
      <c r="I16" s="756" t="e">
        <f>IF(E16=0,0,BASEBUDGETS!D1044*E16)</f>
        <v>#DIV/0!</v>
      </c>
      <c r="J16" s="765" t="e">
        <f t="shared" si="0"/>
        <v>#DIV/0!</v>
      </c>
      <c r="L16" s="772">
        <f>N16*'AcresYieldsPrices&amp;Water'!D$8</f>
        <v>0</v>
      </c>
      <c r="M16" s="611" t="s">
        <v>405</v>
      </c>
      <c r="N16" s="653">
        <f>IFERROR((J79+J78+J77+J62+J52+J41+J40+J33+J32+SUM(J9:J17)),0)</f>
        <v>0</v>
      </c>
    </row>
    <row r="17" spans="2:10" ht="21">
      <c r="C17" s="660" t="str">
        <f>BASEBUDGETS!B1045</f>
        <v>Bed Shape, Custom</v>
      </c>
      <c r="D17" s="765">
        <f>CustomOperations!J21</f>
        <v>13.69</v>
      </c>
      <c r="E17" s="771" t="e">
        <f>BASEBUDGETS!E1045/BASEBUDGETS!C998</f>
        <v>#DIV/0!</v>
      </c>
      <c r="F17" s="770" t="str">
        <f>BASEBUDGETS!C1045</f>
        <v>acre</v>
      </c>
      <c r="G17" s="756">
        <v>0</v>
      </c>
      <c r="H17" s="756">
        <v>0</v>
      </c>
      <c r="I17" s="756" t="e">
        <f>IF(E17=0,0,BASEBUDGETS!D1045*E17)</f>
        <v>#DIV/0!</v>
      </c>
      <c r="J17" s="765" t="e">
        <f t="shared" si="0"/>
        <v>#DIV/0!</v>
      </c>
    </row>
    <row r="18" spans="2:10" ht="21">
      <c r="C18" s="660" t="str">
        <f>TillageOperations!$B$7</f>
        <v>V-Ripper</v>
      </c>
      <c r="D18" s="765"/>
      <c r="E18" s="771" t="e">
        <f>BASEBUDGETS!E1049/BASEBUDGETS!C998</f>
        <v>#DIV/0!</v>
      </c>
      <c r="F18" s="770" t="str">
        <f>BASEBUDGETS!C1049</f>
        <v>acre</v>
      </c>
      <c r="G18" s="756" t="e">
        <f>IF(E18=0,0,BASEBUDGETS!D1050*E18)</f>
        <v>#DIV/0!</v>
      </c>
      <c r="H18" s="756" t="e">
        <f>IF(E18=0,0,BASEBUDGETS!D1049*E18)</f>
        <v>#DIV/0!</v>
      </c>
      <c r="I18" s="756">
        <v>0</v>
      </c>
      <c r="J18" s="765" t="e">
        <f t="shared" si="0"/>
        <v>#DIV/0!</v>
      </c>
    </row>
    <row r="19" spans="2:10" ht="21">
      <c r="C19" s="660" t="str">
        <f>TillageOperations!$B$8</f>
        <v>Offset Disk</v>
      </c>
      <c r="D19" s="765"/>
      <c r="E19" s="771" t="e">
        <f>BASEBUDGETS!E1051/BASEBUDGETS!C998</f>
        <v>#DIV/0!</v>
      </c>
      <c r="F19" s="770" t="str">
        <f>BASEBUDGETS!C1051</f>
        <v>acre</v>
      </c>
      <c r="G19" s="756" t="e">
        <f>IF(E19=0,0,BASEBUDGETS!D1052*E19)</f>
        <v>#DIV/0!</v>
      </c>
      <c r="H19" s="756" t="e">
        <f>IF(E19=0,0,BASEBUDGETS!D1051*E19)</f>
        <v>#DIV/0!</v>
      </c>
      <c r="I19" s="756">
        <v>0</v>
      </c>
      <c r="J19" s="765" t="e">
        <f t="shared" si="0"/>
        <v>#DIV/0!</v>
      </c>
    </row>
    <row r="20" spans="2:10" ht="21">
      <c r="C20" s="660" t="str">
        <f>TillageOperations!$B$9</f>
        <v>Drag</v>
      </c>
      <c r="D20" s="765"/>
      <c r="E20" s="771" t="e">
        <f>BASEBUDGETS!E1053/BASEBUDGETS!C998</f>
        <v>#DIV/0!</v>
      </c>
      <c r="F20" s="770" t="str">
        <f>BASEBUDGETS!C1053</f>
        <v>acre</v>
      </c>
      <c r="G20" s="756" t="e">
        <f>IF(E20=0,0,BASEBUDGETS!D1054*E20)</f>
        <v>#DIV/0!</v>
      </c>
      <c r="H20" s="756" t="e">
        <f>IF(E20=0,0,BASEBUDGETS!D1053*E20)</f>
        <v>#DIV/0!</v>
      </c>
      <c r="I20" s="756">
        <v>0</v>
      </c>
      <c r="J20" s="765" t="e">
        <f t="shared" si="0"/>
        <v>#DIV/0!</v>
      </c>
    </row>
    <row r="21" spans="2:10" ht="21">
      <c r="C21" s="660" t="str">
        <f>TillageOperations!$B$10</f>
        <v>Chisel</v>
      </c>
      <c r="D21" s="765"/>
      <c r="E21" s="771" t="e">
        <f>BASEBUDGETS!E1055/BASEBUDGETS!C998</f>
        <v>#DIV/0!</v>
      </c>
      <c r="F21" s="770" t="str">
        <f>BASEBUDGETS!C1055</f>
        <v>acre</v>
      </c>
      <c r="G21" s="756" t="e">
        <f>IF(E21=0,0,BASEBUDGETS!D1056*E21)</f>
        <v>#DIV/0!</v>
      </c>
      <c r="H21" s="756" t="e">
        <f>IF(E21=0,0,BASEBUDGETS!D1055*E21)</f>
        <v>#DIV/0!</v>
      </c>
      <c r="I21" s="756">
        <v>0</v>
      </c>
      <c r="J21" s="765" t="e">
        <f t="shared" si="0"/>
        <v>#DIV/0!</v>
      </c>
    </row>
    <row r="22" spans="2:10" ht="21">
      <c r="C22" s="660" t="str">
        <f>TillageOperations!$B$11</f>
        <v>Moldboard Plow</v>
      </c>
      <c r="D22" s="765"/>
      <c r="E22" s="771" t="e">
        <f>BASEBUDGETS!E1057/BASEBUDGETS!C998</f>
        <v>#DIV/0!</v>
      </c>
      <c r="F22" s="770" t="str">
        <f>BASEBUDGETS!C1057</f>
        <v>acre</v>
      </c>
      <c r="G22" s="756" t="e">
        <f>IF(E22=0,0,BASEBUDGETS!D1058*E22)</f>
        <v>#DIV/0!</v>
      </c>
      <c r="H22" s="756" t="e">
        <f>IF(E22=0,0,BASEBUDGETS!D1057*E22)</f>
        <v>#DIV/0!</v>
      </c>
      <c r="I22" s="756">
        <v>0</v>
      </c>
      <c r="J22" s="765" t="e">
        <f t="shared" si="0"/>
        <v>#DIV/0!</v>
      </c>
    </row>
    <row r="23" spans="2:10" ht="21">
      <c r="C23" s="660" t="str">
        <f>TillageOperations!$B$12</f>
        <v>Cultivator</v>
      </c>
      <c r="D23" s="765"/>
      <c r="E23" s="771" t="e">
        <f>BASEBUDGETS!E1059/BASEBUDGETS!C998</f>
        <v>#DIV/0!</v>
      </c>
      <c r="F23" s="770" t="str">
        <f>BASEBUDGETS!C1059</f>
        <v>acre</v>
      </c>
      <c r="G23" s="756" t="e">
        <f>IF(E23=0,0,BASEBUDGETS!D1060*E23)</f>
        <v>#DIV/0!</v>
      </c>
      <c r="H23" s="756" t="e">
        <f>IF(E23=0,0,BASEBUDGETS!D1059*E23)</f>
        <v>#DIV/0!</v>
      </c>
      <c r="I23" s="756">
        <v>0</v>
      </c>
      <c r="J23" s="765" t="e">
        <f t="shared" si="0"/>
        <v>#DIV/0!</v>
      </c>
    </row>
    <row r="24" spans="2:10" ht="21">
      <c r="C24" s="660" t="str">
        <f>TillageOperations!$B$13</f>
        <v>Landplane</v>
      </c>
      <c r="D24" s="765"/>
      <c r="E24" s="771" t="e">
        <f>BASEBUDGETS!E1061/BASEBUDGETS!C998</f>
        <v>#DIV/0!</v>
      </c>
      <c r="F24" s="770" t="str">
        <f>BASEBUDGETS!C1061</f>
        <v>acre</v>
      </c>
      <c r="G24" s="756" t="e">
        <f>IF(E24=0,0,BASEBUDGETS!D1062*E24)</f>
        <v>#DIV/0!</v>
      </c>
      <c r="H24" s="756" t="e">
        <f>IF(E24=0,0,BASEBUDGETS!D1061*E24)</f>
        <v>#DIV/0!</v>
      </c>
      <c r="I24" s="756">
        <v>0</v>
      </c>
      <c r="J24" s="765" t="e">
        <f t="shared" si="0"/>
        <v>#DIV/0!</v>
      </c>
    </row>
    <row r="25" spans="2:10" ht="21">
      <c r="C25" s="660" t="str">
        <f>TillageOperations!$B$14</f>
        <v>Float</v>
      </c>
      <c r="D25" s="765"/>
      <c r="E25" s="771" t="e">
        <f>BASEBUDGETS!E1063/BASEBUDGETS!C998</f>
        <v>#DIV/0!</v>
      </c>
      <c r="F25" s="770" t="str">
        <f>BASEBUDGETS!C1063</f>
        <v>acre</v>
      </c>
      <c r="G25" s="756" t="e">
        <f>IF(E25=0,0,BASEBUDGETS!D1064*E25)</f>
        <v>#DIV/0!</v>
      </c>
      <c r="H25" s="756" t="e">
        <f>IF(E25=0,0,BASEBUDGETS!D1063*E25)</f>
        <v>#DIV/0!</v>
      </c>
      <c r="I25" s="756">
        <v>0</v>
      </c>
      <c r="J25" s="765" t="e">
        <f t="shared" si="0"/>
        <v>#DIV/0!</v>
      </c>
    </row>
    <row r="26" spans="2:10" ht="21">
      <c r="C26" s="660" t="str">
        <f>TillageOperations!$B$15</f>
        <v>Lister</v>
      </c>
      <c r="D26" s="765"/>
      <c r="E26" s="771" t="e">
        <f>BASEBUDGETS!E1065/BASEBUDGETS!C998</f>
        <v>#DIV/0!</v>
      </c>
      <c r="F26" s="770" t="str">
        <f>BASEBUDGETS!C1065</f>
        <v>acre</v>
      </c>
      <c r="G26" s="756" t="e">
        <f>IF(E26=0,0,BASEBUDGETS!D1066*E26)</f>
        <v>#DIV/0!</v>
      </c>
      <c r="H26" s="756" t="e">
        <f>IF(E26=0,0,BASEBUDGETS!D1065*E26)</f>
        <v>#DIV/0!</v>
      </c>
      <c r="I26" s="756">
        <v>0</v>
      </c>
      <c r="J26" s="765" t="e">
        <f t="shared" si="0"/>
        <v>#DIV/0!</v>
      </c>
    </row>
    <row r="27" spans="2:10" ht="21">
      <c r="C27" s="660" t="str">
        <f>TillageOperations!$B$16</f>
        <v>Bed Shaper</v>
      </c>
      <c r="D27" s="765"/>
      <c r="E27" s="771" t="e">
        <f>BASEBUDGETS!E1067/BASEBUDGETS!C998</f>
        <v>#DIV/0!</v>
      </c>
      <c r="F27" s="770" t="str">
        <f>BASEBUDGETS!C1067</f>
        <v>acre</v>
      </c>
      <c r="G27" s="756" t="e">
        <f>IF(E27=0,0,BASEBUDGETS!D1068*E27)</f>
        <v>#DIV/0!</v>
      </c>
      <c r="H27" s="756" t="e">
        <f>IF(E27=0,0,BASEBUDGETS!D1067*E27)</f>
        <v>#DIV/0!</v>
      </c>
      <c r="I27" s="756">
        <v>0</v>
      </c>
      <c r="J27" s="765" t="e">
        <f t="shared" si="0"/>
        <v>#DIV/0!</v>
      </c>
    </row>
    <row r="28" spans="2:10" ht="21">
      <c r="C28" s="660" t="str">
        <f>TillageOperations!$B$17</f>
        <v>Cotton Shredder/Root Puller</v>
      </c>
      <c r="D28" s="765"/>
      <c r="E28" s="771" t="e">
        <f>BASEBUDGETS!E1081/BASEBUDGETS!C998</f>
        <v>#DIV/0!</v>
      </c>
      <c r="F28" s="770" t="str">
        <f>BASEBUDGETS!C1081</f>
        <v>acre</v>
      </c>
      <c r="G28" s="756" t="e">
        <f>IF(E28=0,0,BASEBUDGETS!D1082*E28)</f>
        <v>#DIV/0!</v>
      </c>
      <c r="H28" s="756" t="e">
        <f>IF(E28=0,0,BASEBUDGETS!D1081*E28)</f>
        <v>#DIV/0!</v>
      </c>
      <c r="I28" s="756">
        <v>0</v>
      </c>
      <c r="J28" s="765" t="e">
        <f>G28+H28+I28</f>
        <v>#DIV/0!</v>
      </c>
    </row>
    <row r="29" spans="2:10" ht="21">
      <c r="C29" s="660" t="str">
        <f>BASEBUDGETS!B1106</f>
        <v>Additional Land Prep. Labor</v>
      </c>
      <c r="D29" s="765">
        <f>GeneralInputPrices!$D$30</f>
        <v>14.55</v>
      </c>
      <c r="E29" s="758" t="e">
        <f>BASEBUDGETS!E1106/BASEBUDGETS!C998</f>
        <v>#DIV/0!</v>
      </c>
      <c r="F29" s="773" t="str">
        <f>BASEBUDGETS!C1106</f>
        <v>hour</v>
      </c>
      <c r="G29" s="756" t="e">
        <f>D29*E29</f>
        <v>#DIV/0!</v>
      </c>
      <c r="H29" s="756">
        <v>0</v>
      </c>
      <c r="I29" s="756">
        <v>0</v>
      </c>
      <c r="J29" s="765" t="e">
        <f t="shared" si="0"/>
        <v>#DIV/0!</v>
      </c>
    </row>
    <row r="30" spans="2:10" ht="21">
      <c r="C30" s="660" t="str">
        <f>BASEBUDGETS!B1107</f>
        <v>Additional Land Prep. Labor</v>
      </c>
      <c r="D30" s="765">
        <f>GeneralInputPrices!$D$30</f>
        <v>14.55</v>
      </c>
      <c r="E30" s="758" t="e">
        <f>BASEBUDGETS!E1107/BASEBUDGETS!C998</f>
        <v>#DIV/0!</v>
      </c>
      <c r="F30" s="773" t="str">
        <f>BASEBUDGETS!C1107</f>
        <v>hour</v>
      </c>
      <c r="G30" s="756" t="e">
        <f>D30*E30</f>
        <v>#DIV/0!</v>
      </c>
      <c r="H30" s="756">
        <v>0</v>
      </c>
      <c r="I30" s="756">
        <v>0</v>
      </c>
      <c r="J30" s="765" t="e">
        <f t="shared" si="0"/>
        <v>#DIV/0!</v>
      </c>
    </row>
    <row r="31" spans="2:10" ht="21">
      <c r="B31" s="760" t="s">
        <v>175</v>
      </c>
      <c r="C31" s="760"/>
      <c r="D31" s="765"/>
    </row>
    <row r="32" spans="2:10" ht="21">
      <c r="C32" s="660" t="str">
        <f>BASEBUDGETS!B1034</f>
        <v>Drill, Custom</v>
      </c>
      <c r="D32" s="765">
        <f>CustomOperations!J24</f>
        <v>0</v>
      </c>
      <c r="E32" s="771" t="e">
        <f>BASEBUDGETS!E1034/BASEBUDGETS!C998</f>
        <v>#DIV/0!</v>
      </c>
      <c r="F32" s="770" t="str">
        <f>BASEBUDGETS!C1034</f>
        <v>acre</v>
      </c>
      <c r="G32" s="756">
        <v>0</v>
      </c>
      <c r="H32" s="756">
        <v>0</v>
      </c>
      <c r="I32" s="756" t="e">
        <f>IF(E32=0,0,(BASEBUDGETS!D1034*E32))</f>
        <v>#DIV/0!</v>
      </c>
      <c r="J32" s="765" t="e">
        <f t="shared" ref="J32:J34" si="1">G32+H32+I32</f>
        <v>#DIV/0!</v>
      </c>
    </row>
    <row r="33" spans="3:10" ht="21">
      <c r="C33" s="660" t="str">
        <f>BASEBUDGETS!B1035</f>
        <v>Row Planter, Custom</v>
      </c>
      <c r="D33" s="765">
        <f>CustomOperations!J26</f>
        <v>0</v>
      </c>
      <c r="E33" s="771" t="e">
        <f>BASEBUDGETS!E1035/BASEBUDGETS!C998</f>
        <v>#DIV/0!</v>
      </c>
      <c r="F33" s="770" t="str">
        <f>BASEBUDGETS!C1035</f>
        <v>acre</v>
      </c>
      <c r="G33" s="756">
        <v>0</v>
      </c>
      <c r="H33" s="756">
        <v>0</v>
      </c>
      <c r="I33" s="756" t="e">
        <f>IF(E33=0,0,(BASEBUDGETS!D1035*E33))</f>
        <v>#DIV/0!</v>
      </c>
      <c r="J33" s="765" t="e">
        <f t="shared" si="1"/>
        <v>#DIV/0!</v>
      </c>
    </row>
    <row r="34" spans="3:10" ht="21">
      <c r="C34" s="660" t="str">
        <f>TillageOperations!$B$21</f>
        <v>Drill</v>
      </c>
      <c r="D34" s="765"/>
      <c r="E34" s="771" t="e">
        <f>BASEBUDGETS!E1073/BASEBUDGETS!C998</f>
        <v>#DIV/0!</v>
      </c>
      <c r="F34" s="770" t="str">
        <f>BASEBUDGETS!C1073</f>
        <v>acre</v>
      </c>
      <c r="G34" s="756" t="e">
        <f>IF(E34=0,0,BASEBUDGETS!D1074*E34)</f>
        <v>#DIV/0!</v>
      </c>
      <c r="H34" s="756" t="e">
        <f>IF(E34=0,0,BASEBUDGETS!D1073*E34)</f>
        <v>#DIV/0!</v>
      </c>
      <c r="I34" s="756">
        <v>0</v>
      </c>
      <c r="J34" s="765" t="e">
        <f t="shared" si="1"/>
        <v>#DIV/0!</v>
      </c>
    </row>
    <row r="35" spans="3:10" ht="21">
      <c r="C35" s="660" t="str">
        <f>TillageOperations!$B$19</f>
        <v>Row Planter</v>
      </c>
      <c r="D35" s="765"/>
      <c r="E35" s="771" t="e">
        <f>BASEBUDGETS!E1069/BASEBUDGETS!C998</f>
        <v>#DIV/0!</v>
      </c>
      <c r="F35" s="770" t="str">
        <f>BASEBUDGETS!C1069</f>
        <v>acre</v>
      </c>
      <c r="G35" s="756" t="e">
        <f>IF(E35=0,0,BASEBUDGETS!D1070*E35)</f>
        <v>#DIV/0!</v>
      </c>
      <c r="H35" s="756" t="e">
        <f>IF(E35=0,0,BASEBUDGETS!D1069*E35)</f>
        <v>#DIV/0!</v>
      </c>
      <c r="I35" s="756">
        <v>0</v>
      </c>
      <c r="J35" s="765" t="e">
        <f>G35+H35+I35</f>
        <v>#DIV/0!</v>
      </c>
    </row>
    <row r="36" spans="3:10" ht="21">
      <c r="C36" s="660" t="str">
        <f>TillageOperations!$B$22</f>
        <v>Transplanter</v>
      </c>
      <c r="D36" s="765"/>
      <c r="E36" s="771" t="e">
        <f>BASEBUDGETS!E1104/BASEBUDGETS!C998</f>
        <v>#DIV/0!</v>
      </c>
      <c r="F36" s="770" t="str">
        <f>BASEBUDGETS!C1104</f>
        <v>acre</v>
      </c>
      <c r="G36" s="756" t="e">
        <f>IF(E36=0,0,BASEBUDGETS!D1105*E36)</f>
        <v>#DIV/0!</v>
      </c>
      <c r="H36" s="756" t="e">
        <f>IF(E36=0,0,BASEBUDGETS!D1104*E36)</f>
        <v>#DIV/0!</v>
      </c>
      <c r="I36" s="756">
        <v>0</v>
      </c>
      <c r="J36" s="765" t="e">
        <f>G36+H36+I36</f>
        <v>#DIV/0!</v>
      </c>
    </row>
    <row r="37" spans="3:10" ht="21">
      <c r="C37" s="660" t="s">
        <v>439</v>
      </c>
      <c r="D37" s="765"/>
      <c r="E37" s="771"/>
      <c r="F37" s="770"/>
      <c r="G37" s="756">
        <v>0</v>
      </c>
      <c r="H37" s="756">
        <v>0</v>
      </c>
      <c r="I37" s="756" t="e">
        <f>(D38*E38)+(D39*E39)</f>
        <v>#DIV/0!</v>
      </c>
      <c r="J37" s="765" t="e">
        <f>G37+H37+I37</f>
        <v>#DIV/0!</v>
      </c>
    </row>
    <row r="38" spans="3:10" ht="21">
      <c r="C38" s="660" t="str">
        <f>BASEBUDGETS!B1006</f>
        <v xml:space="preserve">   - Seed</v>
      </c>
      <c r="D38" s="765">
        <f>BASEBUDGETS!D1006</f>
        <v>1.67</v>
      </c>
      <c r="E38" s="775" t="e">
        <f>BASEBUDGETS!E1006/BASEBUDGETS!C998</f>
        <v>#DIV/0!</v>
      </c>
      <c r="F38" s="769" t="str">
        <f>BASEBUDGETS!C1006</f>
        <v>pounds</v>
      </c>
    </row>
    <row r="39" spans="3:10" ht="21">
      <c r="C39" s="660" t="str">
        <f>BASEBUDGETS!B1007</f>
        <v xml:space="preserve">   - Inoculant</v>
      </c>
      <c r="D39" s="765">
        <f>BASEBUDGETS!D1007</f>
        <v>3</v>
      </c>
      <c r="E39" s="775" t="e">
        <f>BASEBUDGETS!E1007/BASEBUDGETS!C998</f>
        <v>#DIV/0!</v>
      </c>
      <c r="F39" s="769" t="str">
        <f>BASEBUDGETS!C1007</f>
        <v>pounds</v>
      </c>
      <c r="G39" s="765"/>
      <c r="H39" s="765"/>
      <c r="I39" s="765"/>
      <c r="J39" s="765"/>
    </row>
    <row r="40" spans="3:10" ht="21">
      <c r="C40" s="660" t="str">
        <f>BASEBUDGETS!B1046</f>
        <v>Fertilizer Spreader, Custom</v>
      </c>
      <c r="D40" s="765">
        <f>CustomOperations!J32</f>
        <v>10.08</v>
      </c>
      <c r="E40" s="771" t="e">
        <f>BASEBUDGETS!E1046/BASEBUDGETS!C998</f>
        <v>#DIV/0!</v>
      </c>
      <c r="F40" s="770" t="str">
        <f>BASEBUDGETS!C1046</f>
        <v>acre</v>
      </c>
      <c r="G40" s="756">
        <v>0</v>
      </c>
      <c r="H40" s="756">
        <v>0</v>
      </c>
      <c r="I40" s="756" t="e">
        <f>IF(E40=0,0,BASEBUDGETS!D1046*E40)</f>
        <v>#DIV/0!</v>
      </c>
      <c r="J40" s="765" t="e">
        <f>G40+H40+I40</f>
        <v>#DIV/0!</v>
      </c>
    </row>
    <row r="41" spans="3:10" ht="21">
      <c r="C41" s="660" t="str">
        <f>BASEBUDGETS!B1047</f>
        <v>Laser Landplaning, Custom</v>
      </c>
      <c r="D41" s="765">
        <f>CustomOperations!J34</f>
        <v>0</v>
      </c>
      <c r="E41" s="771" t="e">
        <f>BASEBUDGETS!E1047/BASEBUDGETS!C998</f>
        <v>#DIV/0!</v>
      </c>
      <c r="F41" s="770" t="str">
        <f>BASEBUDGETS!C1047</f>
        <v>acre</v>
      </c>
      <c r="G41" s="756">
        <v>0</v>
      </c>
      <c r="H41" s="756">
        <v>0</v>
      </c>
      <c r="I41" s="756" t="e">
        <f>IF(E41=0,0,BASEBUDGETS!D1047*E41)</f>
        <v>#DIV/0!</v>
      </c>
      <c r="J41" s="765" t="e">
        <f>G41+H41+I41</f>
        <v>#DIV/0!</v>
      </c>
    </row>
    <row r="42" spans="3:10" ht="21">
      <c r="C42" s="660" t="str">
        <f>TillageOperations!$B$23</f>
        <v>Fertilizer Spreader</v>
      </c>
      <c r="D42" s="765"/>
      <c r="E42" s="771" t="e">
        <f>BASEBUDGETS!E1098/BASEBUDGETS!C998</f>
        <v>#DIV/0!</v>
      </c>
      <c r="F42" s="770" t="str">
        <f>BASEBUDGETS!C1098</f>
        <v>acre</v>
      </c>
      <c r="G42" s="756" t="e">
        <f>IF(E42=0,0,BASEBUDGETS!D1099*E42)</f>
        <v>#DIV/0!</v>
      </c>
      <c r="H42" s="756" t="e">
        <f>IF(E42=0,0,BASEBUDGETS!D1098*E42)</f>
        <v>#DIV/0!</v>
      </c>
      <c r="I42" s="756">
        <v>0</v>
      </c>
      <c r="J42" s="765" t="e">
        <f>G42+H42+I42</f>
        <v>#DIV/0!</v>
      </c>
    </row>
    <row r="43" spans="3:10" ht="21">
      <c r="C43" s="660" t="str">
        <f>TillageOperations!$B$24</f>
        <v>Fertilizer Injection System</v>
      </c>
      <c r="D43" s="765"/>
      <c r="E43" s="771" t="e">
        <f>BASEBUDGETS!E1100/BASEBUDGETS!C998</f>
        <v>#DIV/0!</v>
      </c>
      <c r="F43" s="770" t="str">
        <f>BASEBUDGETS!C1100</f>
        <v>acre</v>
      </c>
      <c r="G43" s="756" t="e">
        <f>IF(E43=0,0,BASEBUDGETS!D1101*E43)</f>
        <v>#DIV/0!</v>
      </c>
      <c r="H43" s="756" t="e">
        <f>IF(E43=0,0,BASEBUDGETS!D1100*E43)</f>
        <v>#DIV/0!</v>
      </c>
      <c r="I43" s="756">
        <v>0</v>
      </c>
      <c r="J43" s="765" t="e">
        <f>G43+H43+I43</f>
        <v>#DIV/0!</v>
      </c>
    </row>
    <row r="44" spans="3:10" ht="21">
      <c r="C44" s="660" t="s">
        <v>407</v>
      </c>
      <c r="D44" s="765"/>
      <c r="E44" s="771"/>
      <c r="F44" s="770"/>
      <c r="G44" s="756">
        <v>0</v>
      </c>
      <c r="H44" s="756">
        <v>0</v>
      </c>
      <c r="I44" s="756" t="e">
        <f>(D45*E45)+(D46*E46)+(D47*E47)+(D48*E48)+(D49*E49)+(D50*E50)+(D51*E51)</f>
        <v>#DIV/0!</v>
      </c>
      <c r="J44" s="765" t="e">
        <f>G44+H44+I44</f>
        <v>#DIV/0!</v>
      </c>
    </row>
    <row r="45" spans="3:10" ht="21">
      <c r="C45" s="660" t="str">
        <f>BASEBUDGETS!B1008</f>
        <v xml:space="preserve">   - Nitrogen</v>
      </c>
      <c r="D45" s="765">
        <f>BASEBUDGETS!D1008</f>
        <v>0.46</v>
      </c>
      <c r="E45" s="775" t="e">
        <f>BASEBUDGETS!E1008/BASEBUDGETS!C998</f>
        <v>#DIV/0!</v>
      </c>
      <c r="F45" s="769" t="str">
        <f>BASEBUDGETS!C1008</f>
        <v>pounds</v>
      </c>
      <c r="G45" s="765"/>
      <c r="H45" s="765"/>
      <c r="I45" s="765"/>
      <c r="J45" s="765"/>
    </row>
    <row r="46" spans="3:10" ht="21">
      <c r="C46" s="660" t="str">
        <f>BASEBUDGETS!B1009</f>
        <v xml:space="preserve">   - Phosphorus</v>
      </c>
      <c r="D46" s="765">
        <f>BASEBUDGETS!D1009</f>
        <v>0.36</v>
      </c>
      <c r="E46" s="775" t="e">
        <f>BASEBUDGETS!E1009/BASEBUDGETS!C998</f>
        <v>#DIV/0!</v>
      </c>
      <c r="F46" s="769" t="str">
        <f>BASEBUDGETS!C1009</f>
        <v>pounds</v>
      </c>
      <c r="G46" s="765"/>
      <c r="H46" s="765"/>
      <c r="I46" s="765"/>
      <c r="J46" s="765"/>
    </row>
    <row r="47" spans="3:10" ht="21">
      <c r="C47" s="660" t="str">
        <f>BASEBUDGETS!B1010</f>
        <v xml:space="preserve">   - Anhydrous Ammonia</v>
      </c>
      <c r="D47" s="765">
        <f>BASEBUDGETS!D1010</f>
        <v>0.21</v>
      </c>
      <c r="E47" s="775" t="e">
        <f>BASEBUDGETS!E1010/BASEBUDGETS!C998</f>
        <v>#DIV/0!</v>
      </c>
      <c r="F47" s="769" t="str">
        <f>BASEBUDGETS!C1010</f>
        <v>pounds</v>
      </c>
      <c r="G47" s="765"/>
      <c r="H47" s="765"/>
      <c r="I47" s="765"/>
      <c r="J47" s="765"/>
    </row>
    <row r="48" spans="3:10" ht="21">
      <c r="C48" s="660" t="str">
        <f>BASEBUDGETS!B1011</f>
        <v xml:space="preserve">   - Trace Elements</v>
      </c>
      <c r="D48" s="765">
        <f>BASEBUDGETS!D1011</f>
        <v>0.24</v>
      </c>
      <c r="E48" s="775" t="e">
        <f>BASEBUDGETS!E1011/BASEBUDGETS!C998</f>
        <v>#DIV/0!</v>
      </c>
      <c r="F48" s="769" t="str">
        <f>BASEBUDGETS!C1011</f>
        <v>pounds</v>
      </c>
      <c r="G48" s="765"/>
      <c r="H48" s="765"/>
      <c r="I48" s="765"/>
      <c r="J48" s="765"/>
    </row>
    <row r="49" spans="3:10" ht="21">
      <c r="C49" s="660" t="str">
        <f>BASEBUDGETS!B1012</f>
        <v xml:space="preserve">   - Nitrogen</v>
      </c>
      <c r="D49" s="765">
        <f>BASEBUDGETS!D1012</f>
        <v>77</v>
      </c>
      <c r="E49" s="775" t="e">
        <f>BASEBUDGETS!E1012/BASEBUDGETS!C998</f>
        <v>#DIV/0!</v>
      </c>
      <c r="F49" s="769" t="str">
        <f>BASEBUDGETS!C1012</f>
        <v>acre</v>
      </c>
      <c r="G49" s="765"/>
      <c r="H49" s="765"/>
      <c r="I49" s="765"/>
      <c r="J49" s="765"/>
    </row>
    <row r="50" spans="3:10" ht="21">
      <c r="C50" s="660" t="str">
        <f>BASEBUDGETS!B1013</f>
        <v xml:space="preserve">   - Phosphorus</v>
      </c>
      <c r="D50" s="765">
        <f>BASEBUDGETS!D1013</f>
        <v>0</v>
      </c>
      <c r="E50" s="775" t="e">
        <f>BASEBUDGETS!E1013/BASEBUDGETS!C998</f>
        <v>#DIV/0!</v>
      </c>
      <c r="F50" s="769" t="str">
        <f>BASEBUDGETS!C1013</f>
        <v>acre</v>
      </c>
      <c r="G50" s="765"/>
      <c r="H50" s="765"/>
      <c r="I50" s="765"/>
      <c r="J50" s="765"/>
    </row>
    <row r="51" spans="3:10" ht="21">
      <c r="C51" s="660" t="str">
        <f>BASEBUDGETS!B1014</f>
        <v xml:space="preserve">   - Fertilizer - Anhydrous Applicator</v>
      </c>
      <c r="D51" s="765">
        <f>BASEBUDGETS!D1014</f>
        <v>0</v>
      </c>
      <c r="E51" s="775" t="e">
        <f>BASEBUDGETS!E1014/BASEBUDGETS!C998</f>
        <v>#DIV/0!</v>
      </c>
      <c r="F51" s="769" t="str">
        <f>BASEBUDGETS!C1014</f>
        <v>acre</v>
      </c>
      <c r="G51" s="765"/>
      <c r="H51" s="765"/>
      <c r="I51" s="765"/>
      <c r="J51" s="765"/>
    </row>
    <row r="52" spans="3:10" ht="21">
      <c r="C52" s="660" t="str">
        <f>BASEBUDGETS!B1048</f>
        <v>Boom Sprayer, Custom</v>
      </c>
      <c r="D52" s="765">
        <f>CustomOperations!J30</f>
        <v>10.050000000000001</v>
      </c>
      <c r="E52" s="771" t="e">
        <f>BASEBUDGETS!E1048/BASEBUDGETS!C998</f>
        <v>#DIV/0!</v>
      </c>
      <c r="F52" s="770" t="str">
        <f>BASEBUDGETS!C1048</f>
        <v>acre</v>
      </c>
      <c r="G52" s="756">
        <v>0</v>
      </c>
      <c r="H52" s="756">
        <v>0</v>
      </c>
      <c r="I52" s="756" t="e">
        <f>IF(E52=0,0,BASEBUDGETS!D1048*E52)</f>
        <v>#DIV/0!</v>
      </c>
      <c r="J52" s="765" t="e">
        <f>G52+H52+I52</f>
        <v>#DIV/0!</v>
      </c>
    </row>
    <row r="53" spans="3:10" ht="21">
      <c r="C53" s="660" t="str">
        <f>TillageOperations!$B$25</f>
        <v>Boom Sprayer</v>
      </c>
      <c r="D53" s="765"/>
      <c r="E53" s="771" t="e">
        <f>BASEBUDGETS!E1102/BASEBUDGETS!C998</f>
        <v>#DIV/0!</v>
      </c>
      <c r="F53" s="770" t="str">
        <f>BASEBUDGETS!C1102</f>
        <v>acre</v>
      </c>
      <c r="G53" s="756" t="e">
        <f>IF(E53=0,0,BASEBUDGETS!D1103*E53)</f>
        <v>#DIV/0!</v>
      </c>
      <c r="H53" s="756" t="e">
        <f>IF(E53=0,0,BASEBUDGETS!D1102*E53)</f>
        <v>#DIV/0!</v>
      </c>
      <c r="I53" s="756">
        <v>0</v>
      </c>
      <c r="J53" s="765" t="e">
        <f>G53+H53+I53</f>
        <v>#DIV/0!</v>
      </c>
    </row>
    <row r="54" spans="3:10" ht="21">
      <c r="C54" s="660" t="s">
        <v>408</v>
      </c>
      <c r="D54" s="765"/>
      <c r="E54" s="771"/>
      <c r="F54" s="770"/>
      <c r="G54" s="756">
        <v>0</v>
      </c>
      <c r="H54" s="756">
        <v>0</v>
      </c>
      <c r="I54" s="756" t="e">
        <f>(D55*E55)+(D56*E56)+(D57*E57)+(D58*E58)+(D59*E59)+(D60*E60)+(D61*E61)</f>
        <v>#DIV/0!</v>
      </c>
      <c r="J54" s="765" t="e">
        <f>G54+H54+I54</f>
        <v>#DIV/0!</v>
      </c>
    </row>
    <row r="55" spans="3:10" ht="21">
      <c r="C55" s="660" t="str">
        <f>BASEBUDGETS!B1015</f>
        <v xml:space="preserve">   - Prowl</v>
      </c>
      <c r="D55" s="765">
        <f>BASEBUDGETS!D1015</f>
        <v>6.0625</v>
      </c>
      <c r="E55" s="775" t="e">
        <f>BASEBUDGETS!E1015/BASEBUDGETS!C998</f>
        <v>#DIV/0!</v>
      </c>
      <c r="F55" s="769" t="str">
        <f>BASEBUDGETS!C1015</f>
        <v>pints</v>
      </c>
      <c r="G55" s="765"/>
      <c r="H55" s="765"/>
      <c r="I55" s="765"/>
      <c r="J55" s="765"/>
    </row>
    <row r="56" spans="3:10" ht="21">
      <c r="C56" s="660" t="str">
        <f>BASEBUDGETS!B1016</f>
        <v xml:space="preserve">   - Aim</v>
      </c>
      <c r="D56" s="765">
        <f>BASEBUDGETS!D1016</f>
        <v>5.9375</v>
      </c>
      <c r="E56" s="775" t="e">
        <f>BASEBUDGETS!E1016/BASEBUDGETS!C998</f>
        <v>#DIV/0!</v>
      </c>
      <c r="F56" s="769" t="str">
        <f>BASEBUDGETS!C1016</f>
        <v>ounces</v>
      </c>
      <c r="G56" s="765"/>
      <c r="H56" s="765"/>
      <c r="I56" s="765"/>
      <c r="J56" s="765"/>
    </row>
    <row r="57" spans="3:10" ht="21">
      <c r="C57" s="660" t="str">
        <f>BASEBUDGETS!B1017</f>
        <v xml:space="preserve">   - Fusilade</v>
      </c>
      <c r="D57" s="765">
        <f>BASEBUDGETS!D1017</f>
        <v>1.25</v>
      </c>
      <c r="E57" s="775" t="e">
        <f>BASEBUDGETS!E1017/BASEBUDGETS!C998</f>
        <v>#DIV/0!</v>
      </c>
      <c r="F57" s="769" t="str">
        <f>BASEBUDGETS!C1017</f>
        <v>ounces</v>
      </c>
      <c r="G57" s="765"/>
      <c r="H57" s="765"/>
      <c r="I57" s="765"/>
      <c r="J57" s="765"/>
    </row>
    <row r="58" spans="3:10" ht="21">
      <c r="C58" s="660" t="str">
        <f>BASEBUDGETS!B1018</f>
        <v xml:space="preserve">   - Herbicides</v>
      </c>
      <c r="D58" s="765">
        <f>BASEBUDGETS!D1018</f>
        <v>0</v>
      </c>
      <c r="E58" s="775" t="e">
        <f>BASEBUDGETS!E1018/BASEBUDGETS!C998</f>
        <v>#DIV/0!</v>
      </c>
      <c r="F58" s="769" t="str">
        <f>BASEBUDGETS!C1018</f>
        <v>acre</v>
      </c>
      <c r="G58" s="765"/>
      <c r="H58" s="765"/>
      <c r="I58" s="765"/>
      <c r="J58" s="765"/>
    </row>
    <row r="59" spans="3:10" ht="21">
      <c r="C59" s="660" t="str">
        <f>BASEBUDGETS!B1019</f>
        <v xml:space="preserve">   - Herbicide - #2</v>
      </c>
      <c r="D59" s="765">
        <f>BASEBUDGETS!D1019</f>
        <v>0</v>
      </c>
      <c r="E59" s="775" t="e">
        <f>BASEBUDGETS!E1019/BASEBUDGETS!C998</f>
        <v>#DIV/0!</v>
      </c>
      <c r="F59" s="769" t="str">
        <f>BASEBUDGETS!C1019</f>
        <v>acre</v>
      </c>
      <c r="G59" s="765"/>
      <c r="H59" s="765"/>
      <c r="I59" s="765"/>
      <c r="J59" s="765"/>
    </row>
    <row r="60" spans="3:10" ht="21">
      <c r="C60" s="660" t="str">
        <f>BASEBUDGETS!B1020</f>
        <v xml:space="preserve">   - Insecticides</v>
      </c>
      <c r="D60" s="765">
        <f>BASEBUDGETS!D1020</f>
        <v>0</v>
      </c>
      <c r="E60" s="775" t="e">
        <f>BASEBUDGETS!E1020/BASEBUDGETS!C998</f>
        <v>#DIV/0!</v>
      </c>
      <c r="F60" s="769" t="str">
        <f>BASEBUDGETS!C1020</f>
        <v>acre</v>
      </c>
      <c r="G60" s="765"/>
      <c r="H60" s="765"/>
      <c r="I60" s="765"/>
      <c r="J60" s="765"/>
    </row>
    <row r="61" spans="3:10" ht="21">
      <c r="C61" s="660" t="str">
        <f>BASEBUDGETS!B1021</f>
        <v xml:space="preserve">   - Insecticide - #2</v>
      </c>
      <c r="D61" s="765">
        <f>BASEBUDGETS!D1021</f>
        <v>50</v>
      </c>
      <c r="E61" s="775" t="e">
        <f>BASEBUDGETS!E1021/BASEBUDGETS!C998</f>
        <v>#DIV/0!</v>
      </c>
      <c r="F61" s="769" t="str">
        <f>BASEBUDGETS!C1021</f>
        <v>acre</v>
      </c>
      <c r="G61" s="765"/>
      <c r="H61" s="765"/>
      <c r="I61" s="765"/>
      <c r="J61" s="765"/>
    </row>
    <row r="62" spans="3:10" ht="21">
      <c r="C62" s="660" t="str">
        <f>BASEBUDGETS!B1036</f>
        <v>Row Cultivator, Custom</v>
      </c>
      <c r="D62" s="765">
        <f>CustomOperations!J28</f>
        <v>0</v>
      </c>
      <c r="E62" s="771" t="e">
        <f>BASEBUDGETS!E1036/BASEBUDGETS!C998</f>
        <v>#DIV/0!</v>
      </c>
      <c r="F62" s="770" t="str">
        <f>BASEBUDGETS!C1036</f>
        <v>acre</v>
      </c>
      <c r="G62" s="756">
        <v>0</v>
      </c>
      <c r="H62" s="756">
        <v>0</v>
      </c>
      <c r="I62" s="756" t="e">
        <f>IF(E62=0,0,BASEBUDGETS!D1036*E62)</f>
        <v>#DIV/0!</v>
      </c>
      <c r="J62" s="765" t="e">
        <f>G62+H62+I62</f>
        <v>#DIV/0!</v>
      </c>
    </row>
    <row r="63" spans="3:10" ht="21">
      <c r="C63" s="660" t="str">
        <f>TillageOperations!$B$20</f>
        <v>Row Cultivator</v>
      </c>
      <c r="D63" s="765"/>
      <c r="E63" s="771" t="e">
        <f>BASEBUDGETS!E1071/BASEBUDGETS!C998</f>
        <v>#DIV/0!</v>
      </c>
      <c r="F63" s="770" t="str">
        <f>BASEBUDGETS!C1071</f>
        <v>acre</v>
      </c>
      <c r="G63" s="756" t="e">
        <f>IF(E63=0,0,BASEBUDGETS!D1072*E63)</f>
        <v>#DIV/0!</v>
      </c>
      <c r="H63" s="756" t="e">
        <f>IF(E63=0,0,BASEBUDGETS!D1071*E63)</f>
        <v>#DIV/0!</v>
      </c>
      <c r="I63" s="756">
        <v>0</v>
      </c>
      <c r="J63" s="765" t="e">
        <f>G63+H63+I63</f>
        <v>#DIV/0!</v>
      </c>
    </row>
    <row r="64" spans="3:10" ht="21">
      <c r="C64" s="660" t="s">
        <v>151</v>
      </c>
      <c r="D64" s="765"/>
      <c r="E64" s="776" t="s">
        <v>10</v>
      </c>
      <c r="F64" s="777" t="s">
        <v>10</v>
      </c>
      <c r="G64" s="756" t="e">
        <f>(D66*E66)+(D69*E69)+(D72*E72)</f>
        <v>#DIV/0!</v>
      </c>
      <c r="H64" s="756">
        <v>0</v>
      </c>
      <c r="I64" s="678" t="e">
        <f>(D65*E65)+(D68*E68)+(D71*E71)+(D67*E67)+(D70*E70)+(D73*E73)</f>
        <v>#DIV/0!</v>
      </c>
      <c r="J64" s="765" t="e">
        <f>G64+H64+I64</f>
        <v>#DIV/0!</v>
      </c>
    </row>
    <row r="65" spans="2:10" ht="21">
      <c r="B65" s="660"/>
      <c r="C65" s="660" t="str">
        <f>BASEBUDGETS!B1022</f>
        <v>Flood - Irrigation Water</v>
      </c>
      <c r="D65" s="765">
        <f>BASEBUDGETS!D1022</f>
        <v>55</v>
      </c>
      <c r="E65" s="775" t="e">
        <f>BASEBUDGETS!E1022/BASEBUDGETS!C$998</f>
        <v>#DIV/0!</v>
      </c>
      <c r="F65" s="769" t="str">
        <f>BASEBUDGETS!C1022</f>
        <v>ac ft</v>
      </c>
      <c r="G65" s="756"/>
      <c r="H65" s="756"/>
      <c r="I65" s="765"/>
      <c r="J65" s="765"/>
    </row>
    <row r="66" spans="2:10" ht="21">
      <c r="B66" s="660"/>
      <c r="C66" s="660" t="str">
        <f>BASEBUDGETS!B1023</f>
        <v>Flood - Irrigation Labor</v>
      </c>
      <c r="D66" s="765">
        <f>BASEBUDGETS!D1023</f>
        <v>14.55</v>
      </c>
      <c r="E66" s="775" t="e">
        <f>BASEBUDGETS!E1023/BASEBUDGETS!C$998</f>
        <v>#DIV/0!</v>
      </c>
      <c r="F66" s="769" t="str">
        <f>BASEBUDGETS!C1023</f>
        <v>hour</v>
      </c>
      <c r="G66" s="756"/>
      <c r="H66" s="756"/>
      <c r="I66" s="765"/>
      <c r="J66" s="765"/>
    </row>
    <row r="67" spans="2:10" ht="21">
      <c r="C67" s="660" t="str">
        <f>BASEBUDGETS!B1024</f>
        <v xml:space="preserve">   - Annual Repairs &amp; Maintenance</v>
      </c>
      <c r="D67" s="765">
        <f>BASEBUDGETS!D1024</f>
        <v>3</v>
      </c>
      <c r="E67" s="775" t="e">
        <f>BASEBUDGETS!E1024/BASEBUDGETS!C$998</f>
        <v>#DIV/0!</v>
      </c>
      <c r="F67" s="769" t="str">
        <f>BASEBUDGETS!C1024</f>
        <v>acre</v>
      </c>
      <c r="I67" s="756"/>
      <c r="J67" s="778" t="s">
        <v>10</v>
      </c>
    </row>
    <row r="68" spans="2:10" ht="21">
      <c r="C68" s="660" t="str">
        <f>BASEBUDGETS!B1025</f>
        <v>Drip-tape - Irrigation Water</v>
      </c>
      <c r="D68" s="765">
        <f>BASEBUDGETS!D1025</f>
        <v>55</v>
      </c>
      <c r="E68" s="775" t="e">
        <f>BASEBUDGETS!E1025/BASEBUDGETS!C$998</f>
        <v>#DIV/0!</v>
      </c>
      <c r="F68" s="769" t="str">
        <f>BASEBUDGETS!C1025</f>
        <v>ac ft</v>
      </c>
      <c r="G68" s="756"/>
      <c r="H68" s="756"/>
      <c r="I68" s="756"/>
      <c r="J68" s="765"/>
    </row>
    <row r="69" spans="2:10" ht="21">
      <c r="C69" s="660" t="str">
        <f>BASEBUDGETS!B1026</f>
        <v>Drip-tape - Irrigation Labor</v>
      </c>
      <c r="D69" s="765">
        <f>BASEBUDGETS!D1026</f>
        <v>14.55</v>
      </c>
      <c r="E69" s="775" t="e">
        <f>BASEBUDGETS!E1026/BASEBUDGETS!C$998</f>
        <v>#DIV/0!</v>
      </c>
      <c r="F69" s="769" t="str">
        <f>BASEBUDGETS!C1026</f>
        <v>hour</v>
      </c>
      <c r="G69" s="756"/>
      <c r="H69" s="756"/>
      <c r="I69" s="756"/>
      <c r="J69" s="765"/>
    </row>
    <row r="70" spans="2:10" ht="21">
      <c r="C70" s="660" t="str">
        <f>BASEBUDGETS!B1027</f>
        <v xml:space="preserve">   - Annual Repairs &amp; Maintenance</v>
      </c>
      <c r="D70" s="765">
        <f>BASEBUDGETS!D1027</f>
        <v>7.5</v>
      </c>
      <c r="E70" s="775" t="e">
        <f>BASEBUDGETS!E1027/BASEBUDGETS!C$998</f>
        <v>#DIV/0!</v>
      </c>
      <c r="F70" s="769" t="str">
        <f>BASEBUDGETS!C1027</f>
        <v>acre</v>
      </c>
      <c r="G70" s="756"/>
      <c r="H70" s="756"/>
      <c r="I70" s="756"/>
      <c r="J70" s="765"/>
    </row>
    <row r="71" spans="2:10" ht="21">
      <c r="C71" s="660" t="str">
        <f>BASEBUDGETS!B1028</f>
        <v>Sprinkler - Irrigation Water</v>
      </c>
      <c r="D71" s="765">
        <f>BASEBUDGETS!D1028</f>
        <v>55</v>
      </c>
      <c r="E71" s="775" t="e">
        <f>BASEBUDGETS!E1028/BASEBUDGETS!C$998</f>
        <v>#DIV/0!</v>
      </c>
      <c r="F71" s="769" t="str">
        <f>BASEBUDGETS!C1028</f>
        <v>ac ft</v>
      </c>
      <c r="G71" s="756"/>
      <c r="H71" s="756"/>
      <c r="I71" s="756"/>
      <c r="J71" s="765"/>
    </row>
    <row r="72" spans="2:10" ht="21">
      <c r="C72" s="660" t="str">
        <f>BASEBUDGETS!B1029</f>
        <v>Sprinkler - Irrigation Labor</v>
      </c>
      <c r="D72" s="765">
        <f>BASEBUDGETS!D1029</f>
        <v>14.55</v>
      </c>
      <c r="E72" s="775" t="e">
        <f>BASEBUDGETS!E1029/BASEBUDGETS!C$998</f>
        <v>#DIV/0!</v>
      </c>
      <c r="F72" s="769" t="str">
        <f>BASEBUDGETS!C1029</f>
        <v>hour</v>
      </c>
      <c r="G72" s="756"/>
      <c r="H72" s="756"/>
      <c r="I72" s="756"/>
      <c r="J72" s="765"/>
    </row>
    <row r="73" spans="2:10" ht="21">
      <c r="C73" s="660" t="str">
        <f>BASEBUDGETS!B1030</f>
        <v xml:space="preserve">   - Annual Repairs &amp; Maintenance</v>
      </c>
      <c r="D73" s="765">
        <f>BASEBUDGETS!D1030</f>
        <v>15</v>
      </c>
      <c r="E73" s="775" t="e">
        <f>BASEBUDGETS!E1030/BASEBUDGETS!C$998</f>
        <v>#DIV/0!</v>
      </c>
      <c r="F73" s="769" t="str">
        <f>BASEBUDGETS!C1030</f>
        <v>acre</v>
      </c>
      <c r="G73" s="756"/>
      <c r="H73" s="756"/>
      <c r="I73" s="756"/>
      <c r="J73" s="765"/>
    </row>
    <row r="74" spans="2:10" ht="21">
      <c r="C74" s="660" t="str">
        <f>BASEBUDGETS!B1108</f>
        <v>Additional Crop Prod. Labor</v>
      </c>
      <c r="D74" s="765">
        <f>GeneralInputPrices!$D$31</f>
        <v>14.55</v>
      </c>
      <c r="E74" s="771" t="e">
        <f>BASEBUDGETS!E1108/BASEBUDGETS!C998</f>
        <v>#DIV/0!</v>
      </c>
      <c r="F74" s="770" t="str">
        <f>BASEBUDGETS!C1108</f>
        <v>hour</v>
      </c>
      <c r="G74" s="756" t="e">
        <f>D74*E74</f>
        <v>#DIV/0!</v>
      </c>
      <c r="H74" s="756">
        <v>0</v>
      </c>
      <c r="I74" s="756">
        <v>0</v>
      </c>
      <c r="J74" s="765" t="e">
        <f t="shared" ref="J74:J75" si="2">G74+H74+I74</f>
        <v>#DIV/0!</v>
      </c>
    </row>
    <row r="75" spans="2:10" ht="21">
      <c r="C75" s="660" t="str">
        <f>BASEBUDGETS!B1109</f>
        <v>Additional Crop Prod. Labor</v>
      </c>
      <c r="D75" s="765">
        <f>GeneralInputPrices!$D$31</f>
        <v>14.55</v>
      </c>
      <c r="E75" s="771" t="e">
        <f>BASEBUDGETS!E1109/BASEBUDGETS!C998</f>
        <v>#DIV/0!</v>
      </c>
      <c r="F75" s="770" t="str">
        <f>BASEBUDGETS!C1109</f>
        <v>hour</v>
      </c>
      <c r="G75" s="756" t="e">
        <f>D75*E75</f>
        <v>#DIV/0!</v>
      </c>
      <c r="H75" s="756">
        <v>0</v>
      </c>
      <c r="I75" s="756">
        <v>0</v>
      </c>
      <c r="J75" s="765" t="e">
        <f t="shared" si="2"/>
        <v>#DIV/0!</v>
      </c>
    </row>
    <row r="76" spans="2:10" ht="21">
      <c r="B76" s="804" t="s">
        <v>44</v>
      </c>
      <c r="C76" s="804"/>
      <c r="D76" s="778"/>
      <c r="E76" s="758"/>
      <c r="F76" s="780" t="s">
        <v>10</v>
      </c>
      <c r="G76" s="777" t="s">
        <v>10</v>
      </c>
      <c r="H76" s="777" t="s">
        <v>10</v>
      </c>
      <c r="I76" s="777" t="s">
        <v>10</v>
      </c>
      <c r="J76" s="777" t="s">
        <v>10</v>
      </c>
    </row>
    <row r="77" spans="2:10" ht="21">
      <c r="C77" s="660" t="str">
        <f>BASEBUDGETS!B1031</f>
        <v>Harvest, Custom</v>
      </c>
      <c r="D77" s="765">
        <f>CustomOperations!J37</f>
        <v>0</v>
      </c>
      <c r="E77" s="771" t="e">
        <f>BASEBUDGETS!E1031/BASEBUDGETS!C998</f>
        <v>#DIV/0!</v>
      </c>
      <c r="F77" s="770" t="str">
        <f>BASEBUDGETS!C1031</f>
        <v>acre</v>
      </c>
      <c r="G77" s="756">
        <v>0</v>
      </c>
      <c r="H77" s="756">
        <v>0</v>
      </c>
      <c r="I77" s="756" t="e">
        <f>IF(E77=0,0,BASEBUDGETS!D1031*E77)</f>
        <v>#DIV/0!</v>
      </c>
      <c r="J77" s="765" t="e">
        <f t="shared" ref="J77:J88" si="3">G77+H77+I77</f>
        <v>#DIV/0!</v>
      </c>
    </row>
    <row r="78" spans="2:10" ht="21">
      <c r="C78" s="660" t="str">
        <f>BASEBUDGETS!B1032</f>
        <v>Hauling, Custom</v>
      </c>
      <c r="D78" s="765">
        <f>CustomOperations!J39</f>
        <v>0</v>
      </c>
      <c r="E78" s="771" t="e">
        <f>BASEBUDGETS!E1032/BASEBUDGETS!C998</f>
        <v>#DIV/0!</v>
      </c>
      <c r="F78" s="770" t="str">
        <f>BASEBUDGETS!C1032</f>
        <v>mile</v>
      </c>
      <c r="G78" s="756">
        <v>0</v>
      </c>
      <c r="H78" s="756">
        <v>0</v>
      </c>
      <c r="I78" s="756" t="e">
        <f>IF(E78=0,0,BASEBUDGETS!D1032*E78)</f>
        <v>#DIV/0!</v>
      </c>
      <c r="J78" s="765" t="e">
        <f t="shared" si="3"/>
        <v>#DIV/0!</v>
      </c>
    </row>
    <row r="79" spans="2:10" ht="21">
      <c r="C79" s="660" t="str">
        <f>BASEBUDGETS!B1033</f>
        <v>Gin Cotton/Drying/Swathing, Custom</v>
      </c>
      <c r="D79" s="765">
        <f>CustomOperations!J41</f>
        <v>0</v>
      </c>
      <c r="E79" s="771" t="e">
        <f>BASEBUDGETS!E1033/BASEBUDGETS!C998</f>
        <v>#DIV/0!</v>
      </c>
      <c r="F79" s="770" t="str">
        <f>BASEBUDGETS!C1033</f>
        <v>bale</v>
      </c>
      <c r="G79" s="756">
        <v>0</v>
      </c>
      <c r="H79" s="756">
        <v>0</v>
      </c>
      <c r="I79" s="756" t="e">
        <f>IF(E79=0,0,BASEBUDGETS!D1033*E79)</f>
        <v>#DIV/0!</v>
      </c>
      <c r="J79" s="765" t="e">
        <f t="shared" si="3"/>
        <v>#DIV/0!</v>
      </c>
    </row>
    <row r="80" spans="2:10" ht="21">
      <c r="C80" s="660" t="str">
        <f>TillageOperations!$B$27</f>
        <v>Cotton Picker</v>
      </c>
      <c r="D80" s="765"/>
      <c r="E80" s="771" t="e">
        <f>BASEBUDGETS!E1075/BASEBUDGETS!C998</f>
        <v>#DIV/0!</v>
      </c>
      <c r="F80" s="770" t="str">
        <f>BASEBUDGETS!C1075</f>
        <v>acre</v>
      </c>
      <c r="G80" s="756" t="e">
        <f>IF(E80=0,0,BASEBUDGETS!D1076*E80)</f>
        <v>#DIV/0!</v>
      </c>
      <c r="H80" s="756" t="e">
        <f>IF(E80=0,0,BASEBUDGETS!D1075*E80)</f>
        <v>#DIV/0!</v>
      </c>
      <c r="I80" s="756">
        <v>0</v>
      </c>
      <c r="J80" s="765" t="e">
        <f t="shared" si="3"/>
        <v>#DIV/0!</v>
      </c>
    </row>
    <row r="81" spans="2:10" ht="21">
      <c r="C81" s="781" t="s">
        <v>287</v>
      </c>
      <c r="D81" s="765"/>
      <c r="E81" s="771" t="e">
        <f>BASEBUDGETS!E1077/BASEBUDGETS!C998</f>
        <v>#DIV/0!</v>
      </c>
      <c r="F81" s="770" t="str">
        <f>BASEBUDGETS!C1077</f>
        <v>acre</v>
      </c>
      <c r="G81" s="756" t="e">
        <f>IF(E81=0,0,BASEBUDGETS!D1078*E81)</f>
        <v>#DIV/0!</v>
      </c>
      <c r="H81" s="756" t="e">
        <f>IF(E81=0,0,BASEBUDGETS!D1077*E81)</f>
        <v>#DIV/0!</v>
      </c>
      <c r="I81" s="756">
        <v>0</v>
      </c>
      <c r="J81" s="765" t="e">
        <f t="shared" ref="J81" si="4">G81+H81+I81</f>
        <v>#DIV/0!</v>
      </c>
    </row>
    <row r="82" spans="2:10" ht="21">
      <c r="C82" s="660" t="str">
        <f>TillageOperations!$B$29</f>
        <v>Haul Cotton</v>
      </c>
      <c r="D82" s="765"/>
      <c r="E82" s="771" t="e">
        <f>BASEBUDGETS!E1079/BASEBUDGETS!C998</f>
        <v>#DIV/0!</v>
      </c>
      <c r="F82" s="770" t="str">
        <f>BASEBUDGETS!C1079</f>
        <v>acre</v>
      </c>
      <c r="G82" s="756" t="e">
        <f>IF(E82=0,0,BASEBUDGETS!D1080*E82)</f>
        <v>#DIV/0!</v>
      </c>
      <c r="H82" s="756" t="e">
        <f>IF(E82=0,0,BASEBUDGETS!D1079*E82)</f>
        <v>#DIV/0!</v>
      </c>
      <c r="I82" s="756">
        <v>0</v>
      </c>
      <c r="J82" s="765" t="e">
        <f t="shared" si="3"/>
        <v>#DIV/0!</v>
      </c>
    </row>
    <row r="83" spans="2:10" ht="21">
      <c r="C83" s="660" t="str">
        <f>TillageOperations!$B$30</f>
        <v>Combine</v>
      </c>
      <c r="D83" s="765"/>
      <c r="E83" s="771" t="e">
        <f>BASEBUDGETS!E1083/BASEBUDGETS!C998</f>
        <v>#DIV/0!</v>
      </c>
      <c r="F83" s="770" t="str">
        <f>BASEBUDGETS!C1083</f>
        <v>acre</v>
      </c>
      <c r="G83" s="756" t="e">
        <f>IF(E83=0,0,BASEBUDGETS!D1084*E83)</f>
        <v>#DIV/0!</v>
      </c>
      <c r="H83" s="756" t="e">
        <f>IF(E83=0,0,BASEBUDGETS!D1083*E83)</f>
        <v>#DIV/0!</v>
      </c>
      <c r="I83" s="756">
        <v>0</v>
      </c>
      <c r="J83" s="765" t="e">
        <f t="shared" si="3"/>
        <v>#DIV/0!</v>
      </c>
    </row>
    <row r="84" spans="2:10" ht="21">
      <c r="C84" s="660" t="str">
        <f>TillageOperations!$B$31</f>
        <v>Grain Cart</v>
      </c>
      <c r="D84" s="765"/>
      <c r="E84" s="771" t="e">
        <f>BASEBUDGETS!E1085/BASEBUDGETS!C998</f>
        <v>#DIV/0!</v>
      </c>
      <c r="F84" s="770" t="str">
        <f>BASEBUDGETS!C1085</f>
        <v>acre</v>
      </c>
      <c r="G84" s="756" t="e">
        <f>IF(E84=0,0,BASEBUDGETS!D1086*E84)</f>
        <v>#DIV/0!</v>
      </c>
      <c r="H84" s="756" t="e">
        <f>IF(E84=0,0,BASEBUDGETS!D1085*E84)</f>
        <v>#DIV/0!</v>
      </c>
      <c r="I84" s="756">
        <v>0</v>
      </c>
      <c r="J84" s="765" t="e">
        <f t="shared" si="3"/>
        <v>#DIV/0!</v>
      </c>
    </row>
    <row r="85" spans="2:10" ht="21">
      <c r="C85" s="660" t="str">
        <f>TillageOperations!$B$32</f>
        <v>Swather</v>
      </c>
      <c r="D85" s="765"/>
      <c r="E85" s="771" t="e">
        <f>BASEBUDGETS!E1087/BASEBUDGETS!C998</f>
        <v>#DIV/0!</v>
      </c>
      <c r="F85" s="770" t="str">
        <f>BASEBUDGETS!C1087</f>
        <v>acre</v>
      </c>
      <c r="G85" s="756" t="e">
        <f>IF(E85=0,0,BASEBUDGETS!D1088*E85)</f>
        <v>#DIV/0!</v>
      </c>
      <c r="H85" s="756" t="e">
        <f>IF(E85=0,0,BASEBUDGETS!D1087*E85)</f>
        <v>#DIV/0!</v>
      </c>
      <c r="I85" s="756">
        <v>0</v>
      </c>
      <c r="J85" s="765" t="e">
        <f t="shared" si="3"/>
        <v>#DIV/0!</v>
      </c>
    </row>
    <row r="86" spans="2:10" ht="21">
      <c r="C86" s="660" t="str">
        <f>TillageOperations!$B$33</f>
        <v>Baler</v>
      </c>
      <c r="D86" s="765"/>
      <c r="E86" s="771" t="e">
        <f>BASEBUDGETS!E1089/BASEBUDGETS!C998</f>
        <v>#DIV/0!</v>
      </c>
      <c r="F86" s="770" t="str">
        <f>BASEBUDGETS!C1089</f>
        <v>acre</v>
      </c>
      <c r="G86" s="756" t="e">
        <f>IF(E86=0,0,BASEBUDGETS!D1090*E86)</f>
        <v>#DIV/0!</v>
      </c>
      <c r="H86" s="756" t="e">
        <f>IF(E86=0,0,BASEBUDGETS!D1089*E86)</f>
        <v>#DIV/0!</v>
      </c>
      <c r="I86" s="756" t="e">
        <f>IF(E86=0,0,D89*E89)</f>
        <v>#DIV/0!</v>
      </c>
      <c r="J86" s="765" t="e">
        <f t="shared" si="3"/>
        <v>#DIV/0!</v>
      </c>
    </row>
    <row r="87" spans="2:10" ht="21">
      <c r="C87" s="660" t="str">
        <f>TillageOperations!$B$34</f>
        <v>Swather</v>
      </c>
      <c r="D87" s="765"/>
      <c r="E87" s="771" t="e">
        <f>BASEBUDGETS!E1091/BASEBUDGETS!C998</f>
        <v>#DIV/0!</v>
      </c>
      <c r="F87" s="770" t="str">
        <f>BASEBUDGETS!C1091</f>
        <v>acre</v>
      </c>
      <c r="G87" s="756" t="e">
        <f>IF(E87=0,0,BASEBUDGETS!D1092*E87)</f>
        <v>#DIV/0!</v>
      </c>
      <c r="H87" s="756" t="e">
        <f>IF(E87=0,0,BASEBUDGETS!D1091*E87)</f>
        <v>#DIV/0!</v>
      </c>
      <c r="I87" s="756">
        <v>0</v>
      </c>
      <c r="J87" s="765" t="e">
        <f t="shared" si="3"/>
        <v>#DIV/0!</v>
      </c>
    </row>
    <row r="88" spans="2:10" ht="21">
      <c r="C88" s="660" t="str">
        <f>TillageOperations!$B$35</f>
        <v>Baler</v>
      </c>
      <c r="D88" s="765"/>
      <c r="E88" s="771" t="e">
        <f>BASEBUDGETS!E1093/BASEBUDGETS!C998</f>
        <v>#DIV/0!</v>
      </c>
      <c r="F88" s="770" t="str">
        <f>BASEBUDGETS!C1093</f>
        <v>acre</v>
      </c>
      <c r="G88" s="756" t="e">
        <f>IF(E88=0,0,BASEBUDGETS!D1094*E88)</f>
        <v>#DIV/0!</v>
      </c>
      <c r="H88" s="756" t="e">
        <f>IF(E88=0,0,BASEBUDGETS!D1093*E88)</f>
        <v>#DIV/0!</v>
      </c>
      <c r="I88" s="756" t="e">
        <f>IF(E88=0,0,D89*E89)</f>
        <v>#DIV/0!</v>
      </c>
      <c r="J88" s="765" t="e">
        <f t="shared" si="3"/>
        <v>#DIV/0!</v>
      </c>
    </row>
    <row r="89" spans="2:10" ht="21">
      <c r="C89" s="660" t="str">
        <f>'Inputs&amp;PricesbyCrop'!$B$31</f>
        <v xml:space="preserve">   - Baling Twine</v>
      </c>
      <c r="D89" s="765">
        <f>BASEBUDGETS!D1095</f>
        <v>0</v>
      </c>
      <c r="E89" s="775" t="e">
        <f>BASEBUDGETS!E1095/BASEBUDGETS!C998</f>
        <v>#DIV/0!</v>
      </c>
      <c r="F89" s="769" t="str">
        <f>'Inputs&amp;PricesbyCrop'!$C$31</f>
        <v>acre</v>
      </c>
      <c r="G89" s="756"/>
      <c r="H89" s="756"/>
      <c r="I89" s="756"/>
      <c r="J89" s="765"/>
    </row>
    <row r="90" spans="2:10" ht="21">
      <c r="C90" s="660" t="str">
        <f>TillageOperations!$B$36</f>
        <v>Bale Wagon</v>
      </c>
      <c r="D90" s="765"/>
      <c r="E90" s="771" t="e">
        <f>BASEBUDGETS!E1096/BASEBUDGETS!C998</f>
        <v>#DIV/0!</v>
      </c>
      <c r="F90" s="770" t="str">
        <f>BASEBUDGETS!C1096</f>
        <v>acre</v>
      </c>
      <c r="G90" s="756" t="e">
        <f>IF(E90=0,0,BASEBUDGETS!D1097*E90)</f>
        <v>#DIV/0!</v>
      </c>
      <c r="H90" s="756" t="e">
        <f>IF(E90=0,0,BASEBUDGETS!D1096*E90)</f>
        <v>#DIV/0!</v>
      </c>
      <c r="I90" s="756">
        <v>0</v>
      </c>
      <c r="J90" s="765" t="e">
        <f t="shared" ref="J90:J92" si="5">G90+H90+I90</f>
        <v>#DIV/0!</v>
      </c>
    </row>
    <row r="91" spans="2:10" ht="21">
      <c r="C91" s="660" t="str">
        <f>BASEBUDGETS!B1110</f>
        <v>Additional Harvest Labor</v>
      </c>
      <c r="D91" s="765">
        <f>GeneralInputPrices!$D$32</f>
        <v>17.89</v>
      </c>
      <c r="E91" s="771" t="e">
        <f>BASEBUDGETS!E1110/BASEBUDGETS!C998</f>
        <v>#DIV/0!</v>
      </c>
      <c r="F91" s="770" t="str">
        <f>BASEBUDGETS!C1110</f>
        <v>hour</v>
      </c>
      <c r="G91" s="756" t="e">
        <f>D91*E91</f>
        <v>#DIV/0!</v>
      </c>
      <c r="H91" s="756">
        <v>0</v>
      </c>
      <c r="I91" s="756">
        <v>0</v>
      </c>
      <c r="J91" s="765" t="e">
        <f t="shared" si="5"/>
        <v>#DIV/0!</v>
      </c>
    </row>
    <row r="92" spans="2:10" ht="21">
      <c r="C92" s="660" t="str">
        <f>BASEBUDGETS!B1111</f>
        <v>Additional Harvest Labor</v>
      </c>
      <c r="D92" s="765">
        <f>GeneralInputPrices!$D$32</f>
        <v>17.89</v>
      </c>
      <c r="E92" s="771" t="e">
        <f>BASEBUDGETS!E1111/BASEBUDGETS!C998</f>
        <v>#DIV/0!</v>
      </c>
      <c r="F92" s="770" t="str">
        <f>BASEBUDGETS!C1111</f>
        <v>hour</v>
      </c>
      <c r="G92" s="756" t="e">
        <f>D92*E92</f>
        <v>#DIV/0!</v>
      </c>
      <c r="H92" s="756">
        <v>0</v>
      </c>
      <c r="I92" s="756">
        <v>0</v>
      </c>
      <c r="J92" s="765" t="e">
        <f t="shared" si="5"/>
        <v>#DIV/0!</v>
      </c>
    </row>
    <row r="93" spans="2:10" ht="21">
      <c r="B93" s="760" t="s">
        <v>184</v>
      </c>
      <c r="C93" s="760"/>
      <c r="D93" s="765"/>
      <c r="E93" s="771"/>
      <c r="F93" s="770"/>
      <c r="G93" s="756"/>
      <c r="H93" s="756"/>
      <c r="I93" s="756"/>
      <c r="J93" s="765"/>
    </row>
    <row r="94" spans="2:10" ht="21">
      <c r="C94" s="660" t="str">
        <f>BASEBUDGETS!B1112</f>
        <v>Other Expenses</v>
      </c>
      <c r="D94" s="765"/>
      <c r="E94" s="783">
        <f>BASEBUDGETS!D1112</f>
        <v>0.05</v>
      </c>
      <c r="F94" s="780" t="s">
        <v>10</v>
      </c>
      <c r="G94" s="756">
        <v>0</v>
      </c>
      <c r="H94" s="756">
        <v>0</v>
      </c>
      <c r="I94" s="756" t="e">
        <f>SUM(J9:J92)*E94</f>
        <v>#DIV/0!</v>
      </c>
      <c r="J94" s="765" t="e">
        <f>G94+H94+I94</f>
        <v>#DIV/0!</v>
      </c>
    </row>
    <row r="95" spans="2:10" ht="21">
      <c r="C95" s="660" t="str">
        <f>BASEBUDGETS!B1113</f>
        <v>Interest on Operating Capital</v>
      </c>
      <c r="D95" s="765"/>
      <c r="E95" s="783">
        <f>BASEBUDGETS!D1113</f>
        <v>0.06</v>
      </c>
      <c r="F95" s="780" t="s">
        <v>10</v>
      </c>
      <c r="G95" s="784">
        <v>0</v>
      </c>
      <c r="H95" s="784">
        <v>0</v>
      </c>
      <c r="I95" s="784" t="e">
        <f>SUM(J9:J94)*((E95/12)*GeneralInputPrices!$D$39)</f>
        <v>#DIV/0!</v>
      </c>
      <c r="J95" s="785" t="e">
        <f>G95+H95+I95</f>
        <v>#DIV/0!</v>
      </c>
    </row>
    <row r="96" spans="2:10" ht="21">
      <c r="B96" s="760" t="s">
        <v>153</v>
      </c>
      <c r="C96" s="760"/>
      <c r="D96" s="760"/>
      <c r="E96" s="760"/>
      <c r="F96" s="660"/>
      <c r="G96" s="756" t="e">
        <f>SUM(G9:G95)</f>
        <v>#DIV/0!</v>
      </c>
      <c r="H96" s="756" t="e">
        <f>SUM(H9:H95)</f>
        <v>#DIV/0!</v>
      </c>
      <c r="I96" s="756" t="e">
        <f>SUM(I9:I95)</f>
        <v>#DIV/0!</v>
      </c>
      <c r="J96" s="756" t="e">
        <f>SUM(J9:J95)</f>
        <v>#DIV/0!</v>
      </c>
    </row>
    <row r="98" spans="2:10" ht="21">
      <c r="B98" s="805" t="s">
        <v>78</v>
      </c>
      <c r="C98" s="805"/>
      <c r="D98" s="805"/>
      <c r="E98" s="805"/>
      <c r="F98" s="805"/>
      <c r="G98" s="791"/>
      <c r="H98" s="792" t="s">
        <v>1</v>
      </c>
      <c r="I98" s="767" t="s">
        <v>24</v>
      </c>
      <c r="J98" s="767" t="s">
        <v>0</v>
      </c>
    </row>
    <row r="99" spans="2:10" ht="21">
      <c r="B99" s="754" t="str">
        <f>BASEBUDGETS!B1148</f>
        <v>Crop Insurance</v>
      </c>
      <c r="C99" s="754"/>
      <c r="D99" s="754"/>
      <c r="E99" s="754"/>
      <c r="F99" s="754"/>
      <c r="H99" s="770" t="str">
        <f>BASEBUDGETS!C1148</f>
        <v>acre</v>
      </c>
      <c r="I99" s="756" t="e">
        <f>BASEBUDGETS!F1148/BASEBUDGETS!C998</f>
        <v>#DIV/0!</v>
      </c>
      <c r="J99" s="756" t="e">
        <f>I99</f>
        <v>#DIV/0!</v>
      </c>
    </row>
    <row r="100" spans="2:10" ht="21">
      <c r="B100" s="760" t="str">
        <f>BASEBUDGETS!B1149</f>
        <v>Property Insurance</v>
      </c>
      <c r="C100" s="760"/>
      <c r="D100" s="760"/>
      <c r="E100" s="760"/>
      <c r="F100" s="760"/>
      <c r="H100" s="770" t="str">
        <f>BASEBUDGETS!C1149</f>
        <v>acre</v>
      </c>
      <c r="I100" s="756" t="e">
        <f>BASEBUDGETS!F1149/BASEBUDGETS!C998</f>
        <v>#DIV/0!</v>
      </c>
      <c r="J100" s="756" t="e">
        <f>I100</f>
        <v>#DIV/0!</v>
      </c>
    </row>
    <row r="101" spans="2:10" ht="21">
      <c r="B101" s="760" t="str">
        <f>BASEBUDGETS!B1150</f>
        <v>Property Taxes</v>
      </c>
      <c r="C101" s="760"/>
      <c r="D101" s="760"/>
      <c r="E101" s="760"/>
      <c r="F101" s="760"/>
      <c r="H101" s="770" t="str">
        <f>BASEBUDGETS!C1150</f>
        <v>acre</v>
      </c>
      <c r="I101" s="756" t="e">
        <f>BASEBUDGETS!F1150/BASEBUDGETS!C998</f>
        <v>#DIV/0!</v>
      </c>
      <c r="J101" s="756" t="e">
        <f t="shared" ref="J101:J104" si="6">I101</f>
        <v>#DIV/0!</v>
      </c>
    </row>
    <row r="102" spans="2:10" ht="21">
      <c r="B102" s="760" t="str">
        <f>BASEBUDGETS!B1153</f>
        <v>Licenses and Fees</v>
      </c>
      <c r="C102" s="760"/>
      <c r="D102" s="760"/>
      <c r="E102" s="760"/>
      <c r="F102" s="760"/>
      <c r="H102" s="770" t="str">
        <f>BASEBUDGETS!C1153</f>
        <v>acre</v>
      </c>
      <c r="I102" s="756" t="e">
        <f>BASEBUDGETS!F1153/BASEBUDGETS!C998</f>
        <v>#DIV/0!</v>
      </c>
      <c r="J102" s="756" t="e">
        <f t="shared" si="6"/>
        <v>#DIV/0!</v>
      </c>
    </row>
    <row r="103" spans="2:10" ht="21">
      <c r="B103" s="794" t="s">
        <v>484</v>
      </c>
      <c r="C103" s="794"/>
      <c r="D103" s="794"/>
      <c r="E103" s="756"/>
      <c r="F103" s="756"/>
      <c r="G103" s="756"/>
      <c r="H103" s="770" t="s">
        <v>157</v>
      </c>
      <c r="I103" s="756">
        <f>IF('AcresYieldsPrices&amp;Water'!D9=0,0,((Fallow!L17*'AcresYieldsPrices&amp;Water'!T14)/'AcresYieldsPrices&amp;Water'!D8)*-1)</f>
        <v>0</v>
      </c>
      <c r="J103" s="765">
        <f>I103</f>
        <v>0</v>
      </c>
    </row>
    <row r="104" spans="2:10" ht="21">
      <c r="B104" s="760" t="str">
        <f>BASEBUDGETS!B1151</f>
        <v>Annual Cash Rent Payment</v>
      </c>
      <c r="C104" s="760"/>
      <c r="D104" s="760"/>
      <c r="E104" s="760"/>
      <c r="F104" s="760"/>
      <c r="H104" s="770" t="str">
        <f>BASEBUDGETS!C1151</f>
        <v>acre</v>
      </c>
      <c r="I104" s="756" t="e">
        <f>BASEBUDGETS!F1151/BASEBUDGETS!C998</f>
        <v>#DIV/0!</v>
      </c>
      <c r="J104" s="784" t="e">
        <f t="shared" si="6"/>
        <v>#DIV/0!</v>
      </c>
    </row>
    <row r="105" spans="2:10" ht="21">
      <c r="B105" s="760" t="s">
        <v>79</v>
      </c>
      <c r="C105" s="760"/>
      <c r="D105" s="760"/>
      <c r="E105" s="760"/>
      <c r="F105" s="760"/>
      <c r="G105" s="756"/>
      <c r="H105" s="756"/>
      <c r="I105" s="756"/>
      <c r="J105" s="765" t="e">
        <f>SUM(J99:J104)</f>
        <v>#DIV/0!</v>
      </c>
    </row>
    <row r="106" spans="2:10">
      <c r="J106" s="786"/>
    </row>
    <row r="107" spans="2:10" ht="21">
      <c r="B107" s="787" t="s">
        <v>154</v>
      </c>
      <c r="C107" s="787"/>
      <c r="D107" s="788"/>
      <c r="E107" s="789"/>
      <c r="F107" s="790"/>
      <c r="G107" s="791"/>
      <c r="H107" s="792" t="s">
        <v>1</v>
      </c>
      <c r="I107" s="767" t="s">
        <v>24</v>
      </c>
      <c r="J107" s="767" t="s">
        <v>0</v>
      </c>
    </row>
    <row r="108" spans="2:10" ht="21">
      <c r="B108" s="760" t="s">
        <v>534</v>
      </c>
      <c r="C108" s="760"/>
      <c r="D108" s="760"/>
      <c r="E108" s="760"/>
      <c r="F108" s="760"/>
      <c r="G108" s="760"/>
      <c r="H108" s="770" t="s">
        <v>157</v>
      </c>
      <c r="I108" s="660" t="e">
        <f>SUM(BASEBUDGETS!F1117:F1119)/BASEBUDGETS!C998</f>
        <v>#DIV/0!</v>
      </c>
      <c r="J108" s="765" t="e">
        <f>I108</f>
        <v>#DIV/0!</v>
      </c>
    </row>
    <row r="109" spans="2:10" ht="21">
      <c r="B109" s="794" t="s">
        <v>156</v>
      </c>
      <c r="C109" s="794"/>
      <c r="D109" s="794"/>
      <c r="E109" s="794"/>
      <c r="F109" s="794"/>
      <c r="G109" s="756"/>
      <c r="H109" s="770" t="str">
        <f>BASEBUDGETS!C1117</f>
        <v>acre</v>
      </c>
      <c r="I109" s="758" t="e">
        <f>SUM(BASEBUDGETS!F1120:F1147)/BASEBUDGETS!C998</f>
        <v>#DIV/0!</v>
      </c>
      <c r="J109" s="797" t="e">
        <f>I109</f>
        <v>#DIV/0!</v>
      </c>
    </row>
    <row r="110" spans="2:10" ht="21">
      <c r="B110" s="807" t="s">
        <v>77</v>
      </c>
      <c r="C110" s="807"/>
      <c r="D110" s="807"/>
      <c r="E110" s="807"/>
      <c r="F110" s="807"/>
      <c r="G110" s="756"/>
      <c r="H110" s="756"/>
      <c r="I110" s="756"/>
      <c r="J110" s="678" t="e">
        <f>J109+J108</f>
        <v>#DIV/0!</v>
      </c>
    </row>
    <row r="111" spans="2:10" ht="21">
      <c r="B111" s="660"/>
      <c r="C111" s="660"/>
      <c r="D111" s="765"/>
      <c r="E111" s="758"/>
      <c r="F111" s="660"/>
      <c r="G111" s="756"/>
      <c r="H111" s="756"/>
      <c r="I111" s="756"/>
      <c r="J111" s="765"/>
    </row>
    <row r="112" spans="2:10" ht="20.399999999999999">
      <c r="B112" s="808" t="s">
        <v>63</v>
      </c>
      <c r="C112" s="808"/>
      <c r="D112" s="808"/>
      <c r="E112" s="808"/>
      <c r="F112" s="808"/>
      <c r="G112" s="764"/>
      <c r="H112" s="764"/>
      <c r="I112" s="764"/>
      <c r="J112" s="801">
        <f>IF(I4=0,0,J96+J105+J110)</f>
        <v>0</v>
      </c>
    </row>
    <row r="113" spans="2:10" ht="20.399999999999999">
      <c r="B113" s="805" t="s">
        <v>64</v>
      </c>
      <c r="C113" s="805"/>
      <c r="D113" s="805"/>
      <c r="E113" s="805"/>
      <c r="F113" s="805"/>
      <c r="G113" s="805"/>
      <c r="H113" s="803"/>
      <c r="I113" s="803"/>
      <c r="J113" s="788">
        <f>J5-J112</f>
        <v>0</v>
      </c>
    </row>
  </sheetData>
  <sheetProtection algorithmName="SHA-512" hashValue="JV/vd8XfmEVp6QWBWeobG3RcDzvt5t2m7aUmI+7GrAUji65ARR1iXCZx1grE2oNIHDLh2AzHfV/a1OpASAPyqg==" saltValue="w/p85cHDeg7ptZ8qmQi7Eg==" spinCount="100000" sheet="1" objects="1" scenarios="1"/>
  <mergeCells count="22">
    <mergeCell ref="B96:E96"/>
    <mergeCell ref="B98:F98"/>
    <mergeCell ref="B99:F99"/>
    <mergeCell ref="B100:F100"/>
    <mergeCell ref="G2:I2"/>
    <mergeCell ref="B4:E4"/>
    <mergeCell ref="B2:F2"/>
    <mergeCell ref="B76:C76"/>
    <mergeCell ref="B93:C93"/>
    <mergeCell ref="B3:C3"/>
    <mergeCell ref="B8:C8"/>
    <mergeCell ref="B31:C31"/>
    <mergeCell ref="B110:F110"/>
    <mergeCell ref="B112:F112"/>
    <mergeCell ref="B113:G113"/>
    <mergeCell ref="B101:F101"/>
    <mergeCell ref="B102:F102"/>
    <mergeCell ref="B104:F104"/>
    <mergeCell ref="B105:F105"/>
    <mergeCell ref="B109:F109"/>
    <mergeCell ref="B103:D103"/>
    <mergeCell ref="B108:G108"/>
  </mergeCells>
  <pageMargins left="0.7" right="0.7" top="0.75" bottom="0.75" header="0.3" footer="0.3"/>
  <pageSetup scale="58" fitToHeight="2" orientation="portrait" horizontalDpi="0" verticalDpi="0"/>
  <ignoredErrors>
    <ignoredError sqref="B5:J5 F9:F17 B18:C27 G2 B9:C17 D18:D27 D9:D17 D62 D77:D79 D52 D37 D40:D41 D32:D33 C28:D28 B4 F4:J4 C66:D73 F66:F73" unlockedFormula="1"/>
    <ignoredError sqref="K94:K95 G55:J61 G45:J51 E55:E61 G96:J96 E93:K93 E45:E51 B97:J97 I94 B109:G113 G104 B54:C54 B29:B30 B44 I53 B35:B36 B96:F96 B98:J98 E54:H54 G99:G102 K77:K90 B105:G107 G64:H64 E65" evalError="1"/>
    <ignoredError sqref="E9:E17 G9:J17 B76:C76 E74:J82 C35:C36 B38:B43 B31:C31 C29:C30 F45:F52 F55:F62 B104:F104 B93:D95 J52:J54 E38:H44 J94 E94:H94 E53:H53 G62:J62 E62 G52:H52 E52 H104:J107 E95:J95 E32:H33 B32:C34 C40:C44 B45:C53 B74:C75 B77:C82 D34:H36 D29:J31 D53:D61 C38:D39 D42:D51 D80:D82 D74:D76 H99:J102 B99:F102 I103:J103 B83:J92 E18:J28 I32:J44 B55:C65 D63:J63 D65 F65:J65 G67:J73 B67:B73 D64:F64 H111:J113 H109 I109:J109 I108:J108 I64:J64 E66:E73 H110:J110" evalError="1" unlockedFormula="1"/>
  </ignoredError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FF68-A5A7-A74F-8AA4-CC5D2B551D59}">
  <sheetPr codeName="Sheet2">
    <pageSetUpPr fitToPage="1"/>
  </sheetPr>
  <dimension ref="A1:AE99"/>
  <sheetViews>
    <sheetView zoomScaleNormal="100" workbookViewId="0">
      <selection activeCell="C7" sqref="C7"/>
    </sheetView>
  </sheetViews>
  <sheetFormatPr defaultColWidth="11.44140625" defaultRowHeight="14.4"/>
  <cols>
    <col min="1" max="1" width="3.109375" customWidth="1"/>
    <col min="2" max="2" width="15.88671875" customWidth="1"/>
    <col min="3" max="3" width="11.88671875" customWidth="1"/>
    <col min="4" max="4" width="10.88671875" customWidth="1"/>
    <col min="6" max="7" width="10.88671875" customWidth="1"/>
    <col min="9" max="9" width="2.88671875" customWidth="1"/>
    <col min="10" max="10" width="15.88671875" customWidth="1"/>
    <col min="11" max="11" width="12.33203125" customWidth="1"/>
    <col min="12" max="16" width="10.88671875" customWidth="1"/>
    <col min="17" max="17" width="2.88671875" customWidth="1"/>
    <col min="18" max="18" width="15.88671875" customWidth="1"/>
    <col min="19" max="19" width="11.88671875" customWidth="1"/>
    <col min="22" max="22" width="10.88671875" customWidth="1"/>
    <col min="24" max="24" width="11.44140625" customWidth="1"/>
    <col min="25" max="25" width="7" style="2" customWidth="1"/>
  </cols>
  <sheetData>
    <row r="1" spans="1:31" ht="6.9" customHeight="1">
      <c r="A1" s="2"/>
      <c r="B1" s="2"/>
      <c r="C1" s="2"/>
      <c r="D1" s="2"/>
      <c r="E1" s="2"/>
      <c r="F1" s="2"/>
      <c r="G1" s="2"/>
      <c r="H1" s="2"/>
      <c r="I1" s="2"/>
      <c r="J1" s="2"/>
      <c r="K1" s="2"/>
      <c r="L1" s="2"/>
      <c r="M1" s="2"/>
      <c r="N1" s="2"/>
      <c r="O1" s="2"/>
      <c r="P1" s="2"/>
      <c r="Q1" s="2"/>
      <c r="R1" s="2"/>
      <c r="S1" s="2"/>
      <c r="T1" s="2"/>
      <c r="U1" s="2"/>
      <c r="V1" s="2"/>
      <c r="W1" s="2"/>
      <c r="X1" s="2"/>
      <c r="Z1" s="2"/>
    </row>
    <row r="2" spans="1:31" ht="21">
      <c r="A2" s="2"/>
      <c r="B2" s="2"/>
      <c r="C2" s="2"/>
      <c r="D2" s="2"/>
      <c r="E2" s="2"/>
      <c r="F2" s="2"/>
      <c r="G2" s="2"/>
      <c r="H2" s="2"/>
      <c r="I2" s="2"/>
      <c r="J2" s="487" t="s">
        <v>499</v>
      </c>
      <c r="K2" s="487"/>
      <c r="L2" s="487"/>
      <c r="M2" s="487"/>
      <c r="N2" s="487"/>
      <c r="O2" s="151">
        <f>'AcresYieldsPrices&amp;Water'!C5</f>
        <v>0.5</v>
      </c>
      <c r="P2" s="2"/>
      <c r="Q2" s="2"/>
      <c r="R2" s="487" t="s">
        <v>520</v>
      </c>
      <c r="S2" s="487"/>
      <c r="T2" s="487"/>
      <c r="U2" s="487"/>
      <c r="V2" s="487"/>
      <c r="W2" s="487"/>
      <c r="X2" s="151">
        <f>'AcresYieldsPrices&amp;Water'!C4</f>
        <v>0.5</v>
      </c>
      <c r="Z2" s="2"/>
      <c r="AA2" s="2"/>
      <c r="AB2" s="2"/>
      <c r="AC2" s="2"/>
      <c r="AD2" s="2"/>
      <c r="AE2" s="2"/>
    </row>
    <row r="3" spans="1:31" ht="21" customHeight="1">
      <c r="A3" s="2"/>
      <c r="B3" s="487" t="s">
        <v>410</v>
      </c>
      <c r="C3" s="487"/>
      <c r="D3" s="487"/>
      <c r="E3" s="487"/>
      <c r="F3" s="487"/>
      <c r="G3" s="487"/>
      <c r="H3" s="151">
        <f>'AcresYieldsPrices&amp;Water'!C4</f>
        <v>0.5</v>
      </c>
      <c r="I3" s="2"/>
      <c r="J3" s="496" t="s">
        <v>517</v>
      </c>
      <c r="K3" s="496"/>
      <c r="L3" s="496"/>
      <c r="M3" s="496"/>
      <c r="N3" s="496"/>
      <c r="O3" s="496"/>
      <c r="P3" s="496"/>
      <c r="Q3" s="2"/>
      <c r="R3" s="17" t="s">
        <v>412</v>
      </c>
      <c r="S3" s="63">
        <f>'AcresYieldsPrices&amp;Water'!C5</f>
        <v>0.5</v>
      </c>
      <c r="T3" s="498" t="s">
        <v>501</v>
      </c>
      <c r="U3" s="498"/>
      <c r="V3" s="498"/>
      <c r="W3" s="499" t="str">
        <f>'AcresYieldsPrices&amp;Water'!B5</f>
        <v>Guar</v>
      </c>
      <c r="X3" s="499"/>
      <c r="Z3" s="2"/>
      <c r="AA3" s="2"/>
      <c r="AB3" s="2"/>
      <c r="AC3" s="2"/>
      <c r="AD3" s="2"/>
      <c r="AE3" s="2"/>
    </row>
    <row r="4" spans="1:31" ht="21.6" thickBot="1">
      <c r="A4" s="2"/>
      <c r="B4" s="486" t="s">
        <v>411</v>
      </c>
      <c r="C4" s="486"/>
      <c r="D4" s="486"/>
      <c r="E4" s="486"/>
      <c r="F4" s="486"/>
      <c r="G4" s="486"/>
      <c r="H4" s="486"/>
      <c r="I4" s="2"/>
      <c r="J4" s="497"/>
      <c r="K4" s="497"/>
      <c r="L4" s="497"/>
      <c r="M4" s="497"/>
      <c r="N4" s="497"/>
      <c r="O4" s="497"/>
      <c r="P4" s="497"/>
      <c r="Q4" s="2"/>
      <c r="R4" s="495" t="s">
        <v>518</v>
      </c>
      <c r="S4" s="495"/>
      <c r="T4" s="495"/>
      <c r="U4" s="495"/>
      <c r="V4" s="495"/>
      <c r="W4" s="495"/>
      <c r="X4" s="495"/>
      <c r="AB4" s="2"/>
      <c r="AC4" s="2"/>
      <c r="AD4" s="2"/>
      <c r="AE4" s="2"/>
    </row>
    <row r="5" spans="1:31" ht="27.9" customHeight="1" thickBot="1">
      <c r="A5" s="2"/>
      <c r="B5" s="488" t="s">
        <v>254</v>
      </c>
      <c r="C5" s="490" t="s">
        <v>516</v>
      </c>
      <c r="D5" s="492" t="s">
        <v>498</v>
      </c>
      <c r="E5" s="492"/>
      <c r="F5" s="492"/>
      <c r="G5" s="492"/>
      <c r="H5" s="493"/>
      <c r="I5" s="2"/>
      <c r="J5" s="488" t="s">
        <v>254</v>
      </c>
      <c r="K5" s="490" t="s">
        <v>516</v>
      </c>
      <c r="L5" s="507" t="str">
        <f>'AcresYieldsPrices&amp;Water'!B5</f>
        <v>Guar</v>
      </c>
      <c r="M5" s="508"/>
      <c r="N5" s="472" t="s">
        <v>500</v>
      </c>
      <c r="O5" s="492" t="str">
        <f>'AcresYieldsPrices&amp;Water'!L6</f>
        <v>pound</v>
      </c>
      <c r="P5" s="493"/>
      <c r="Q5" s="2"/>
      <c r="R5" s="505" t="s">
        <v>254</v>
      </c>
      <c r="S5" s="503" t="s">
        <v>73</v>
      </c>
      <c r="T5" s="500" t="s">
        <v>436</v>
      </c>
      <c r="U5" s="501"/>
      <c r="V5" s="501"/>
      <c r="W5" s="501"/>
      <c r="X5" s="502"/>
      <c r="AB5" s="2"/>
      <c r="AC5" s="2"/>
      <c r="AD5" s="2"/>
      <c r="AE5" s="2"/>
    </row>
    <row r="6" spans="1:31" ht="27.9" customHeight="1" thickBot="1">
      <c r="A6" s="2"/>
      <c r="B6" s="489"/>
      <c r="C6" s="491"/>
      <c r="D6" s="408">
        <f>E6-0.02</f>
        <v>3.9999999999999994E-2</v>
      </c>
      <c r="E6" s="408">
        <f>F6-0.02</f>
        <v>0.06</v>
      </c>
      <c r="F6" s="319">
        <f>'AcresYieldsPrices&amp;Water'!M4</f>
        <v>0.08</v>
      </c>
      <c r="G6" s="408">
        <f>F6+0.02</f>
        <v>0.1</v>
      </c>
      <c r="H6" s="409">
        <f>G6+0.02</f>
        <v>0.12000000000000001</v>
      </c>
      <c r="I6" s="2"/>
      <c r="J6" s="489"/>
      <c r="K6" s="491"/>
      <c r="L6" s="410">
        <f>M6-0.05</f>
        <v>0.15000000000000002</v>
      </c>
      <c r="M6" s="410">
        <f>N6-0.05</f>
        <v>0.2</v>
      </c>
      <c r="N6" s="61">
        <f>'AcresYieldsPrices&amp;Water'!M6</f>
        <v>0.25</v>
      </c>
      <c r="O6" s="410">
        <f>N6+0.05</f>
        <v>0.3</v>
      </c>
      <c r="P6" s="411">
        <f>O6+0.05</f>
        <v>0.35</v>
      </c>
      <c r="Q6" s="2"/>
      <c r="R6" s="506"/>
      <c r="S6" s="504"/>
      <c r="T6" s="407" t="s">
        <v>84</v>
      </c>
      <c r="U6" s="359" t="s">
        <v>83</v>
      </c>
      <c r="V6" s="360" t="s">
        <v>80</v>
      </c>
      <c r="W6" s="359" t="s">
        <v>81</v>
      </c>
      <c r="X6" s="361" t="s">
        <v>82</v>
      </c>
      <c r="AB6" s="2"/>
      <c r="AC6" s="2"/>
      <c r="AD6" s="2"/>
      <c r="AE6" s="2"/>
    </row>
    <row r="7" spans="1:31" ht="21">
      <c r="A7" s="2"/>
      <c r="B7" s="3"/>
      <c r="C7" s="427">
        <f>C8-1000</f>
        <v>19000</v>
      </c>
      <c r="D7" s="412">
        <f>IF('AcresYieldsPrices&amp;Water'!$D$4=0,0,((D$6*($C7*3)/6)-BASEBUDGETS!$H$6))</f>
        <v>-334.72325928503921</v>
      </c>
      <c r="E7" s="412">
        <f>IF('AcresYieldsPrices&amp;Water'!$D$4=0,0,((E$6*($C7*3)/6)-BASEBUDGETS!$H$6))</f>
        <v>-144.72325928503915</v>
      </c>
      <c r="F7" s="412">
        <f>IF('AcresYieldsPrices&amp;Water'!$D$4=0,0,((F$6*($C7*3)/6)-BASEBUDGETS!$H$6))</f>
        <v>45.276740714960852</v>
      </c>
      <c r="G7" s="412">
        <f>IF('AcresYieldsPrices&amp;Water'!$D$4=0,0,((G$6*($C7*3)/6)-BASEBUDGETS!$H$6))</f>
        <v>235.27674071496085</v>
      </c>
      <c r="H7" s="426">
        <f>IF('AcresYieldsPrices&amp;Water'!$D$4=0,0,((H$6*($C7*3)/6)-BASEBUDGETS!$H$6))</f>
        <v>425.27674071496108</v>
      </c>
      <c r="I7" s="2"/>
      <c r="J7" s="144"/>
      <c r="K7" s="427">
        <f>K8-100</f>
        <v>1100</v>
      </c>
      <c r="L7" s="412">
        <f>IF('AcresYieldsPrices&amp;Water'!$D$5=0,0,(L$6*$K7)-(BASEBUDGETS!$F$181/'AcresYieldsPrices&amp;Water'!$D$5))</f>
        <v>-587.49980552985369</v>
      </c>
      <c r="M7" s="412">
        <f>IF('AcresYieldsPrices&amp;Water'!$D$5=0,0,(M$6*$K7)-(BASEBUDGETS!$F$181/'AcresYieldsPrices&amp;Water'!$D$5))</f>
        <v>-532.49980552985369</v>
      </c>
      <c r="N7" s="412">
        <f>IF('AcresYieldsPrices&amp;Water'!$D$5=0,0,(N$6*$K7)-(BASEBUDGETS!$F$181/'AcresYieldsPrices&amp;Water'!$D$5))</f>
        <v>-477.49980552985369</v>
      </c>
      <c r="O7" s="412">
        <f>IF('AcresYieldsPrices&amp;Water'!$D$5=0,0,(O$6*$K7)-(BASEBUDGETS!$F$181/'AcresYieldsPrices&amp;Water'!$D$5))</f>
        <v>-422.49980552985369</v>
      </c>
      <c r="P7" s="413">
        <f>IF('AcresYieldsPrices&amp;Water'!$D$5=0,0,(P$6*$K7)-(BASEBUDGETS!$F$181/'AcresYieldsPrices&amp;Water'!$D$5))</f>
        <v>-367.49980552985369</v>
      </c>
      <c r="Q7" s="2"/>
      <c r="R7" s="362"/>
      <c r="S7" s="363" t="s">
        <v>86</v>
      </c>
      <c r="T7" s="364">
        <f>((D7*'AcresYieldsPrices&amp;Water'!$D$4)+(L7*'AcresYieldsPrices&amp;Water'!$D$5)+BASEBUDGETS!$C$20)/'AcresYieldsPrices&amp;Water'!$D$21</f>
        <v>-461.11153240744648</v>
      </c>
      <c r="U7" s="364">
        <f>((E7*'AcresYieldsPrices&amp;Water'!$D$4)+(M7*'AcresYieldsPrices&amp;Water'!$D$5)+BASEBUDGETS!$C$20)/'AcresYieldsPrices&amp;Water'!$D$21</f>
        <v>-338.61153240744648</v>
      </c>
      <c r="V7" s="364">
        <f>((F7*'AcresYieldsPrices&amp;Water'!$D$4)+(N7*'AcresYieldsPrices&amp;Water'!$D$5)+BASEBUDGETS!$C$20)/'AcresYieldsPrices&amp;Water'!$D$21</f>
        <v>-216.11153240744642</v>
      </c>
      <c r="W7" s="364">
        <f>((G7*'AcresYieldsPrices&amp;Water'!$D$4)+(O7*'AcresYieldsPrices&amp;Water'!$D$5)+BASEBUDGETS!$C$20)/'AcresYieldsPrices&amp;Water'!$D$21</f>
        <v>-93.611532407446404</v>
      </c>
      <c r="X7" s="365">
        <f>((H7*'AcresYieldsPrices&amp;Water'!$D$4)+(P7*'AcresYieldsPrices&amp;Water'!$D$5)+BASEBUDGETS!$C$20)/'AcresYieldsPrices&amp;Water'!$D$21</f>
        <v>28.888467592553717</v>
      </c>
      <c r="AB7" s="2"/>
      <c r="AC7" s="2"/>
      <c r="AD7" s="2"/>
      <c r="AE7" s="2"/>
    </row>
    <row r="8" spans="1:31" ht="21">
      <c r="A8" s="2"/>
      <c r="B8" s="3"/>
      <c r="C8" s="428">
        <f>C9-1000</f>
        <v>20000</v>
      </c>
      <c r="D8" s="414">
        <f>IF('AcresYieldsPrices&amp;Water'!$D$4=0,0,((D$6*($C8*3)/6)-BASEBUDGETS!$H$6))</f>
        <v>-314.72325928503921</v>
      </c>
      <c r="E8" s="414">
        <f>IF('AcresYieldsPrices&amp;Water'!$D$4=0,0,((E$6*($C8*3)/6)-BASEBUDGETS!$H$6))</f>
        <v>-114.72325928503915</v>
      </c>
      <c r="F8" s="414">
        <f>IF('AcresYieldsPrices&amp;Water'!$D$4=0,0,((F$6*($C8*3)/6)-BASEBUDGETS!$H$6))</f>
        <v>85.276740714960852</v>
      </c>
      <c r="G8" s="414">
        <f>IF('AcresYieldsPrices&amp;Water'!$D$4=0,0,((G$6*($C8*3)/6)-BASEBUDGETS!$H$6))</f>
        <v>285.27674071496085</v>
      </c>
      <c r="H8" s="415">
        <f>IF('AcresYieldsPrices&amp;Water'!$D$4=0,0,((H$6*($C8*3)/6)-BASEBUDGETS!$H$6))</f>
        <v>485.27674071496108</v>
      </c>
      <c r="I8" s="2"/>
      <c r="J8" s="3"/>
      <c r="K8" s="428">
        <f>K9-100</f>
        <v>1200</v>
      </c>
      <c r="L8" s="414">
        <f>IF('AcresYieldsPrices&amp;Water'!$D$5=0,0,(L$6*$K8)-(BASEBUDGETS!$F$181/'AcresYieldsPrices&amp;Water'!$D$5))</f>
        <v>-572.49980552985369</v>
      </c>
      <c r="M8" s="414">
        <f>IF('AcresYieldsPrices&amp;Water'!$D$5=0,0,(M$6*$K8)-(BASEBUDGETS!$F$181/'AcresYieldsPrices&amp;Water'!$D$5))</f>
        <v>-512.49980552985369</v>
      </c>
      <c r="N8" s="414">
        <f>IF('AcresYieldsPrices&amp;Water'!$D$5=0,0,(N$6*$K8)-(BASEBUDGETS!$F$181/'AcresYieldsPrices&amp;Water'!$D$5))</f>
        <v>-452.49980552985369</v>
      </c>
      <c r="O8" s="414">
        <f>IF('AcresYieldsPrices&amp;Water'!$D$5=0,0,(O$6*$K8)-(BASEBUDGETS!$F$181/'AcresYieldsPrices&amp;Water'!$D$5))</f>
        <v>-392.49980552985369</v>
      </c>
      <c r="P8" s="415">
        <f>IF('AcresYieldsPrices&amp;Water'!$D$5=0,0,(P$6*$K8)-(BASEBUDGETS!$F$181/'AcresYieldsPrices&amp;Water'!$D$5))</f>
        <v>-332.49980552985369</v>
      </c>
      <c r="Q8" s="2"/>
      <c r="R8" s="362"/>
      <c r="S8" s="363" t="s">
        <v>84</v>
      </c>
      <c r="T8" s="364">
        <f>((D8*'AcresYieldsPrices&amp;Water'!$D$4)+(L8*'AcresYieldsPrices&amp;Water'!$D$5)+BASEBUDGETS!$C$20)/'AcresYieldsPrices&amp;Water'!$D$21</f>
        <v>-443.61153240744648</v>
      </c>
      <c r="U8" s="364">
        <f>((E8*'AcresYieldsPrices&amp;Water'!$D$4)+(M8*'AcresYieldsPrices&amp;Water'!$D$5)+BASEBUDGETS!$C$20)/'AcresYieldsPrices&amp;Water'!$D$21</f>
        <v>-313.61153240744648</v>
      </c>
      <c r="V8" s="364">
        <f>((F8*'AcresYieldsPrices&amp;Water'!$D$4)+(N8*'AcresYieldsPrices&amp;Water'!$D$5)+BASEBUDGETS!$C$20)/'AcresYieldsPrices&amp;Water'!$D$21</f>
        <v>-183.61153240744642</v>
      </c>
      <c r="W8" s="364">
        <f>((G8*'AcresYieldsPrices&amp;Water'!$D$4)+(O8*'AcresYieldsPrices&amp;Water'!$D$5)+BASEBUDGETS!$C$20)/'AcresYieldsPrices&amp;Water'!$D$21</f>
        <v>-53.611532407446404</v>
      </c>
      <c r="X8" s="365">
        <f>((H8*'AcresYieldsPrices&amp;Water'!$D$4)+(P8*'AcresYieldsPrices&amp;Water'!$D$5)+BASEBUDGETS!$C$20)/'AcresYieldsPrices&amp;Water'!$D$21</f>
        <v>76.38846759255371</v>
      </c>
      <c r="Z8" s="263"/>
      <c r="AA8" s="263"/>
      <c r="AB8" s="2"/>
      <c r="AC8" s="2"/>
      <c r="AD8" s="2"/>
      <c r="AE8" s="2"/>
    </row>
    <row r="9" spans="1:31" ht="21">
      <c r="A9" s="2"/>
      <c r="B9" s="3"/>
      <c r="C9" s="428">
        <f>C10-1000</f>
        <v>21000</v>
      </c>
      <c r="D9" s="414">
        <f>IF('AcresYieldsPrices&amp;Water'!$D$4=0,0,((D$6*($C9*3)/6)-BASEBUDGETS!$H$6))</f>
        <v>-294.72325928503921</v>
      </c>
      <c r="E9" s="414">
        <f>IF('AcresYieldsPrices&amp;Water'!$D$4=0,0,((E$6*($C9*3)/6)-BASEBUDGETS!$H$6))</f>
        <v>-84.723259285039148</v>
      </c>
      <c r="F9" s="414">
        <f>IF('AcresYieldsPrices&amp;Water'!$D$4=0,0,((F$6*($C9*3)/6)-BASEBUDGETS!$H$6))</f>
        <v>125.27674071496085</v>
      </c>
      <c r="G9" s="414">
        <f>IF('AcresYieldsPrices&amp;Water'!$D$4=0,0,((G$6*($C9*3)/6)-BASEBUDGETS!$H$6))</f>
        <v>335.27674071496085</v>
      </c>
      <c r="H9" s="415">
        <f>IF('AcresYieldsPrices&amp;Water'!$D$4=0,0,((H$6*($C9*3)/6)-BASEBUDGETS!$H$6))</f>
        <v>545.27674071496108</v>
      </c>
      <c r="I9" s="2"/>
      <c r="J9" s="3"/>
      <c r="K9" s="428">
        <f>K10-100</f>
        <v>1300</v>
      </c>
      <c r="L9" s="414">
        <f>IF('AcresYieldsPrices&amp;Water'!$D$5=0,0,(L$6*$K9)-(BASEBUDGETS!$F$181/'AcresYieldsPrices&amp;Water'!$D$5))</f>
        <v>-557.49980552985369</v>
      </c>
      <c r="M9" s="414">
        <f>IF('AcresYieldsPrices&amp;Water'!$D$5=0,0,(M$6*$K9)-(BASEBUDGETS!$F$181/'AcresYieldsPrices&amp;Water'!$D$5))</f>
        <v>-492.49980552985369</v>
      </c>
      <c r="N9" s="414">
        <f>IF('AcresYieldsPrices&amp;Water'!$D$5=0,0,(N$6*$K9)-(BASEBUDGETS!$F$181/'AcresYieldsPrices&amp;Water'!$D$5))</f>
        <v>-427.49980552985369</v>
      </c>
      <c r="O9" s="414">
        <f>IF('AcresYieldsPrices&amp;Water'!$D$5=0,0,(O$6*$K9)-(BASEBUDGETS!$F$181/'AcresYieldsPrices&amp;Water'!$D$5))</f>
        <v>-362.49980552985369</v>
      </c>
      <c r="P9" s="415">
        <f>IF('AcresYieldsPrices&amp;Water'!$D$5=0,0,(P$6*$K9)-(BASEBUDGETS!$F$181/'AcresYieldsPrices&amp;Water'!$D$5))</f>
        <v>-297.49980552985375</v>
      </c>
      <c r="Q9" s="2"/>
      <c r="R9" s="362"/>
      <c r="S9" s="363" t="s">
        <v>83</v>
      </c>
      <c r="T9" s="364">
        <f>((D9*'AcresYieldsPrices&amp;Water'!$D$4)+(L9*'AcresYieldsPrices&amp;Water'!$D$5)+BASEBUDGETS!$C$20)/'AcresYieldsPrices&amp;Water'!$D$21</f>
        <v>-426.11153240744648</v>
      </c>
      <c r="U9" s="364">
        <f>((E9*'AcresYieldsPrices&amp;Water'!$D$4)+(M9*'AcresYieldsPrices&amp;Water'!$D$5)+BASEBUDGETS!$C$20)/'AcresYieldsPrices&amp;Water'!$D$21</f>
        <v>-288.61153240744648</v>
      </c>
      <c r="V9" s="364">
        <f>((F9*'AcresYieldsPrices&amp;Water'!$D$4)+(N9*'AcresYieldsPrices&amp;Water'!$D$5)+BASEBUDGETS!$C$20)/'AcresYieldsPrices&amp;Water'!$D$21</f>
        <v>-151.11153240744642</v>
      </c>
      <c r="W9" s="364">
        <f>((G9*'AcresYieldsPrices&amp;Water'!$D$4)+(O9*'AcresYieldsPrices&amp;Water'!$D$5)+BASEBUDGETS!$C$20)/'AcresYieldsPrices&amp;Water'!$D$21</f>
        <v>-13.611532407446406</v>
      </c>
      <c r="X9" s="365">
        <f>((H9*'AcresYieldsPrices&amp;Water'!$D$4)+(P9*'AcresYieldsPrices&amp;Water'!$D$5)+BASEBUDGETS!$C$20)/'AcresYieldsPrices&amp;Water'!$D$21</f>
        <v>123.88846759255367</v>
      </c>
      <c r="Z9" s="2"/>
      <c r="AA9" s="2"/>
      <c r="AB9" s="2"/>
      <c r="AC9" s="2"/>
      <c r="AD9" s="2"/>
      <c r="AE9" s="2"/>
    </row>
    <row r="10" spans="1:31" ht="21">
      <c r="A10" s="2"/>
      <c r="B10" s="187">
        <v>0</v>
      </c>
      <c r="C10" s="4">
        <f>'AcresYieldsPrices&amp;Water'!N4</f>
        <v>22000</v>
      </c>
      <c r="D10" s="414">
        <f>IF('AcresYieldsPrices&amp;Water'!$D$4=0,0,((D$6*($C10*3)/6)-BASEBUDGETS!$H$6))</f>
        <v>-274.72325928503921</v>
      </c>
      <c r="E10" s="414">
        <f>IF('AcresYieldsPrices&amp;Water'!$D$4=0,0,((E$6*($C10*3)/6)-BASEBUDGETS!$H$6))</f>
        <v>-54.723259285039148</v>
      </c>
      <c r="F10" s="414">
        <f>IF('AcresYieldsPrices&amp;Water'!$D$4=0,0,((F$6*($C10*3)/6)-BASEBUDGETS!$H$6))</f>
        <v>165.27674071496085</v>
      </c>
      <c r="G10" s="414">
        <f>IF('AcresYieldsPrices&amp;Water'!$D$4=0,0,((G$6*($C10*3)/6)-BASEBUDGETS!$H$6))</f>
        <v>385.27674071496085</v>
      </c>
      <c r="H10" s="415">
        <f>IF('AcresYieldsPrices&amp;Water'!$D$4=0,0,((H$6*($C10*3)/6)-BASEBUDGETS!$H$6))</f>
        <v>605.27674071496108</v>
      </c>
      <c r="I10" s="2"/>
      <c r="J10" s="187">
        <v>0</v>
      </c>
      <c r="K10" s="4">
        <f>'AcresYieldsPrices&amp;Water'!N6</f>
        <v>1400</v>
      </c>
      <c r="L10" s="414">
        <f>IF('AcresYieldsPrices&amp;Water'!$D$5=0,0,(L$6*$K10)-(BASEBUDGETS!$F$181/'AcresYieldsPrices&amp;Water'!$D$5))</f>
        <v>-542.49980552985369</v>
      </c>
      <c r="M10" s="414">
        <f>IF('AcresYieldsPrices&amp;Water'!$D$5=0,0,(M$6*$K10)-(BASEBUDGETS!$F$181/'AcresYieldsPrices&amp;Water'!$D$5))</f>
        <v>-472.49980552985369</v>
      </c>
      <c r="N10" s="414">
        <f>IF('AcresYieldsPrices&amp;Water'!$D$5=0,0,(N$6*$K10)-(BASEBUDGETS!$F$181/'AcresYieldsPrices&amp;Water'!$D$5))</f>
        <v>-402.49980552985369</v>
      </c>
      <c r="O10" s="414">
        <f>IF('AcresYieldsPrices&amp;Water'!$D$5=0,0,(O$6*$K10)-(BASEBUDGETS!$F$181/'AcresYieldsPrices&amp;Water'!$D$5))</f>
        <v>-332.49980552985369</v>
      </c>
      <c r="P10" s="415">
        <f>IF('AcresYieldsPrices&amp;Water'!$D$5=0,0,(P$6*$K10)-(BASEBUDGETS!$F$181/'AcresYieldsPrices&amp;Water'!$D$5))</f>
        <v>-262.49980552985375</v>
      </c>
      <c r="Q10" s="2"/>
      <c r="R10" s="366" t="s">
        <v>80</v>
      </c>
      <c r="S10" s="367" t="s">
        <v>80</v>
      </c>
      <c r="T10" s="364">
        <f>((D10*'AcresYieldsPrices&amp;Water'!$D$4)+(L10*'AcresYieldsPrices&amp;Water'!$D$5)+BASEBUDGETS!$C$20)/'AcresYieldsPrices&amp;Water'!$D$21</f>
        <v>-408.61153240744648</v>
      </c>
      <c r="U10" s="364">
        <f>((E10*'AcresYieldsPrices&amp;Water'!$D$4)+(M10*'AcresYieldsPrices&amp;Water'!$D$5)+BASEBUDGETS!$C$20)/'AcresYieldsPrices&amp;Water'!$D$21</f>
        <v>-263.61153240744648</v>
      </c>
      <c r="V10" s="364">
        <f>((F10*'AcresYieldsPrices&amp;Water'!$D$4)+(N10*'AcresYieldsPrices&amp;Water'!$D$5)+BASEBUDGETS!$C$20)/'AcresYieldsPrices&amp;Water'!$D$21</f>
        <v>-118.6115324074464</v>
      </c>
      <c r="W10" s="364">
        <f>((G10*'AcresYieldsPrices&amp;Water'!$D$4)+(O10*'AcresYieldsPrices&amp;Water'!$D$5)+BASEBUDGETS!$C$20)/'AcresYieldsPrices&amp;Water'!$D$21</f>
        <v>26.388467592553596</v>
      </c>
      <c r="X10" s="365">
        <f>((H10*'AcresYieldsPrices&amp;Water'!$D$4)+(P10*'AcresYieldsPrices&amp;Water'!$D$5)+BASEBUDGETS!$C$20)/'AcresYieldsPrices&amp;Water'!$D$21</f>
        <v>171.38846759255367</v>
      </c>
      <c r="Z10" s="2"/>
      <c r="AA10" s="2"/>
      <c r="AB10" s="2"/>
      <c r="AC10" s="2"/>
      <c r="AD10" s="2"/>
      <c r="AE10" s="2"/>
    </row>
    <row r="11" spans="1:31" ht="21">
      <c r="A11" s="2"/>
      <c r="B11" s="5"/>
      <c r="C11" s="428">
        <f>C10+1000</f>
        <v>23000</v>
      </c>
      <c r="D11" s="414">
        <f>IF('AcresYieldsPrices&amp;Water'!$D$4=0,0,((D$6*($C11*3)/6)-BASEBUDGETS!$H$6))</f>
        <v>-254.72325928503921</v>
      </c>
      <c r="E11" s="414">
        <f>IF('AcresYieldsPrices&amp;Water'!$D$4=0,0,((E$6*($C11*3)/6)-BASEBUDGETS!$H$6))</f>
        <v>-24.723259285039148</v>
      </c>
      <c r="F11" s="414">
        <f>IF('AcresYieldsPrices&amp;Water'!$D$4=0,0,((F$6*($C11*3)/6)-BASEBUDGETS!$H$6))</f>
        <v>205.27674071496085</v>
      </c>
      <c r="G11" s="414">
        <f>IF('AcresYieldsPrices&amp;Water'!$D$4=0,0,((G$6*($C11*3)/6)-BASEBUDGETS!$H$6))</f>
        <v>435.27674071496085</v>
      </c>
      <c r="H11" s="415">
        <f>IF('AcresYieldsPrices&amp;Water'!$D$4=0,0,((H$6*($C11*3)/6)-BASEBUDGETS!$H$6))</f>
        <v>665.27674071496085</v>
      </c>
      <c r="I11" s="2"/>
      <c r="J11" s="5"/>
      <c r="K11" s="428">
        <f>K10+100</f>
        <v>1500</v>
      </c>
      <c r="L11" s="414">
        <f>IF('AcresYieldsPrices&amp;Water'!$D$5=0,0,(L$6*$K11)-(BASEBUDGETS!$F$181/'AcresYieldsPrices&amp;Water'!$D$5))</f>
        <v>-527.49980552985369</v>
      </c>
      <c r="M11" s="414">
        <f>IF('AcresYieldsPrices&amp;Water'!$D$5=0,0,(M$6*$K11)-(BASEBUDGETS!$F$181/'AcresYieldsPrices&amp;Water'!$D$5))</f>
        <v>-452.49980552985369</v>
      </c>
      <c r="N11" s="414">
        <f>IF('AcresYieldsPrices&amp;Water'!$D$5=0,0,(N$6*$K11)-(BASEBUDGETS!$F$181/'AcresYieldsPrices&amp;Water'!$D$5))</f>
        <v>-377.49980552985369</v>
      </c>
      <c r="O11" s="414">
        <f>IF('AcresYieldsPrices&amp;Water'!$D$5=0,0,(O$6*$K11)-(BASEBUDGETS!$F$181/'AcresYieldsPrices&amp;Water'!$D$5))</f>
        <v>-302.49980552985369</v>
      </c>
      <c r="P11" s="415">
        <f>IF('AcresYieldsPrices&amp;Water'!$D$5=0,0,(P$6*$K11)-(BASEBUDGETS!$F$181/'AcresYieldsPrices&amp;Water'!$D$5))</f>
        <v>-227.49980552985369</v>
      </c>
      <c r="Q11" s="2"/>
      <c r="R11" s="368"/>
      <c r="S11" s="363" t="s">
        <v>81</v>
      </c>
      <c r="T11" s="364">
        <f>((D11*'AcresYieldsPrices&amp;Water'!$D$4)+(L11*'AcresYieldsPrices&amp;Water'!$D$5)+BASEBUDGETS!$C$20)/'AcresYieldsPrices&amp;Water'!$D$21</f>
        <v>-391.11153240744648</v>
      </c>
      <c r="U11" s="364">
        <f>((E11*'AcresYieldsPrices&amp;Water'!$D$4)+(M11*'AcresYieldsPrices&amp;Water'!$D$5)+BASEBUDGETS!$C$20)/'AcresYieldsPrices&amp;Water'!$D$21</f>
        <v>-238.61153240744645</v>
      </c>
      <c r="V11" s="364">
        <f>((F11*'AcresYieldsPrices&amp;Water'!$D$4)+(N11*'AcresYieldsPrices&amp;Water'!$D$5)+BASEBUDGETS!$C$20)/'AcresYieldsPrices&amp;Water'!$D$21</f>
        <v>-86.111532407446404</v>
      </c>
      <c r="W11" s="364">
        <f>((G11*'AcresYieldsPrices&amp;Water'!$D$4)+(O11*'AcresYieldsPrices&amp;Water'!$D$5)+BASEBUDGETS!$C$20)/'AcresYieldsPrices&amp;Water'!$D$21</f>
        <v>66.388467592553596</v>
      </c>
      <c r="X11" s="365">
        <f>((H11*'AcresYieldsPrices&amp;Water'!$D$4)+(P11*'AcresYieldsPrices&amp;Water'!$D$5)+BASEBUDGETS!$C$20)/'AcresYieldsPrices&amp;Water'!$D$21</f>
        <v>218.88846759255355</v>
      </c>
      <c r="Z11" s="2"/>
      <c r="AA11" s="2"/>
      <c r="AB11" s="2"/>
      <c r="AC11" s="2"/>
      <c r="AD11" s="2"/>
      <c r="AE11" s="2"/>
    </row>
    <row r="12" spans="1:31" ht="21">
      <c r="A12" s="2"/>
      <c r="B12" s="5"/>
      <c r="C12" s="428">
        <f>C11+1000</f>
        <v>24000</v>
      </c>
      <c r="D12" s="414">
        <f>IF('AcresYieldsPrices&amp;Water'!$D$4=0,0,((D$6*($C12*3)/6)-BASEBUDGETS!$H$6))</f>
        <v>-234.72325928503921</v>
      </c>
      <c r="E12" s="414">
        <f>IF('AcresYieldsPrices&amp;Water'!$D$4=0,0,((E$6*($C12*3)/6)-BASEBUDGETS!$H$6))</f>
        <v>5.2767407149608516</v>
      </c>
      <c r="F12" s="414">
        <f>IF('AcresYieldsPrices&amp;Water'!$D$4=0,0,((F$6*($C12*3)/6)-BASEBUDGETS!$H$6))</f>
        <v>245.27674071496085</v>
      </c>
      <c r="G12" s="414">
        <f>IF('AcresYieldsPrices&amp;Water'!$D$4=0,0,((G$6*($C12*3)/6)-BASEBUDGETS!$H$6))</f>
        <v>485.27674071496085</v>
      </c>
      <c r="H12" s="415">
        <f>IF('AcresYieldsPrices&amp;Water'!$D$4=0,0,((H$6*($C12*3)/6)-BASEBUDGETS!$H$6))</f>
        <v>725.27674071496085</v>
      </c>
      <c r="I12" s="2"/>
      <c r="J12" s="5"/>
      <c r="K12" s="428">
        <f>K11+100</f>
        <v>1600</v>
      </c>
      <c r="L12" s="414">
        <f>IF('AcresYieldsPrices&amp;Water'!$D$5=0,0,(L$6*$K12)-(BASEBUDGETS!$F$181/'AcresYieldsPrices&amp;Water'!$D$5))</f>
        <v>-512.49980552985369</v>
      </c>
      <c r="M12" s="414">
        <f>IF('AcresYieldsPrices&amp;Water'!$D$5=0,0,(M$6*$K12)-(BASEBUDGETS!$F$181/'AcresYieldsPrices&amp;Water'!$D$5))</f>
        <v>-432.49980552985369</v>
      </c>
      <c r="N12" s="414">
        <f>IF('AcresYieldsPrices&amp;Water'!$D$5=0,0,(N$6*$K12)-(BASEBUDGETS!$F$181/'AcresYieldsPrices&amp;Water'!$D$5))</f>
        <v>-352.49980552985369</v>
      </c>
      <c r="O12" s="414">
        <f>IF('AcresYieldsPrices&amp;Water'!$D$5=0,0,(O$6*$K12)-(BASEBUDGETS!$F$181/'AcresYieldsPrices&amp;Water'!$D$5))</f>
        <v>-272.49980552985369</v>
      </c>
      <c r="P12" s="415">
        <f>IF('AcresYieldsPrices&amp;Water'!$D$5=0,0,(P$6*$K12)-(BASEBUDGETS!$F$181/'AcresYieldsPrices&amp;Water'!$D$5))</f>
        <v>-192.49980552985369</v>
      </c>
      <c r="Q12" s="2"/>
      <c r="R12" s="368"/>
      <c r="S12" s="363" t="s">
        <v>82</v>
      </c>
      <c r="T12" s="364">
        <f>((D12*'AcresYieldsPrices&amp;Water'!$D$4)+(L12*'AcresYieldsPrices&amp;Water'!$D$5)+BASEBUDGETS!$C$20)/'AcresYieldsPrices&amp;Water'!$D$21</f>
        <v>-373.61153240744648</v>
      </c>
      <c r="U12" s="364">
        <f>((E12*'AcresYieldsPrices&amp;Water'!$D$4)+(M12*'AcresYieldsPrices&amp;Water'!$D$5)+BASEBUDGETS!$C$20)/'AcresYieldsPrices&amp;Water'!$D$21</f>
        <v>-213.61153240744642</v>
      </c>
      <c r="V12" s="364">
        <f>((F12*'AcresYieldsPrices&amp;Water'!$D$4)+(N12*'AcresYieldsPrices&amp;Water'!$D$5)+BASEBUDGETS!$C$20)/'AcresYieldsPrices&amp;Water'!$D$21</f>
        <v>-53.611532407446404</v>
      </c>
      <c r="W12" s="364">
        <f>((G12*'AcresYieldsPrices&amp;Water'!$D$4)+(O12*'AcresYieldsPrices&amp;Water'!$D$5)+BASEBUDGETS!$C$20)/'AcresYieldsPrices&amp;Water'!$D$21</f>
        <v>106.38846759255357</v>
      </c>
      <c r="X12" s="365">
        <f>((H12*'AcresYieldsPrices&amp;Water'!$D$4)+(P12*'AcresYieldsPrices&amp;Water'!$D$5)+BASEBUDGETS!$C$20)/'AcresYieldsPrices&amp;Water'!$D$21</f>
        <v>266.38846759255352</v>
      </c>
      <c r="Z12" s="2"/>
      <c r="AA12" s="2"/>
      <c r="AB12" s="2"/>
      <c r="AC12" s="2"/>
      <c r="AD12" s="2"/>
      <c r="AE12" s="2"/>
    </row>
    <row r="13" spans="1:31" ht="21">
      <c r="A13" s="2"/>
      <c r="B13" s="6"/>
      <c r="C13" s="429">
        <f>C12+1000</f>
        <v>25000</v>
      </c>
      <c r="D13" s="417">
        <f>IF('AcresYieldsPrices&amp;Water'!$D$4=0,0,((D$6*($C13*3)/6)-BASEBUDGETS!$H$6))</f>
        <v>-214.72325928503921</v>
      </c>
      <c r="E13" s="417">
        <f>IF('AcresYieldsPrices&amp;Water'!$D$4=0,0,((E$6*($C13*3)/6)-BASEBUDGETS!$H$6))</f>
        <v>35.276740714960852</v>
      </c>
      <c r="F13" s="417">
        <f>IF('AcresYieldsPrices&amp;Water'!$D$4=0,0,((F$6*($C13*3)/6)-BASEBUDGETS!$H$6))</f>
        <v>285.27674071496085</v>
      </c>
      <c r="G13" s="417">
        <f>IF('AcresYieldsPrices&amp;Water'!$D$4=0,0,((G$6*($C13*3)/6)-BASEBUDGETS!$H$6))</f>
        <v>535.27674071496085</v>
      </c>
      <c r="H13" s="418">
        <f>IF('AcresYieldsPrices&amp;Water'!$D$4=0,0,((H$6*($C13*3)/6)-BASEBUDGETS!$H$6))</f>
        <v>785.27674071496085</v>
      </c>
      <c r="I13" s="2"/>
      <c r="J13" s="6"/>
      <c r="K13" s="429">
        <f>K12+100</f>
        <v>1700</v>
      </c>
      <c r="L13" s="416">
        <f>IF('AcresYieldsPrices&amp;Water'!$D$5=0,0,(L$6*$K13)-(BASEBUDGETS!$F$181/'AcresYieldsPrices&amp;Water'!$D$5))</f>
        <v>-497.49980552985369</v>
      </c>
      <c r="M13" s="417">
        <f>IF('AcresYieldsPrices&amp;Water'!$D$5=0,0,(M$6*$K13)-(BASEBUDGETS!$F$181/'AcresYieldsPrices&amp;Water'!$D$5))</f>
        <v>-412.49980552985369</v>
      </c>
      <c r="N13" s="417">
        <f>IF('AcresYieldsPrices&amp;Water'!$D$5=0,0,(N$6*$K13)-(BASEBUDGETS!$F$181/'AcresYieldsPrices&amp;Water'!$D$5))</f>
        <v>-327.49980552985369</v>
      </c>
      <c r="O13" s="417">
        <f>IF('AcresYieldsPrices&amp;Water'!$D$5=0,0,(O$6*$K13)-(BASEBUDGETS!$F$181/'AcresYieldsPrices&amp;Water'!$D$5))</f>
        <v>-242.49980552985369</v>
      </c>
      <c r="P13" s="418">
        <f>IF('AcresYieldsPrices&amp;Water'!$D$5=0,0,(P$6*$K13)-(BASEBUDGETS!$F$181/'AcresYieldsPrices&amp;Water'!$D$5))</f>
        <v>-157.49980552985369</v>
      </c>
      <c r="Q13" s="2"/>
      <c r="R13" s="369"/>
      <c r="S13" s="370" t="s">
        <v>85</v>
      </c>
      <c r="T13" s="372">
        <f>((D13*'AcresYieldsPrices&amp;Water'!$D$4)+(L13*'AcresYieldsPrices&amp;Water'!$D$5)+BASEBUDGETS!$C$20)/'AcresYieldsPrices&amp;Water'!$D$21</f>
        <v>-356.11153240744648</v>
      </c>
      <c r="U13" s="372">
        <f>((E13*'AcresYieldsPrices&amp;Water'!$D$4)+(M13*'AcresYieldsPrices&amp;Water'!$D$5)+BASEBUDGETS!$C$20)/'AcresYieldsPrices&amp;Water'!$D$21</f>
        <v>-188.61153240744642</v>
      </c>
      <c r="V13" s="372">
        <f>((F13*'AcresYieldsPrices&amp;Water'!$D$4)+(N13*'AcresYieldsPrices&amp;Water'!$D$5)+BASEBUDGETS!$C$20)/'AcresYieldsPrices&amp;Water'!$D$21</f>
        <v>-21.111532407446404</v>
      </c>
      <c r="W13" s="372">
        <f>((G13*'AcresYieldsPrices&amp;Water'!$D$4)+(O13*'AcresYieldsPrices&amp;Water'!$D$5)+BASEBUDGETS!$C$20)/'AcresYieldsPrices&amp;Water'!$D$21</f>
        <v>146.38846759255358</v>
      </c>
      <c r="X13" s="373">
        <f>((H13*'AcresYieldsPrices&amp;Water'!$D$4)+(P13*'AcresYieldsPrices&amp;Water'!$D$5)+BASEBUDGETS!$C$20)/'AcresYieldsPrices&amp;Water'!$D$21</f>
        <v>313.88846759255352</v>
      </c>
      <c r="Z13" s="2"/>
      <c r="AA13" s="2"/>
      <c r="AB13" s="2"/>
      <c r="AC13" s="2"/>
      <c r="AD13" s="2"/>
      <c r="AE13" s="2"/>
    </row>
    <row r="14" spans="1:31" ht="21">
      <c r="A14" s="2"/>
      <c r="B14" s="5"/>
      <c r="C14" s="4">
        <f t="shared" ref="C14:C27" si="0">C7</f>
        <v>19000</v>
      </c>
      <c r="D14" s="412">
        <f>IF('AcresYieldsPrices&amp;Water'!$D$4=0,0,((D$6*($C14*3)/6)-BASEBUDGETS!$H$7))</f>
        <v>-406.1955852135431</v>
      </c>
      <c r="E14" s="412">
        <f>IF('AcresYieldsPrices&amp;Water'!$D$4=0,0,((E$6*($C14*3)/6)-BASEBUDGETS!$H$7))</f>
        <v>-216.19558521354304</v>
      </c>
      <c r="F14" s="412">
        <f>IF('AcresYieldsPrices&amp;Water'!$D$4=0,0,((F$6*($C14*3)/6)-BASEBUDGETS!$H$7))</f>
        <v>-26.19558521354304</v>
      </c>
      <c r="G14" s="412">
        <f>IF('AcresYieldsPrices&amp;Water'!$D$4=0,0,((G$6*($C14*3)/6)-BASEBUDGETS!$H$7))</f>
        <v>163.80441478645696</v>
      </c>
      <c r="H14" s="426">
        <f>IF('AcresYieldsPrices&amp;Water'!$D$4=0,0,((H$6*($C14*3)/6)-BASEBUDGETS!$H$7))</f>
        <v>353.80441478645719</v>
      </c>
      <c r="I14" s="2"/>
      <c r="J14" s="5"/>
      <c r="K14" s="4">
        <f t="shared" ref="K14:K27" si="1">K7</f>
        <v>1100</v>
      </c>
      <c r="L14" s="419">
        <f>IF('AcresYieldsPrices&amp;Water'!$D$5=0,0,(L$6*$K14)-(BASEBUDGETS!$G$181/'AcresYieldsPrices&amp;Water'!$D$5))</f>
        <v>-625.12479580634647</v>
      </c>
      <c r="M14" s="420">
        <f>IF('AcresYieldsPrices&amp;Water'!$D$5=0,0,(M$6*$K14)-(BASEBUDGETS!$G$181/'AcresYieldsPrices&amp;Water'!$D$5))</f>
        <v>-570.12479580634647</v>
      </c>
      <c r="N14" s="420">
        <f>IF('AcresYieldsPrices&amp;Water'!$D$5=0,0,(N$6*$K14)-(BASEBUDGETS!$G$181/'AcresYieldsPrices&amp;Water'!$D$5))</f>
        <v>-515.12479580634647</v>
      </c>
      <c r="O14" s="420">
        <f>IF('AcresYieldsPrices&amp;Water'!$D$5=0,0,(O$6*$K14)-(BASEBUDGETS!$G$181/'AcresYieldsPrices&amp;Water'!$D$5))</f>
        <v>-460.12479580634647</v>
      </c>
      <c r="P14" s="421">
        <f>IF('AcresYieldsPrices&amp;Water'!$D$5=0,0,(P$6*$K14)-(BASEBUDGETS!$G$181/'AcresYieldsPrices&amp;Water'!$D$5))</f>
        <v>-405.12479580634647</v>
      </c>
      <c r="Q14" s="2"/>
      <c r="R14" s="368"/>
      <c r="S14" s="363" t="str">
        <f t="shared" ref="S14:S27" si="2">S7</f>
        <v>Level -3</v>
      </c>
      <c r="T14" s="364">
        <f>((D14*'AcresYieldsPrices&amp;Water'!$D$4)+(L14*'AcresYieldsPrices&amp;Water'!$D$5)+BASEBUDGETS!$C$20)/'AcresYieldsPrices&amp;Water'!$D$21</f>
        <v>-515.66019050994475</v>
      </c>
      <c r="U14" s="364">
        <f>((E14*'AcresYieldsPrices&amp;Water'!$D$4)+(M14*'AcresYieldsPrices&amp;Water'!$D$5)+BASEBUDGETS!$C$20)/'AcresYieldsPrices&amp;Water'!$D$21</f>
        <v>-393.1601905099447</v>
      </c>
      <c r="V14" s="364">
        <f>((F14*'AcresYieldsPrices&amp;Water'!$D$4)+(N14*'AcresYieldsPrices&amp;Water'!$D$5)+BASEBUDGETS!$C$20)/'AcresYieldsPrices&amp;Water'!$D$21</f>
        <v>-270.6601905099447</v>
      </c>
      <c r="W14" s="364">
        <f>((G14*'AcresYieldsPrices&amp;Water'!$D$4)+(O14*'AcresYieldsPrices&amp;Water'!$D$5)+BASEBUDGETS!$C$20)/'AcresYieldsPrices&amp;Water'!$D$21</f>
        <v>-148.16019050994473</v>
      </c>
      <c r="X14" s="365">
        <f>((H14*'AcresYieldsPrices&amp;Water'!$D$4)+(P14*'AcresYieldsPrices&amp;Water'!$D$5)+BASEBUDGETS!$C$20)/'AcresYieldsPrices&amp;Water'!$D$21</f>
        <v>-25.660190509944634</v>
      </c>
      <c r="Z14" s="2"/>
      <c r="AA14" s="2"/>
      <c r="AB14" s="2"/>
      <c r="AC14" s="2"/>
      <c r="AD14" s="2"/>
      <c r="AE14" s="2"/>
    </row>
    <row r="15" spans="1:31" ht="21">
      <c r="A15" s="2"/>
      <c r="B15" s="5"/>
      <c r="C15" s="4">
        <f t="shared" si="0"/>
        <v>20000</v>
      </c>
      <c r="D15" s="414">
        <f>IF('AcresYieldsPrices&amp;Water'!$D$4=0,0,((D$6*($C15*3)/6)-BASEBUDGETS!$H$7))</f>
        <v>-386.1955852135431</v>
      </c>
      <c r="E15" s="414">
        <f>IF('AcresYieldsPrices&amp;Water'!$D$4=0,0,((E$6*($C15*3)/6)-BASEBUDGETS!$H$7))</f>
        <v>-186.19558521354304</v>
      </c>
      <c r="F15" s="414">
        <f>IF('AcresYieldsPrices&amp;Water'!$D$4=0,0,((F$6*($C15*3)/6)-BASEBUDGETS!$H$7))</f>
        <v>13.80441478645696</v>
      </c>
      <c r="G15" s="414">
        <f>IF('AcresYieldsPrices&amp;Water'!$D$4=0,0,((G$6*($C15*3)/6)-BASEBUDGETS!$H$7))</f>
        <v>213.80441478645696</v>
      </c>
      <c r="H15" s="415">
        <f>IF('AcresYieldsPrices&amp;Water'!$D$4=0,0,((H$6*($C15*3)/6)-BASEBUDGETS!$H$7))</f>
        <v>413.80441478645719</v>
      </c>
      <c r="I15" s="2"/>
      <c r="J15" s="5"/>
      <c r="K15" s="4">
        <f t="shared" si="1"/>
        <v>1200</v>
      </c>
      <c r="L15" s="422">
        <f>IF('AcresYieldsPrices&amp;Water'!$D$5=0,0,(L$6*$K15)-(BASEBUDGETS!$G$181/'AcresYieldsPrices&amp;Water'!$D$5))</f>
        <v>-610.12479580634647</v>
      </c>
      <c r="M15" s="414">
        <f>IF('AcresYieldsPrices&amp;Water'!$D$5=0,0,(M$6*$K15)-(BASEBUDGETS!$G$181/'AcresYieldsPrices&amp;Water'!$D$5))</f>
        <v>-550.12479580634647</v>
      </c>
      <c r="N15" s="414">
        <f>IF('AcresYieldsPrices&amp;Water'!$D$5=0,0,(N$6*$K15)-(BASEBUDGETS!$G$181/'AcresYieldsPrices&amp;Water'!$D$5))</f>
        <v>-490.12479580634647</v>
      </c>
      <c r="O15" s="414">
        <f>IF('AcresYieldsPrices&amp;Water'!$D$5=0,0,(O$6*$K15)-(BASEBUDGETS!$G$181/'AcresYieldsPrices&amp;Water'!$D$5))</f>
        <v>-430.12479580634647</v>
      </c>
      <c r="P15" s="415">
        <f>IF('AcresYieldsPrices&amp;Water'!$D$5=0,0,(P$6*$K15)-(BASEBUDGETS!$G$181/'AcresYieldsPrices&amp;Water'!$D$5))</f>
        <v>-370.12479580634647</v>
      </c>
      <c r="Q15" s="2"/>
      <c r="R15" s="368"/>
      <c r="S15" s="363" t="str">
        <f t="shared" si="2"/>
        <v>Level -2</v>
      </c>
      <c r="T15" s="364">
        <f>((D15*'AcresYieldsPrices&amp;Water'!$D$4)+(L15*'AcresYieldsPrices&amp;Water'!$D$5)+BASEBUDGETS!$C$20)/'AcresYieldsPrices&amp;Water'!$D$21</f>
        <v>-498.16019050994481</v>
      </c>
      <c r="U15" s="364">
        <f>((E15*'AcresYieldsPrices&amp;Water'!$D$4)+(M15*'AcresYieldsPrices&amp;Water'!$D$5)+BASEBUDGETS!$C$20)/'AcresYieldsPrices&amp;Water'!$D$21</f>
        <v>-368.1601905099447</v>
      </c>
      <c r="V15" s="364">
        <f>((F15*'AcresYieldsPrices&amp;Water'!$D$4)+(N15*'AcresYieldsPrices&amp;Water'!$D$5)+BASEBUDGETS!$C$20)/'AcresYieldsPrices&amp;Water'!$D$21</f>
        <v>-238.1601905099447</v>
      </c>
      <c r="W15" s="364">
        <f>((G15*'AcresYieldsPrices&amp;Water'!$D$4)+(O15*'AcresYieldsPrices&amp;Water'!$D$5)+BASEBUDGETS!$C$20)/'AcresYieldsPrices&amp;Water'!$D$21</f>
        <v>-108.16019050994475</v>
      </c>
      <c r="X15" s="365">
        <f>((H15*'AcresYieldsPrices&amp;Water'!$D$4)+(P15*'AcresYieldsPrices&amp;Water'!$D$5)+BASEBUDGETS!$C$20)/'AcresYieldsPrices&amp;Water'!$D$21</f>
        <v>21.839809490055366</v>
      </c>
      <c r="Z15" s="2"/>
      <c r="AA15" s="2"/>
      <c r="AB15" s="2"/>
      <c r="AC15" s="2"/>
      <c r="AD15" s="2"/>
      <c r="AE15" s="2"/>
    </row>
    <row r="16" spans="1:31" ht="21">
      <c r="A16" s="2"/>
      <c r="B16" s="5"/>
      <c r="C16" s="4">
        <f t="shared" si="0"/>
        <v>21000</v>
      </c>
      <c r="D16" s="414">
        <f>IF('AcresYieldsPrices&amp;Water'!$D$4=0,0,((D$6*($C16*3)/6)-BASEBUDGETS!$H$7))</f>
        <v>-366.1955852135431</v>
      </c>
      <c r="E16" s="414">
        <f>IF('AcresYieldsPrices&amp;Water'!$D$4=0,0,((E$6*($C16*3)/6)-BASEBUDGETS!$H$7))</f>
        <v>-156.19558521354304</v>
      </c>
      <c r="F16" s="414">
        <f>IF('AcresYieldsPrices&amp;Water'!$D$4=0,0,((F$6*($C16*3)/6)-BASEBUDGETS!$H$7))</f>
        <v>53.80441478645696</v>
      </c>
      <c r="G16" s="414">
        <f>IF('AcresYieldsPrices&amp;Water'!$D$4=0,0,((G$6*($C16*3)/6)-BASEBUDGETS!$H$7))</f>
        <v>263.80441478645696</v>
      </c>
      <c r="H16" s="415">
        <f>IF('AcresYieldsPrices&amp;Water'!$D$4=0,0,((H$6*($C16*3)/6)-BASEBUDGETS!$H$7))</f>
        <v>473.80441478645719</v>
      </c>
      <c r="I16" s="2"/>
      <c r="J16" s="5"/>
      <c r="K16" s="4">
        <f t="shared" si="1"/>
        <v>1300</v>
      </c>
      <c r="L16" s="422">
        <f>IF('AcresYieldsPrices&amp;Water'!$D$5=0,0,(L$6*$K16)-(BASEBUDGETS!$G$181/'AcresYieldsPrices&amp;Water'!$D$5))</f>
        <v>-595.12479580634647</v>
      </c>
      <c r="M16" s="414">
        <f>IF('AcresYieldsPrices&amp;Water'!$D$5=0,0,(M$6*$K16)-(BASEBUDGETS!$G$181/'AcresYieldsPrices&amp;Water'!$D$5))</f>
        <v>-530.12479580634647</v>
      </c>
      <c r="N16" s="414">
        <f>IF('AcresYieldsPrices&amp;Water'!$D$5=0,0,(N$6*$K16)-(BASEBUDGETS!$G$181/'AcresYieldsPrices&amp;Water'!$D$5))</f>
        <v>-465.12479580634647</v>
      </c>
      <c r="O16" s="414">
        <f>IF('AcresYieldsPrices&amp;Water'!$D$5=0,0,(O$6*$K16)-(BASEBUDGETS!$G$181/'AcresYieldsPrices&amp;Water'!$D$5))</f>
        <v>-400.12479580634647</v>
      </c>
      <c r="P16" s="415">
        <f>IF('AcresYieldsPrices&amp;Water'!$D$5=0,0,(P$6*$K16)-(BASEBUDGETS!$G$181/'AcresYieldsPrices&amp;Water'!$D$5))</f>
        <v>-335.12479580634653</v>
      </c>
      <c r="Q16" s="2"/>
      <c r="R16" s="368"/>
      <c r="S16" s="363" t="str">
        <f t="shared" si="2"/>
        <v>Level -1</v>
      </c>
      <c r="T16" s="364">
        <f>((D16*'AcresYieldsPrices&amp;Water'!$D$4)+(L16*'AcresYieldsPrices&amp;Water'!$D$5)+BASEBUDGETS!$C$20)/'AcresYieldsPrices&amp;Water'!$D$21</f>
        <v>-480.66019050994481</v>
      </c>
      <c r="U16" s="364">
        <f>((E16*'AcresYieldsPrices&amp;Water'!$D$4)+(M16*'AcresYieldsPrices&amp;Water'!$D$5)+BASEBUDGETS!$C$20)/'AcresYieldsPrices&amp;Water'!$D$21</f>
        <v>-343.1601905099447</v>
      </c>
      <c r="V16" s="364">
        <f>((F16*'AcresYieldsPrices&amp;Water'!$D$4)+(N16*'AcresYieldsPrices&amp;Water'!$D$5)+BASEBUDGETS!$C$20)/'AcresYieldsPrices&amp;Water'!$D$21</f>
        <v>-205.66019050994473</v>
      </c>
      <c r="W16" s="364">
        <f>((G16*'AcresYieldsPrices&amp;Water'!$D$4)+(O16*'AcresYieldsPrices&amp;Water'!$D$5)+BASEBUDGETS!$C$20)/'AcresYieldsPrices&amp;Water'!$D$21</f>
        <v>-68.160190509944755</v>
      </c>
      <c r="X16" s="365">
        <f>((H16*'AcresYieldsPrices&amp;Water'!$D$4)+(P16*'AcresYieldsPrices&amp;Water'!$D$5)+BASEBUDGETS!$C$20)/'AcresYieldsPrices&amp;Water'!$D$21</f>
        <v>69.339809490055345</v>
      </c>
      <c r="Z16" s="2"/>
      <c r="AA16" s="2"/>
      <c r="AB16" s="2"/>
      <c r="AC16" s="2"/>
      <c r="AD16" s="2"/>
      <c r="AE16" s="2"/>
    </row>
    <row r="17" spans="1:31" ht="21">
      <c r="A17" s="2"/>
      <c r="B17" s="278">
        <v>0.1</v>
      </c>
      <c r="C17" s="4">
        <f t="shared" si="0"/>
        <v>22000</v>
      </c>
      <c r="D17" s="414">
        <f>IF('AcresYieldsPrices&amp;Water'!$D$4=0,0,((D$6*($C17*3)/6)-BASEBUDGETS!$H$7))</f>
        <v>-346.1955852135431</v>
      </c>
      <c r="E17" s="414">
        <f>IF('AcresYieldsPrices&amp;Water'!$D$4=0,0,((E$6*($C17*3)/6)-BASEBUDGETS!$H$7))</f>
        <v>-126.19558521354304</v>
      </c>
      <c r="F17" s="414">
        <f>IF('AcresYieldsPrices&amp;Water'!$D$4=0,0,((F$6*($C17*3)/6)-BASEBUDGETS!$H$7))</f>
        <v>93.80441478645696</v>
      </c>
      <c r="G17" s="414">
        <f>IF('AcresYieldsPrices&amp;Water'!$D$4=0,0,((G$6*($C17*3)/6)-BASEBUDGETS!$H$7))</f>
        <v>313.80441478645696</v>
      </c>
      <c r="H17" s="415">
        <f>IF('AcresYieldsPrices&amp;Water'!$D$4=0,0,((H$6*($C17*3)/6)-BASEBUDGETS!$H$7))</f>
        <v>533.80441478645719</v>
      </c>
      <c r="I17" s="2"/>
      <c r="J17" s="278">
        <v>0.05</v>
      </c>
      <c r="K17" s="4">
        <f t="shared" si="1"/>
        <v>1400</v>
      </c>
      <c r="L17" s="422">
        <f>IF('AcresYieldsPrices&amp;Water'!$D$5=0,0,(L$6*$K17)-(BASEBUDGETS!$G$181/'AcresYieldsPrices&amp;Water'!$D$5))</f>
        <v>-580.12479580634647</v>
      </c>
      <c r="M17" s="414">
        <f>IF('AcresYieldsPrices&amp;Water'!$D$5=0,0,(M$6*$K17)-(BASEBUDGETS!$G$181/'AcresYieldsPrices&amp;Water'!$D$5))</f>
        <v>-510.12479580634647</v>
      </c>
      <c r="N17" s="414">
        <f>IF('AcresYieldsPrices&amp;Water'!$D$5=0,0,(N$6*$K17)-(BASEBUDGETS!$G$181/'AcresYieldsPrices&amp;Water'!$D$5))</f>
        <v>-440.12479580634647</v>
      </c>
      <c r="O17" s="414">
        <f>IF('AcresYieldsPrices&amp;Water'!$D$5=0,0,(O$6*$K17)-(BASEBUDGETS!$G$181/'AcresYieldsPrices&amp;Water'!$D$5))</f>
        <v>-370.12479580634647</v>
      </c>
      <c r="P17" s="415">
        <f>IF('AcresYieldsPrices&amp;Water'!$D$5=0,0,(P$6*$K17)-(BASEBUDGETS!$G$181/'AcresYieldsPrices&amp;Water'!$D$5))</f>
        <v>-300.12479580634653</v>
      </c>
      <c r="Q17" s="2"/>
      <c r="R17" s="374" t="s">
        <v>87</v>
      </c>
      <c r="S17" s="363" t="str">
        <f t="shared" si="2"/>
        <v>BASE</v>
      </c>
      <c r="T17" s="364">
        <f>((D17*'AcresYieldsPrices&amp;Water'!$D$4)+(L17*'AcresYieldsPrices&amp;Water'!$D$5)+BASEBUDGETS!$C$20)/'AcresYieldsPrices&amp;Water'!$D$21</f>
        <v>-463.16019050994481</v>
      </c>
      <c r="U17" s="364">
        <f>((E17*'AcresYieldsPrices&amp;Water'!$D$4)+(M17*'AcresYieldsPrices&amp;Water'!$D$5)+BASEBUDGETS!$C$20)/'AcresYieldsPrices&amp;Water'!$D$21</f>
        <v>-318.1601905099447</v>
      </c>
      <c r="V17" s="364">
        <f>((F17*'AcresYieldsPrices&amp;Water'!$D$4)+(N17*'AcresYieldsPrices&amp;Water'!$D$5)+BASEBUDGETS!$C$20)/'AcresYieldsPrices&amp;Water'!$D$21</f>
        <v>-173.16019050994473</v>
      </c>
      <c r="W17" s="364">
        <f>((G17*'AcresYieldsPrices&amp;Water'!$D$4)+(O17*'AcresYieldsPrices&amp;Water'!$D$5)+BASEBUDGETS!$C$20)/'AcresYieldsPrices&amp;Water'!$D$21</f>
        <v>-28.160190509944755</v>
      </c>
      <c r="X17" s="365">
        <f>((H17*'AcresYieldsPrices&amp;Water'!$D$4)+(P17*'AcresYieldsPrices&amp;Water'!$D$5)+BASEBUDGETS!$C$20)/'AcresYieldsPrices&amp;Water'!$D$21</f>
        <v>116.83980949005534</v>
      </c>
      <c r="Z17" s="2"/>
      <c r="AA17" s="2"/>
      <c r="AB17" s="2"/>
      <c r="AC17" s="2"/>
      <c r="AD17" s="2"/>
      <c r="AE17" s="2"/>
    </row>
    <row r="18" spans="1:31" ht="21">
      <c r="A18" s="2"/>
      <c r="B18" s="430"/>
      <c r="C18" s="4">
        <f t="shared" si="0"/>
        <v>23000</v>
      </c>
      <c r="D18" s="414">
        <f>IF('AcresYieldsPrices&amp;Water'!$D$4=0,0,((D$6*($C18*3)/6)-BASEBUDGETS!$H$7))</f>
        <v>-326.1955852135431</v>
      </c>
      <c r="E18" s="414">
        <f>IF('AcresYieldsPrices&amp;Water'!$D$4=0,0,((E$6*($C18*3)/6)-BASEBUDGETS!$H$7))</f>
        <v>-96.19558521354304</v>
      </c>
      <c r="F18" s="414">
        <f>IF('AcresYieldsPrices&amp;Water'!$D$4=0,0,((F$6*($C18*3)/6)-BASEBUDGETS!$H$7))</f>
        <v>133.80441478645696</v>
      </c>
      <c r="G18" s="414">
        <f>IF('AcresYieldsPrices&amp;Water'!$D$4=0,0,((G$6*($C18*3)/6)-BASEBUDGETS!$H$7))</f>
        <v>363.80441478645696</v>
      </c>
      <c r="H18" s="415">
        <f>IF('AcresYieldsPrices&amp;Water'!$D$4=0,0,((H$6*($C18*3)/6)-BASEBUDGETS!$H$7))</f>
        <v>593.80441478645696</v>
      </c>
      <c r="I18" s="2"/>
      <c r="J18" s="430"/>
      <c r="K18" s="4">
        <f t="shared" si="1"/>
        <v>1500</v>
      </c>
      <c r="L18" s="422">
        <f>IF('AcresYieldsPrices&amp;Water'!$D$5=0,0,(L$6*$K18)-(BASEBUDGETS!$G$181/'AcresYieldsPrices&amp;Water'!$D$5))</f>
        <v>-565.12479580634647</v>
      </c>
      <c r="M18" s="414">
        <f>IF('AcresYieldsPrices&amp;Water'!$D$5=0,0,(M$6*$K18)-(BASEBUDGETS!$G$181/'AcresYieldsPrices&amp;Water'!$D$5))</f>
        <v>-490.12479580634647</v>
      </c>
      <c r="N18" s="414">
        <f>IF('AcresYieldsPrices&amp;Water'!$D$5=0,0,(N$6*$K18)-(BASEBUDGETS!$G$181/'AcresYieldsPrices&amp;Water'!$D$5))</f>
        <v>-415.12479580634647</v>
      </c>
      <c r="O18" s="414">
        <f>IF('AcresYieldsPrices&amp;Water'!$D$5=0,0,(O$6*$K18)-(BASEBUDGETS!$G$181/'AcresYieldsPrices&amp;Water'!$D$5))</f>
        <v>-340.12479580634647</v>
      </c>
      <c r="P18" s="415">
        <f>IF('AcresYieldsPrices&amp;Water'!$D$5=0,0,(P$6*$K18)-(BASEBUDGETS!$G$181/'AcresYieldsPrices&amp;Water'!$D$5))</f>
        <v>-265.12479580634647</v>
      </c>
      <c r="Q18" s="2"/>
      <c r="R18" s="368"/>
      <c r="S18" s="363" t="str">
        <f t="shared" si="2"/>
        <v>Level +1</v>
      </c>
      <c r="T18" s="364">
        <f>((D18*'AcresYieldsPrices&amp;Water'!$D$4)+(L18*'AcresYieldsPrices&amp;Water'!$D$5)+BASEBUDGETS!$C$20)/'AcresYieldsPrices&amp;Water'!$D$21</f>
        <v>-445.66019050994481</v>
      </c>
      <c r="U18" s="364">
        <f>((E18*'AcresYieldsPrices&amp;Water'!$D$4)+(M18*'AcresYieldsPrices&amp;Water'!$D$5)+BASEBUDGETS!$C$20)/'AcresYieldsPrices&amp;Water'!$D$21</f>
        <v>-293.1601905099447</v>
      </c>
      <c r="V18" s="364">
        <f>((F18*'AcresYieldsPrices&amp;Water'!$D$4)+(N18*'AcresYieldsPrices&amp;Water'!$D$5)+BASEBUDGETS!$C$20)/'AcresYieldsPrices&amp;Water'!$D$21</f>
        <v>-140.66019050994475</v>
      </c>
      <c r="W18" s="364">
        <f>((G18*'AcresYieldsPrices&amp;Water'!$D$4)+(O18*'AcresYieldsPrices&amp;Water'!$D$5)+BASEBUDGETS!$C$20)/'AcresYieldsPrices&amp;Water'!$D$21</f>
        <v>11.839809490055243</v>
      </c>
      <c r="X18" s="365">
        <f>((H18*'AcresYieldsPrices&amp;Water'!$D$4)+(P18*'AcresYieldsPrices&amp;Water'!$D$5)+BASEBUDGETS!$C$20)/'AcresYieldsPrices&amp;Water'!$D$21</f>
        <v>164.33980949005527</v>
      </c>
      <c r="Z18" s="2"/>
      <c r="AA18" s="2"/>
      <c r="AB18" s="2"/>
      <c r="AC18" s="2"/>
      <c r="AD18" s="2"/>
      <c r="AE18" s="2"/>
    </row>
    <row r="19" spans="1:31" ht="21">
      <c r="A19" s="2"/>
      <c r="B19" s="430"/>
      <c r="C19" s="4">
        <f t="shared" si="0"/>
        <v>24000</v>
      </c>
      <c r="D19" s="414">
        <f>IF('AcresYieldsPrices&amp;Water'!$D$4=0,0,((D$6*($C19*3)/6)-BASEBUDGETS!$H$7))</f>
        <v>-306.1955852135431</v>
      </c>
      <c r="E19" s="414">
        <f>IF('AcresYieldsPrices&amp;Water'!$D$4=0,0,((E$6*($C19*3)/6)-BASEBUDGETS!$H$7))</f>
        <v>-66.19558521354304</v>
      </c>
      <c r="F19" s="414">
        <f>IF('AcresYieldsPrices&amp;Water'!$D$4=0,0,((F$6*($C19*3)/6)-BASEBUDGETS!$H$7))</f>
        <v>173.80441478645696</v>
      </c>
      <c r="G19" s="414">
        <f>IF('AcresYieldsPrices&amp;Water'!$D$4=0,0,((G$6*($C19*3)/6)-BASEBUDGETS!$H$7))</f>
        <v>413.80441478645696</v>
      </c>
      <c r="H19" s="415">
        <f>IF('AcresYieldsPrices&amp;Water'!$D$4=0,0,((H$6*($C19*3)/6)-BASEBUDGETS!$H$7))</f>
        <v>653.80441478645696</v>
      </c>
      <c r="I19" s="2"/>
      <c r="J19" s="430"/>
      <c r="K19" s="4">
        <f t="shared" si="1"/>
        <v>1600</v>
      </c>
      <c r="L19" s="422">
        <f>IF('AcresYieldsPrices&amp;Water'!$D$5=0,0,(L$6*$K19)-(BASEBUDGETS!$G$181/'AcresYieldsPrices&amp;Water'!$D$5))</f>
        <v>-550.12479580634647</v>
      </c>
      <c r="M19" s="414">
        <f>IF('AcresYieldsPrices&amp;Water'!$D$5=0,0,(M$6*$K19)-(BASEBUDGETS!$G$181/'AcresYieldsPrices&amp;Water'!$D$5))</f>
        <v>-470.12479580634647</v>
      </c>
      <c r="N19" s="414">
        <f>IF('AcresYieldsPrices&amp;Water'!$D$5=0,0,(N$6*$K19)-(BASEBUDGETS!$G$181/'AcresYieldsPrices&amp;Water'!$D$5))</f>
        <v>-390.12479580634647</v>
      </c>
      <c r="O19" s="414">
        <f>IF('AcresYieldsPrices&amp;Water'!$D$5=0,0,(O$6*$K19)-(BASEBUDGETS!$G$181/'AcresYieldsPrices&amp;Water'!$D$5))</f>
        <v>-310.12479580634647</v>
      </c>
      <c r="P19" s="415">
        <f>IF('AcresYieldsPrices&amp;Water'!$D$5=0,0,(P$6*$K19)-(BASEBUDGETS!$G$181/'AcresYieldsPrices&amp;Water'!$D$5))</f>
        <v>-230.12479580634647</v>
      </c>
      <c r="Q19" s="2"/>
      <c r="R19" s="368"/>
      <c r="S19" s="363" t="str">
        <f t="shared" si="2"/>
        <v>Level +2</v>
      </c>
      <c r="T19" s="364">
        <f>((D19*'AcresYieldsPrices&amp;Water'!$D$4)+(L19*'AcresYieldsPrices&amp;Water'!$D$5)+BASEBUDGETS!$C$20)/'AcresYieldsPrices&amp;Water'!$D$21</f>
        <v>-428.16019050994475</v>
      </c>
      <c r="U19" s="364">
        <f>((E19*'AcresYieldsPrices&amp;Water'!$D$4)+(M19*'AcresYieldsPrices&amp;Water'!$D$5)+BASEBUDGETS!$C$20)/'AcresYieldsPrices&amp;Water'!$D$21</f>
        <v>-268.1601905099447</v>
      </c>
      <c r="V19" s="364">
        <f>((F19*'AcresYieldsPrices&amp;Water'!$D$4)+(N19*'AcresYieldsPrices&amp;Water'!$D$5)+BASEBUDGETS!$C$20)/'AcresYieldsPrices&amp;Water'!$D$21</f>
        <v>-108.16019050994475</v>
      </c>
      <c r="W19" s="364">
        <f>((G19*'AcresYieldsPrices&amp;Water'!$D$4)+(O19*'AcresYieldsPrices&amp;Water'!$D$5)+BASEBUDGETS!$C$20)/'AcresYieldsPrices&amp;Water'!$D$21</f>
        <v>51.839809490055245</v>
      </c>
      <c r="X19" s="365">
        <f>((H19*'AcresYieldsPrices&amp;Water'!$D$4)+(P19*'AcresYieldsPrices&amp;Water'!$D$5)+BASEBUDGETS!$C$20)/'AcresYieldsPrices&amp;Water'!$D$21</f>
        <v>211.83980949005527</v>
      </c>
      <c r="Z19" s="2"/>
      <c r="AA19" s="2"/>
      <c r="AB19" s="2"/>
      <c r="AC19" s="2"/>
      <c r="AD19" s="2"/>
      <c r="AE19" s="2"/>
    </row>
    <row r="20" spans="1:31" ht="21">
      <c r="A20" s="2"/>
      <c r="B20" s="431"/>
      <c r="C20" s="7">
        <f t="shared" si="0"/>
        <v>25000</v>
      </c>
      <c r="D20" s="417">
        <f>IF('AcresYieldsPrices&amp;Water'!$D$4=0,0,((D$6*($C20*3)/6)-BASEBUDGETS!$H$7))</f>
        <v>-286.1955852135431</v>
      </c>
      <c r="E20" s="417">
        <f>IF('AcresYieldsPrices&amp;Water'!$D$4=0,0,((E$6*($C20*3)/6)-BASEBUDGETS!$H$7))</f>
        <v>-36.19558521354304</v>
      </c>
      <c r="F20" s="417">
        <f>IF('AcresYieldsPrices&amp;Water'!$D$4=0,0,((F$6*($C20*3)/6)-BASEBUDGETS!$H$7))</f>
        <v>213.80441478645696</v>
      </c>
      <c r="G20" s="417">
        <f>IF('AcresYieldsPrices&amp;Water'!$D$4=0,0,((G$6*($C20*3)/6)-BASEBUDGETS!$H$7))</f>
        <v>463.80441478645696</v>
      </c>
      <c r="H20" s="418">
        <f>IF('AcresYieldsPrices&amp;Water'!$D$4=0,0,((H$6*($C20*3)/6)-BASEBUDGETS!$H$7))</f>
        <v>713.80441478645696</v>
      </c>
      <c r="I20" s="2"/>
      <c r="J20" s="431"/>
      <c r="K20" s="7">
        <f t="shared" si="1"/>
        <v>1700</v>
      </c>
      <c r="L20" s="416">
        <f>IF('AcresYieldsPrices&amp;Water'!$D$5=0,0,(L$6*$K20)-(BASEBUDGETS!$G$181/'AcresYieldsPrices&amp;Water'!$D$5))</f>
        <v>-535.12479580634647</v>
      </c>
      <c r="M20" s="417">
        <f>IF('AcresYieldsPrices&amp;Water'!$D$5=0,0,(M$6*$K20)-(BASEBUDGETS!$G$181/'AcresYieldsPrices&amp;Water'!$D$5))</f>
        <v>-450.12479580634647</v>
      </c>
      <c r="N20" s="417">
        <f>IF('AcresYieldsPrices&amp;Water'!$D$5=0,0,(N$6*$K20)-(BASEBUDGETS!$G$181/'AcresYieldsPrices&amp;Water'!$D$5))</f>
        <v>-365.12479580634647</v>
      </c>
      <c r="O20" s="417">
        <f>IF('AcresYieldsPrices&amp;Water'!$D$5=0,0,(O$6*$K20)-(BASEBUDGETS!$G$181/'AcresYieldsPrices&amp;Water'!$D$5))</f>
        <v>-280.12479580634647</v>
      </c>
      <c r="P20" s="418">
        <f>IF('AcresYieldsPrices&amp;Water'!$D$5=0,0,(P$6*$K20)-(BASEBUDGETS!$G$181/'AcresYieldsPrices&amp;Water'!$D$5))</f>
        <v>-195.12479580634647</v>
      </c>
      <c r="Q20" s="2"/>
      <c r="R20" s="369"/>
      <c r="S20" s="370" t="str">
        <f t="shared" si="2"/>
        <v>Level +3</v>
      </c>
      <c r="T20" s="371">
        <f>((D20*'AcresYieldsPrices&amp;Water'!$D$4)+(L20*'AcresYieldsPrices&amp;Water'!$D$5)+BASEBUDGETS!$C$20)/'AcresYieldsPrices&amp;Water'!$D$21</f>
        <v>-410.66019050994475</v>
      </c>
      <c r="U20" s="372">
        <f>((E20*'AcresYieldsPrices&amp;Water'!$D$4)+(M20*'AcresYieldsPrices&amp;Water'!$D$5)+BASEBUDGETS!$C$20)/'AcresYieldsPrices&amp;Water'!$D$21</f>
        <v>-243.1601905099447</v>
      </c>
      <c r="V20" s="372">
        <f>((F20*'AcresYieldsPrices&amp;Water'!$D$4)+(N20*'AcresYieldsPrices&amp;Water'!$D$5)+BASEBUDGETS!$C$20)/'AcresYieldsPrices&amp;Water'!$D$21</f>
        <v>-75.660190509944755</v>
      </c>
      <c r="W20" s="372">
        <f>((G20*'AcresYieldsPrices&amp;Water'!$D$4)+(O20*'AcresYieldsPrices&amp;Water'!$D$5)+BASEBUDGETS!$C$20)/'AcresYieldsPrices&amp;Water'!$D$21</f>
        <v>91.839809490055273</v>
      </c>
      <c r="X20" s="373">
        <f>((H20*'AcresYieldsPrices&amp;Water'!$D$4)+(P20*'AcresYieldsPrices&amp;Water'!$D$5)+BASEBUDGETS!$C$20)/'AcresYieldsPrices&amp;Water'!$D$21</f>
        <v>259.3398094900553</v>
      </c>
      <c r="Z20" s="2"/>
      <c r="AA20" s="2"/>
      <c r="AB20" s="2"/>
      <c r="AC20" s="2"/>
      <c r="AD20" s="2"/>
      <c r="AE20" s="2"/>
    </row>
    <row r="21" spans="1:31" ht="21">
      <c r="A21" s="2"/>
      <c r="B21" s="430"/>
      <c r="C21" s="4">
        <f t="shared" si="0"/>
        <v>19000</v>
      </c>
      <c r="D21" s="412">
        <f>IF('AcresYieldsPrices&amp;Water'!$D$4=0,0,((D$6*($C21*3)/6)-BASEBUDGETS!$H$8))</f>
        <v>-263.25093335653509</v>
      </c>
      <c r="E21" s="412">
        <f>IF('AcresYieldsPrices&amp;Water'!$D$4=0,0,((E$6*($C21*3)/6)-BASEBUDGETS!$H$8))</f>
        <v>-73.250933356535029</v>
      </c>
      <c r="F21" s="412">
        <f>IF('AcresYieldsPrices&amp;Water'!$D$4=0,0,((F$6*($C21*3)/6)-BASEBUDGETS!$H$8))</f>
        <v>116.74906664346497</v>
      </c>
      <c r="G21" s="412">
        <f>IF('AcresYieldsPrices&amp;Water'!$D$4=0,0,((G$6*($C21*3)/6)-BASEBUDGETS!$H$8))</f>
        <v>306.74906664346497</v>
      </c>
      <c r="H21" s="426">
        <f>IF('AcresYieldsPrices&amp;Water'!$D$4=0,0,((H$6*($C21*3)/6)-BASEBUDGETS!$H$8))</f>
        <v>496.7490666434652</v>
      </c>
      <c r="I21" s="2"/>
      <c r="J21" s="430"/>
      <c r="K21" s="4">
        <f t="shared" si="1"/>
        <v>1100</v>
      </c>
      <c r="L21" s="419">
        <f>IF('AcresYieldsPrices&amp;Water'!$D$5=0,0,(L$6*$K21)-(BASEBUDGETS!$H$181/'AcresYieldsPrices&amp;Water'!$D$5))</f>
        <v>-549.87481525336102</v>
      </c>
      <c r="M21" s="420">
        <f>IF('AcresYieldsPrices&amp;Water'!$D$5=0,0,(M$6*$K21)-(BASEBUDGETS!$H$181/'AcresYieldsPrices&amp;Water'!$D$5))</f>
        <v>-494.87481525336102</v>
      </c>
      <c r="N21" s="420">
        <f>IF('AcresYieldsPrices&amp;Water'!$D$5=0,0,(N$6*$K21)-(BASEBUDGETS!$H$181/'AcresYieldsPrices&amp;Water'!$D$5))</f>
        <v>-439.87481525336102</v>
      </c>
      <c r="O21" s="420">
        <f>IF('AcresYieldsPrices&amp;Water'!$D$5=0,0,(O$6*$K21)-(BASEBUDGETS!$H$181/'AcresYieldsPrices&amp;Water'!$D$5))</f>
        <v>-384.87481525336102</v>
      </c>
      <c r="P21" s="421">
        <f>IF('AcresYieldsPrices&amp;Water'!$D$5=0,0,(P$6*$K21)-(BASEBUDGETS!$H$181/'AcresYieldsPrices&amp;Water'!$D$5))</f>
        <v>-329.87481525336102</v>
      </c>
      <c r="Q21" s="2"/>
      <c r="R21" s="368"/>
      <c r="S21" s="363" t="str">
        <f t="shared" si="2"/>
        <v>Level -3</v>
      </c>
      <c r="T21" s="364">
        <f>((D21*'AcresYieldsPrices&amp;Water'!$D$4)+(L21*'AcresYieldsPrices&amp;Water'!$D$5)+BASEBUDGETS!$C$20)/'AcresYieldsPrices&amp;Water'!$D$21</f>
        <v>-406.56287430494808</v>
      </c>
      <c r="U21" s="364">
        <f>((E21*'AcresYieldsPrices&amp;Water'!$D$4)+(M21*'AcresYieldsPrices&amp;Water'!$D$5)+BASEBUDGETS!$C$20)/'AcresYieldsPrices&amp;Water'!$D$21</f>
        <v>-284.06287430494802</v>
      </c>
      <c r="V21" s="364">
        <f>((F21*'AcresYieldsPrices&amp;Water'!$D$4)+(N21*'AcresYieldsPrices&amp;Water'!$D$5)+BASEBUDGETS!$C$20)/'AcresYieldsPrices&amp;Water'!$D$21</f>
        <v>-161.562874304948</v>
      </c>
      <c r="W21" s="364">
        <f>((G21*'AcresYieldsPrices&amp;Water'!$D$4)+(O21*'AcresYieldsPrices&amp;Water'!$D$5)+BASEBUDGETS!$C$20)/'AcresYieldsPrices&amp;Water'!$D$21</f>
        <v>-39.062874304948032</v>
      </c>
      <c r="X21" s="365">
        <f>((H21*'AcresYieldsPrices&amp;Water'!$D$4)+(P21*'AcresYieldsPrices&amp;Water'!$D$5)+BASEBUDGETS!$C$20)/'AcresYieldsPrices&amp;Water'!$D$21</f>
        <v>83.437125695052089</v>
      </c>
      <c r="Z21" s="2"/>
      <c r="AA21" s="2"/>
      <c r="AB21" s="2"/>
      <c r="AC21" s="2"/>
      <c r="AD21" s="2"/>
      <c r="AE21" s="2"/>
    </row>
    <row r="22" spans="1:31" ht="21">
      <c r="A22" s="2"/>
      <c r="B22" s="430"/>
      <c r="C22" s="4">
        <f t="shared" si="0"/>
        <v>20000</v>
      </c>
      <c r="D22" s="414">
        <f>IF('AcresYieldsPrices&amp;Water'!$D$4=0,0,((D$6*($C22*3)/6)-BASEBUDGETS!$H$8))</f>
        <v>-243.25093335653509</v>
      </c>
      <c r="E22" s="414">
        <f>IF('AcresYieldsPrices&amp;Water'!$D$4=0,0,((E$6*($C22*3)/6)-BASEBUDGETS!$H$8))</f>
        <v>-43.250933356535029</v>
      </c>
      <c r="F22" s="414">
        <f>IF('AcresYieldsPrices&amp;Water'!$D$4=0,0,((F$6*($C22*3)/6)-BASEBUDGETS!$H$8))</f>
        <v>156.74906664346497</v>
      </c>
      <c r="G22" s="414">
        <f>IF('AcresYieldsPrices&amp;Water'!$D$4=0,0,((G$6*($C22*3)/6)-BASEBUDGETS!$H$8))</f>
        <v>356.74906664346497</v>
      </c>
      <c r="H22" s="415">
        <f>IF('AcresYieldsPrices&amp;Water'!$D$4=0,0,((H$6*($C22*3)/6)-BASEBUDGETS!$H$8))</f>
        <v>556.7490666434652</v>
      </c>
      <c r="I22" s="2"/>
      <c r="J22" s="430"/>
      <c r="K22" s="4">
        <f t="shared" si="1"/>
        <v>1200</v>
      </c>
      <c r="L22" s="422">
        <f>IF('AcresYieldsPrices&amp;Water'!$D$5=0,0,(L$6*$K22)-(BASEBUDGETS!$H$181/'AcresYieldsPrices&amp;Water'!$D$5))</f>
        <v>-534.87481525336102</v>
      </c>
      <c r="M22" s="414">
        <f>IF('AcresYieldsPrices&amp;Water'!$D$5=0,0,(M$6*$K22)-(BASEBUDGETS!$H$181/'AcresYieldsPrices&amp;Water'!$D$5))</f>
        <v>-474.87481525336102</v>
      </c>
      <c r="N22" s="414">
        <f>IF('AcresYieldsPrices&amp;Water'!$D$5=0,0,(N$6*$K22)-(BASEBUDGETS!$H$181/'AcresYieldsPrices&amp;Water'!$D$5))</f>
        <v>-414.87481525336102</v>
      </c>
      <c r="O22" s="414">
        <f>IF('AcresYieldsPrices&amp;Water'!$D$5=0,0,(O$6*$K22)-(BASEBUDGETS!$H$181/'AcresYieldsPrices&amp;Water'!$D$5))</f>
        <v>-354.87481525336102</v>
      </c>
      <c r="P22" s="415">
        <f>IF('AcresYieldsPrices&amp;Water'!$D$5=0,0,(P$6*$K22)-(BASEBUDGETS!$H$181/'AcresYieldsPrices&amp;Water'!$D$5))</f>
        <v>-294.87481525336102</v>
      </c>
      <c r="Q22" s="2"/>
      <c r="R22" s="368"/>
      <c r="S22" s="363" t="str">
        <f t="shared" si="2"/>
        <v>Level -2</v>
      </c>
      <c r="T22" s="364">
        <f>((D22*'AcresYieldsPrices&amp;Water'!$D$4)+(L22*'AcresYieldsPrices&amp;Water'!$D$5)+BASEBUDGETS!$C$20)/'AcresYieldsPrices&amp;Water'!$D$21</f>
        <v>-389.06287430494808</v>
      </c>
      <c r="U22" s="364">
        <f>((E22*'AcresYieldsPrices&amp;Water'!$D$4)+(M22*'AcresYieldsPrices&amp;Water'!$D$5)+BASEBUDGETS!$C$20)/'AcresYieldsPrices&amp;Water'!$D$21</f>
        <v>-259.06287430494802</v>
      </c>
      <c r="V22" s="364">
        <f>((F22*'AcresYieldsPrices&amp;Water'!$D$4)+(N22*'AcresYieldsPrices&amp;Water'!$D$5)+BASEBUDGETS!$C$20)/'AcresYieldsPrices&amp;Water'!$D$21</f>
        <v>-129.062874304948</v>
      </c>
      <c r="W22" s="364">
        <f>((G22*'AcresYieldsPrices&amp;Water'!$D$4)+(O22*'AcresYieldsPrices&amp;Water'!$D$5)+BASEBUDGETS!$C$20)/'AcresYieldsPrices&amp;Water'!$D$21</f>
        <v>0.93712569505196974</v>
      </c>
      <c r="X22" s="365">
        <f>((H22*'AcresYieldsPrices&amp;Water'!$D$4)+(P22*'AcresYieldsPrices&amp;Water'!$D$5)+BASEBUDGETS!$C$20)/'AcresYieldsPrices&amp;Water'!$D$21</f>
        <v>130.93712569505209</v>
      </c>
      <c r="Z22" s="2"/>
      <c r="AA22" s="2"/>
      <c r="AB22" s="2"/>
      <c r="AC22" s="2"/>
      <c r="AD22" s="2"/>
      <c r="AE22" s="2"/>
    </row>
    <row r="23" spans="1:31" ht="21">
      <c r="A23" s="2"/>
      <c r="B23" s="430"/>
      <c r="C23" s="4">
        <f t="shared" si="0"/>
        <v>21000</v>
      </c>
      <c r="D23" s="414">
        <f>IF('AcresYieldsPrices&amp;Water'!$D$4=0,0,((D$6*($C23*3)/6)-BASEBUDGETS!$H$8))</f>
        <v>-223.25093335653509</v>
      </c>
      <c r="E23" s="414">
        <f>IF('AcresYieldsPrices&amp;Water'!$D$4=0,0,((E$6*($C23*3)/6)-BASEBUDGETS!$H$8))</f>
        <v>-13.250933356535029</v>
      </c>
      <c r="F23" s="414">
        <f>IF('AcresYieldsPrices&amp;Water'!$D$4=0,0,((F$6*($C23*3)/6)-BASEBUDGETS!$H$8))</f>
        <v>196.74906664346497</v>
      </c>
      <c r="G23" s="414">
        <f>IF('AcresYieldsPrices&amp;Water'!$D$4=0,0,((G$6*($C23*3)/6)-BASEBUDGETS!$H$8))</f>
        <v>406.74906664346497</v>
      </c>
      <c r="H23" s="415">
        <f>IF('AcresYieldsPrices&amp;Water'!$D$4=0,0,((H$6*($C23*3)/6)-BASEBUDGETS!$H$8))</f>
        <v>616.7490666434652</v>
      </c>
      <c r="I23" s="2"/>
      <c r="J23" s="430"/>
      <c r="K23" s="4">
        <f t="shared" si="1"/>
        <v>1300</v>
      </c>
      <c r="L23" s="422">
        <f>IF('AcresYieldsPrices&amp;Water'!$D$5=0,0,(L$6*$K23)-(BASEBUDGETS!$H$181/'AcresYieldsPrices&amp;Water'!$D$5))</f>
        <v>-519.87481525336102</v>
      </c>
      <c r="M23" s="414">
        <f>IF('AcresYieldsPrices&amp;Water'!$D$5=0,0,(M$6*$K23)-(BASEBUDGETS!$H$181/'AcresYieldsPrices&amp;Water'!$D$5))</f>
        <v>-454.87481525336102</v>
      </c>
      <c r="N23" s="414">
        <f>IF('AcresYieldsPrices&amp;Water'!$D$5=0,0,(N$6*$K23)-(BASEBUDGETS!$H$181/'AcresYieldsPrices&amp;Water'!$D$5))</f>
        <v>-389.87481525336102</v>
      </c>
      <c r="O23" s="414">
        <f>IF('AcresYieldsPrices&amp;Water'!$D$5=0,0,(O$6*$K23)-(BASEBUDGETS!$H$181/'AcresYieldsPrices&amp;Water'!$D$5))</f>
        <v>-324.87481525336102</v>
      </c>
      <c r="P23" s="415">
        <f>IF('AcresYieldsPrices&amp;Water'!$D$5=0,0,(P$6*$K23)-(BASEBUDGETS!$H$181/'AcresYieldsPrices&amp;Water'!$D$5))</f>
        <v>-259.87481525336108</v>
      </c>
      <c r="Q23" s="2"/>
      <c r="R23" s="368"/>
      <c r="S23" s="363" t="str">
        <f t="shared" si="2"/>
        <v>Level -1</v>
      </c>
      <c r="T23" s="364">
        <f>((D23*'AcresYieldsPrices&amp;Water'!$D$4)+(L23*'AcresYieldsPrices&amp;Water'!$D$5)+BASEBUDGETS!$C$20)/'AcresYieldsPrices&amp;Water'!$D$21</f>
        <v>-371.56287430494808</v>
      </c>
      <c r="U23" s="364">
        <f>((E23*'AcresYieldsPrices&amp;Water'!$D$4)+(M23*'AcresYieldsPrices&amp;Water'!$D$5)+BASEBUDGETS!$C$20)/'AcresYieldsPrices&amp;Water'!$D$21</f>
        <v>-234.062874304948</v>
      </c>
      <c r="V23" s="364">
        <f>((F23*'AcresYieldsPrices&amp;Water'!$D$4)+(N23*'AcresYieldsPrices&amp;Water'!$D$5)+BASEBUDGETS!$C$20)/'AcresYieldsPrices&amp;Water'!$D$21</f>
        <v>-96.562874304948025</v>
      </c>
      <c r="W23" s="364">
        <f>((G23*'AcresYieldsPrices&amp;Water'!$D$4)+(O23*'AcresYieldsPrices&amp;Water'!$D$5)+BASEBUDGETS!$C$20)/'AcresYieldsPrices&amp;Water'!$D$21</f>
        <v>40.937125695051968</v>
      </c>
      <c r="X23" s="365">
        <f>((H23*'AcresYieldsPrices&amp;Water'!$D$4)+(P23*'AcresYieldsPrices&amp;Water'!$D$5)+BASEBUDGETS!$C$20)/'AcresYieldsPrices&amp;Water'!$D$21</f>
        <v>178.43712569505206</v>
      </c>
      <c r="Z23" s="2"/>
      <c r="AA23" s="2"/>
      <c r="AB23" s="2"/>
      <c r="AC23" s="2"/>
      <c r="AD23" s="2"/>
      <c r="AE23" s="2"/>
    </row>
    <row r="24" spans="1:31" ht="21">
      <c r="A24" s="2"/>
      <c r="B24" s="278">
        <v>-0.1</v>
      </c>
      <c r="C24" s="4">
        <f t="shared" si="0"/>
        <v>22000</v>
      </c>
      <c r="D24" s="414">
        <f>IF('AcresYieldsPrices&amp;Water'!$D$4=0,0,((D$6*($C24*3)/6)-BASEBUDGETS!$H$8))</f>
        <v>-203.25093335653509</v>
      </c>
      <c r="E24" s="414">
        <f>IF('AcresYieldsPrices&amp;Water'!$D$4=0,0,((E$6*($C24*3)/6)-BASEBUDGETS!$H$8))</f>
        <v>16.749066643464971</v>
      </c>
      <c r="F24" s="414">
        <f>IF('AcresYieldsPrices&amp;Water'!$D$4=0,0,((F$6*($C24*3)/6)-BASEBUDGETS!$H$8))</f>
        <v>236.74906664346497</v>
      </c>
      <c r="G24" s="414">
        <f>IF('AcresYieldsPrices&amp;Water'!$D$4=0,0,((G$6*($C24*3)/6)-BASEBUDGETS!$H$8))</f>
        <v>456.74906664346497</v>
      </c>
      <c r="H24" s="415">
        <f>IF('AcresYieldsPrices&amp;Water'!$D$4=0,0,((H$6*($C24*3)/6)-BASEBUDGETS!$H$8))</f>
        <v>676.7490666434652</v>
      </c>
      <c r="I24" s="2"/>
      <c r="J24" s="278">
        <v>-0.05</v>
      </c>
      <c r="K24" s="4">
        <f t="shared" si="1"/>
        <v>1400</v>
      </c>
      <c r="L24" s="422">
        <f>IF('AcresYieldsPrices&amp;Water'!$D$5=0,0,(L$6*$K24)-(BASEBUDGETS!$H$181/'AcresYieldsPrices&amp;Water'!$D$5))</f>
        <v>-504.87481525336102</v>
      </c>
      <c r="M24" s="414">
        <f>IF('AcresYieldsPrices&amp;Water'!$D$5=0,0,(M$6*$K24)-(BASEBUDGETS!$H$181/'AcresYieldsPrices&amp;Water'!$D$5))</f>
        <v>-434.87481525336102</v>
      </c>
      <c r="N24" s="414">
        <f>IF('AcresYieldsPrices&amp;Water'!$D$5=0,0,(N$6*$K24)-(BASEBUDGETS!$H$181/'AcresYieldsPrices&amp;Water'!$D$5))</f>
        <v>-364.87481525336102</v>
      </c>
      <c r="O24" s="414">
        <f>IF('AcresYieldsPrices&amp;Water'!$D$5=0,0,(O$6*$K24)-(BASEBUDGETS!$H$181/'AcresYieldsPrices&amp;Water'!$D$5))</f>
        <v>-294.87481525336102</v>
      </c>
      <c r="P24" s="415">
        <f>IF('AcresYieldsPrices&amp;Water'!$D$5=0,0,(P$6*$K24)-(BASEBUDGETS!$H$181/'AcresYieldsPrices&amp;Water'!$D$5))</f>
        <v>-224.87481525336108</v>
      </c>
      <c r="Q24" s="2"/>
      <c r="R24" s="374" t="s">
        <v>88</v>
      </c>
      <c r="S24" s="363" t="str">
        <f t="shared" si="2"/>
        <v>BASE</v>
      </c>
      <c r="T24" s="364">
        <f>((D24*'AcresYieldsPrices&amp;Water'!$D$4)+(L24*'AcresYieldsPrices&amp;Water'!$D$5)+BASEBUDGETS!$C$20)/'AcresYieldsPrices&amp;Water'!$D$21</f>
        <v>-354.06287430494808</v>
      </c>
      <c r="U24" s="364">
        <f>((E24*'AcresYieldsPrices&amp;Water'!$D$4)+(M24*'AcresYieldsPrices&amp;Water'!$D$5)+BASEBUDGETS!$C$20)/'AcresYieldsPrices&amp;Water'!$D$21</f>
        <v>-209.06287430494802</v>
      </c>
      <c r="V24" s="364">
        <f>((F24*'AcresYieldsPrices&amp;Water'!$D$4)+(N24*'AcresYieldsPrices&amp;Water'!$D$5)+BASEBUDGETS!$C$20)/'AcresYieldsPrices&amp;Water'!$D$21</f>
        <v>-64.062874304948025</v>
      </c>
      <c r="W24" s="364">
        <f>((G24*'AcresYieldsPrices&amp;Water'!$D$4)+(O24*'AcresYieldsPrices&amp;Water'!$D$5)+BASEBUDGETS!$C$20)/'AcresYieldsPrices&amp;Water'!$D$21</f>
        <v>80.937125695051989</v>
      </c>
      <c r="X24" s="365">
        <f>((H24*'AcresYieldsPrices&amp;Water'!$D$4)+(P24*'AcresYieldsPrices&amp;Water'!$D$5)+BASEBUDGETS!$C$20)/'AcresYieldsPrices&amp;Water'!$D$21</f>
        <v>225.93712569505209</v>
      </c>
      <c r="Z24" s="2"/>
      <c r="AA24" s="2"/>
      <c r="AB24" s="2"/>
      <c r="AC24" s="2"/>
      <c r="AD24" s="2"/>
      <c r="AE24" s="2"/>
    </row>
    <row r="25" spans="1:31" ht="21">
      <c r="A25" s="2"/>
      <c r="B25" s="3"/>
      <c r="C25" s="4">
        <f t="shared" si="0"/>
        <v>23000</v>
      </c>
      <c r="D25" s="414">
        <f>IF('AcresYieldsPrices&amp;Water'!$D$4=0,0,((D$6*($C25*3)/6)-BASEBUDGETS!$H$8))</f>
        <v>-183.25093335653509</v>
      </c>
      <c r="E25" s="414">
        <f>IF('AcresYieldsPrices&amp;Water'!$D$4=0,0,((E$6*($C25*3)/6)-BASEBUDGETS!$H$8))</f>
        <v>46.749066643464971</v>
      </c>
      <c r="F25" s="414">
        <f>IF('AcresYieldsPrices&amp;Water'!$D$4=0,0,((F$6*($C25*3)/6)-BASEBUDGETS!$H$8))</f>
        <v>276.74906664346497</v>
      </c>
      <c r="G25" s="414">
        <f>IF('AcresYieldsPrices&amp;Water'!$D$4=0,0,((G$6*($C25*3)/6)-BASEBUDGETS!$H$8))</f>
        <v>506.74906664346497</v>
      </c>
      <c r="H25" s="415">
        <f>IF('AcresYieldsPrices&amp;Water'!$D$4=0,0,((H$6*($C25*3)/6)-BASEBUDGETS!$H$8))</f>
        <v>736.74906664346497</v>
      </c>
      <c r="I25" s="2"/>
      <c r="J25" s="3"/>
      <c r="K25" s="4">
        <f t="shared" si="1"/>
        <v>1500</v>
      </c>
      <c r="L25" s="422">
        <f>IF('AcresYieldsPrices&amp;Water'!$D$5=0,0,(L$6*$K25)-(BASEBUDGETS!$H$181/'AcresYieldsPrices&amp;Water'!$D$5))</f>
        <v>-489.87481525336102</v>
      </c>
      <c r="M25" s="414">
        <f>IF('AcresYieldsPrices&amp;Water'!$D$5=0,0,(M$6*$K25)-(BASEBUDGETS!$H$181/'AcresYieldsPrices&amp;Water'!$D$5))</f>
        <v>-414.87481525336102</v>
      </c>
      <c r="N25" s="414">
        <f>IF('AcresYieldsPrices&amp;Water'!$D$5=0,0,(N$6*$K25)-(BASEBUDGETS!$H$181/'AcresYieldsPrices&amp;Water'!$D$5))</f>
        <v>-339.87481525336102</v>
      </c>
      <c r="O25" s="414">
        <f>IF('AcresYieldsPrices&amp;Water'!$D$5=0,0,(O$6*$K25)-(BASEBUDGETS!$H$181/'AcresYieldsPrices&amp;Water'!$D$5))</f>
        <v>-264.87481525336102</v>
      </c>
      <c r="P25" s="415">
        <f>IF('AcresYieldsPrices&amp;Water'!$D$5=0,0,(P$6*$K25)-(BASEBUDGETS!$H$181/'AcresYieldsPrices&amp;Water'!$D$5))</f>
        <v>-189.87481525336102</v>
      </c>
      <c r="Q25" s="2"/>
      <c r="R25" s="362"/>
      <c r="S25" s="363" t="str">
        <f t="shared" si="2"/>
        <v>Level +1</v>
      </c>
      <c r="T25" s="364">
        <f>((D25*'AcresYieldsPrices&amp;Water'!$D$4)+(L25*'AcresYieldsPrices&amp;Water'!$D$5)+BASEBUDGETS!$C$20)/'AcresYieldsPrices&amp;Water'!$D$21</f>
        <v>-336.56287430494808</v>
      </c>
      <c r="U25" s="364">
        <f>((E25*'AcresYieldsPrices&amp;Water'!$D$4)+(M25*'AcresYieldsPrices&amp;Water'!$D$5)+BASEBUDGETS!$C$20)/'AcresYieldsPrices&amp;Water'!$D$21</f>
        <v>-184.06287430494802</v>
      </c>
      <c r="V25" s="364">
        <f>((F25*'AcresYieldsPrices&amp;Water'!$D$4)+(N25*'AcresYieldsPrices&amp;Water'!$D$5)+BASEBUDGETS!$C$20)/'AcresYieldsPrices&amp;Water'!$D$21</f>
        <v>-31.562874304948028</v>
      </c>
      <c r="W25" s="364">
        <f>((G25*'AcresYieldsPrices&amp;Water'!$D$4)+(O25*'AcresYieldsPrices&amp;Water'!$D$5)+BASEBUDGETS!$C$20)/'AcresYieldsPrices&amp;Water'!$D$21</f>
        <v>120.93712569505199</v>
      </c>
      <c r="X25" s="365">
        <f>((H25*'AcresYieldsPrices&amp;Water'!$D$4)+(P25*'AcresYieldsPrices&amp;Water'!$D$5)+BASEBUDGETS!$C$20)/'AcresYieldsPrices&amp;Water'!$D$21</f>
        <v>273.43712569505198</v>
      </c>
      <c r="Z25" s="2"/>
      <c r="AA25" s="2"/>
      <c r="AB25" s="2"/>
      <c r="AC25" s="2"/>
      <c r="AD25" s="2"/>
      <c r="AE25" s="2"/>
    </row>
    <row r="26" spans="1:31" ht="21">
      <c r="A26" s="2"/>
      <c r="B26" s="3"/>
      <c r="C26" s="4">
        <f t="shared" si="0"/>
        <v>24000</v>
      </c>
      <c r="D26" s="414">
        <f>IF('AcresYieldsPrices&amp;Water'!$D$4=0,0,((D$6*($C26*3)/6)-BASEBUDGETS!$H$8))</f>
        <v>-163.25093335653509</v>
      </c>
      <c r="E26" s="414">
        <f>IF('AcresYieldsPrices&amp;Water'!$D$4=0,0,((E$6*($C26*3)/6)-BASEBUDGETS!$H$8))</f>
        <v>76.749066643464971</v>
      </c>
      <c r="F26" s="414">
        <f>IF('AcresYieldsPrices&amp;Water'!$D$4=0,0,((F$6*($C26*3)/6)-BASEBUDGETS!$H$8))</f>
        <v>316.74906664346497</v>
      </c>
      <c r="G26" s="414">
        <f>IF('AcresYieldsPrices&amp;Water'!$D$4=0,0,((G$6*($C26*3)/6)-BASEBUDGETS!$H$8))</f>
        <v>556.74906664346497</v>
      </c>
      <c r="H26" s="415">
        <f>IF('AcresYieldsPrices&amp;Water'!$D$4=0,0,((H$6*($C26*3)/6)-BASEBUDGETS!$H$8))</f>
        <v>796.74906664346497</v>
      </c>
      <c r="I26" s="2"/>
      <c r="J26" s="3"/>
      <c r="K26" s="4">
        <f t="shared" si="1"/>
        <v>1600</v>
      </c>
      <c r="L26" s="422">
        <f>IF('AcresYieldsPrices&amp;Water'!$D$5=0,0,(L$6*$K26)-(BASEBUDGETS!$H$181/'AcresYieldsPrices&amp;Water'!$D$5))</f>
        <v>-474.87481525336102</v>
      </c>
      <c r="M26" s="414">
        <f>IF('AcresYieldsPrices&amp;Water'!$D$5=0,0,(M$6*$K26)-(BASEBUDGETS!$H$181/'AcresYieldsPrices&amp;Water'!$D$5))</f>
        <v>-394.87481525336102</v>
      </c>
      <c r="N26" s="414">
        <f>IF('AcresYieldsPrices&amp;Water'!$D$5=0,0,(N$6*$K26)-(BASEBUDGETS!$H$181/'AcresYieldsPrices&amp;Water'!$D$5))</f>
        <v>-314.87481525336102</v>
      </c>
      <c r="O26" s="414">
        <f>IF('AcresYieldsPrices&amp;Water'!$D$5=0,0,(O$6*$K26)-(BASEBUDGETS!$H$181/'AcresYieldsPrices&amp;Water'!$D$5))</f>
        <v>-234.87481525336102</v>
      </c>
      <c r="P26" s="415">
        <f>IF('AcresYieldsPrices&amp;Water'!$D$5=0,0,(P$6*$K26)-(BASEBUDGETS!$H$181/'AcresYieldsPrices&amp;Water'!$D$5))</f>
        <v>-154.87481525336102</v>
      </c>
      <c r="Q26" s="2"/>
      <c r="R26" s="362"/>
      <c r="S26" s="363" t="str">
        <f t="shared" si="2"/>
        <v>Level +2</v>
      </c>
      <c r="T26" s="364">
        <f>((D26*'AcresYieldsPrices&amp;Water'!$D$4)+(L26*'AcresYieldsPrices&amp;Water'!$D$5)+BASEBUDGETS!$C$20)/'AcresYieldsPrices&amp;Water'!$D$21</f>
        <v>-319.06287430494808</v>
      </c>
      <c r="U26" s="364">
        <f>((E26*'AcresYieldsPrices&amp;Water'!$D$4)+(M26*'AcresYieldsPrices&amp;Water'!$D$5)+BASEBUDGETS!$C$20)/'AcresYieldsPrices&amp;Water'!$D$21</f>
        <v>-159.062874304948</v>
      </c>
      <c r="V26" s="364">
        <f>((F26*'AcresYieldsPrices&amp;Water'!$D$4)+(N26*'AcresYieldsPrices&amp;Water'!$D$5)+BASEBUDGETS!$C$20)/'AcresYieldsPrices&amp;Water'!$D$21</f>
        <v>0.93712569505196974</v>
      </c>
      <c r="W26" s="364">
        <f>((G26*'AcresYieldsPrices&amp;Water'!$D$4)+(O26*'AcresYieldsPrices&amp;Water'!$D$5)+BASEBUDGETS!$C$20)/'AcresYieldsPrices&amp;Water'!$D$21</f>
        <v>160.937125695052</v>
      </c>
      <c r="X26" s="365">
        <f>((H26*'AcresYieldsPrices&amp;Water'!$D$4)+(P26*'AcresYieldsPrices&amp;Water'!$D$5)+BASEBUDGETS!$C$20)/'AcresYieldsPrices&amp;Water'!$D$21</f>
        <v>320.93712569505198</v>
      </c>
      <c r="Z26" s="2"/>
      <c r="AA26" s="2"/>
      <c r="AB26" s="2"/>
      <c r="AC26" s="2"/>
      <c r="AD26" s="2"/>
      <c r="AE26" s="2"/>
    </row>
    <row r="27" spans="1:31" ht="21.6" thickBot="1">
      <c r="A27" s="2"/>
      <c r="B27" s="8"/>
      <c r="C27" s="9">
        <f t="shared" si="0"/>
        <v>25000</v>
      </c>
      <c r="D27" s="424">
        <f>IF('AcresYieldsPrices&amp;Water'!$D$4=0,0,((D$6*($C27*3)/6)-BASEBUDGETS!$H$8))</f>
        <v>-143.25093335653509</v>
      </c>
      <c r="E27" s="424">
        <f>IF('AcresYieldsPrices&amp;Water'!$D$4=0,0,((E$6*($C27*3)/6)-BASEBUDGETS!$H$8))</f>
        <v>106.74906664346497</v>
      </c>
      <c r="F27" s="424">
        <f>IF('AcresYieldsPrices&amp;Water'!$D$4=0,0,((F$6*($C27*3)/6)-BASEBUDGETS!$H$8))</f>
        <v>356.74906664346497</v>
      </c>
      <c r="G27" s="424">
        <f>IF('AcresYieldsPrices&amp;Water'!$D$4=0,0,((G$6*($C27*3)/6)-BASEBUDGETS!$H$8))</f>
        <v>606.74906664346497</v>
      </c>
      <c r="H27" s="425">
        <f>IF('AcresYieldsPrices&amp;Water'!$D$4=0,0,((H$6*($C27*3)/6)-BASEBUDGETS!$H$8))</f>
        <v>856.74906664346497</v>
      </c>
      <c r="I27" s="2"/>
      <c r="J27" s="8"/>
      <c r="K27" s="9">
        <f t="shared" si="1"/>
        <v>1700</v>
      </c>
      <c r="L27" s="423">
        <f>IF('AcresYieldsPrices&amp;Water'!$D$5=0,0,(L$6*$K27)-(BASEBUDGETS!$H$181/'AcresYieldsPrices&amp;Water'!$D$5))</f>
        <v>-459.87481525336102</v>
      </c>
      <c r="M27" s="424">
        <f>IF('AcresYieldsPrices&amp;Water'!$D$5=0,0,(M$6*$K27)-(BASEBUDGETS!$H$181/'AcresYieldsPrices&amp;Water'!$D$5))</f>
        <v>-374.87481525336102</v>
      </c>
      <c r="N27" s="424">
        <f>IF('AcresYieldsPrices&amp;Water'!$D$5=0,0,(N$6*$K27)-(BASEBUDGETS!$H$181/'AcresYieldsPrices&amp;Water'!$D$5))</f>
        <v>-289.87481525336102</v>
      </c>
      <c r="O27" s="424">
        <f>IF('AcresYieldsPrices&amp;Water'!$D$5=0,0,(O$6*$K27)-(BASEBUDGETS!$H$181/'AcresYieldsPrices&amp;Water'!$D$5))</f>
        <v>-204.87481525336102</v>
      </c>
      <c r="P27" s="425">
        <f>IF('AcresYieldsPrices&amp;Water'!$D$5=0,0,(P$6*$K27)-(BASEBUDGETS!$H$181/'AcresYieldsPrices&amp;Water'!$D$5))</f>
        <v>-119.87481525336102</v>
      </c>
      <c r="Q27" s="2"/>
      <c r="R27" s="375"/>
      <c r="S27" s="376" t="str">
        <f t="shared" si="2"/>
        <v>Level +3</v>
      </c>
      <c r="T27" s="476">
        <f>((D27*'AcresYieldsPrices&amp;Water'!$D$4)+(L27*'AcresYieldsPrices&amp;Water'!$D$5)+BASEBUDGETS!$C$20)/'AcresYieldsPrices&amp;Water'!$D$21</f>
        <v>-301.56287430494808</v>
      </c>
      <c r="U27" s="476">
        <f>((E27*'AcresYieldsPrices&amp;Water'!$D$4)+(M27*'AcresYieldsPrices&amp;Water'!$D$5)+BASEBUDGETS!$C$20)/'AcresYieldsPrices&amp;Water'!$D$21</f>
        <v>-134.062874304948</v>
      </c>
      <c r="V27" s="476">
        <f>((F27*'AcresYieldsPrices&amp;Water'!$D$4)+(N27*'AcresYieldsPrices&amp;Water'!$D$5)+BASEBUDGETS!$C$20)/'AcresYieldsPrices&amp;Water'!$D$21</f>
        <v>33.437125695051968</v>
      </c>
      <c r="W27" s="476">
        <f>((G27*'AcresYieldsPrices&amp;Water'!$D$4)+(O27*'AcresYieldsPrices&amp;Water'!$D$5)+BASEBUDGETS!$C$20)/'AcresYieldsPrices&amp;Water'!$D$21</f>
        <v>200.937125695052</v>
      </c>
      <c r="X27" s="477">
        <f>((H27*'AcresYieldsPrices&amp;Water'!$D$4)+(P27*'AcresYieldsPrices&amp;Water'!$D$5)+BASEBUDGETS!$C$20)/'AcresYieldsPrices&amp;Water'!$D$21</f>
        <v>368.43712569505198</v>
      </c>
      <c r="Z27" s="2"/>
      <c r="AA27" s="2"/>
      <c r="AB27" s="2"/>
      <c r="AC27" s="2"/>
      <c r="AD27" s="2"/>
      <c r="AE27" s="2"/>
    </row>
    <row r="28" spans="1:31" s="2" customFormat="1" ht="18">
      <c r="B28" s="10"/>
      <c r="C28" s="10"/>
      <c r="D28" s="10"/>
      <c r="E28" s="10"/>
      <c r="F28" s="10"/>
      <c r="G28" s="10"/>
      <c r="H28" s="10"/>
    </row>
    <row r="29" spans="1:31" s="2" customFormat="1" ht="15" customHeight="1">
      <c r="D29" s="263"/>
      <c r="E29" s="263"/>
      <c r="R29" s="494" t="s">
        <v>519</v>
      </c>
      <c r="S29" s="494"/>
      <c r="T29" s="494"/>
      <c r="U29" s="494"/>
      <c r="V29" s="494"/>
      <c r="W29" s="494"/>
      <c r="X29" s="494"/>
    </row>
    <row r="30" spans="1:31" s="2" customFormat="1" ht="15" customHeight="1">
      <c r="D30" s="263"/>
      <c r="E30" s="263"/>
      <c r="R30" s="494"/>
      <c r="S30" s="494"/>
      <c r="T30" s="494"/>
      <c r="U30" s="494"/>
      <c r="V30" s="494"/>
      <c r="W30" s="494"/>
      <c r="X30" s="494"/>
    </row>
    <row r="31" spans="1:31" s="2" customFormat="1" ht="15.9" customHeight="1" thickBot="1">
      <c r="D31" s="263"/>
      <c r="E31" s="263"/>
      <c r="R31" s="494"/>
      <c r="S31" s="494"/>
      <c r="T31" s="494"/>
      <c r="U31" s="494"/>
      <c r="V31" s="494"/>
      <c r="W31" s="494"/>
      <c r="X31" s="494"/>
    </row>
    <row r="32" spans="1:31" s="2" customFormat="1" ht="21">
      <c r="D32" s="263"/>
      <c r="E32" s="263"/>
      <c r="R32" s="446" t="s">
        <v>10</v>
      </c>
      <c r="S32" s="432"/>
      <c r="T32" s="432"/>
      <c r="U32" s="432"/>
      <c r="V32" s="445" t="s">
        <v>10</v>
      </c>
      <c r="W32" s="432"/>
      <c r="X32" s="433"/>
    </row>
    <row r="33" spans="18:24" s="2" customFormat="1" ht="21">
      <c r="R33" s="444" t="s">
        <v>10</v>
      </c>
      <c r="S33" s="28"/>
      <c r="T33" s="28"/>
      <c r="U33" s="28"/>
      <c r="V33" s="448" t="s">
        <v>10</v>
      </c>
      <c r="W33" s="28"/>
      <c r="X33" s="435"/>
    </row>
    <row r="34" spans="18:24" s="2" customFormat="1" ht="21">
      <c r="R34" s="444" t="s">
        <v>10</v>
      </c>
      <c r="S34" s="28"/>
      <c r="T34" s="28"/>
      <c r="U34" s="28"/>
      <c r="V34" s="447" t="s">
        <v>10</v>
      </c>
      <c r="W34" s="28"/>
      <c r="X34" s="435"/>
    </row>
    <row r="35" spans="18:24" s="2" customFormat="1" ht="21">
      <c r="R35" s="434"/>
      <c r="S35" s="28"/>
      <c r="T35" s="28"/>
      <c r="U35" s="28"/>
      <c r="V35" s="28"/>
      <c r="W35" s="28"/>
      <c r="X35" s="435"/>
    </row>
    <row r="36" spans="18:24" s="2" customFormat="1" ht="21.6" thickBot="1">
      <c r="R36" s="436"/>
      <c r="S36" s="437"/>
      <c r="T36" s="437"/>
      <c r="U36" s="437"/>
      <c r="V36" s="437"/>
      <c r="W36" s="437"/>
      <c r="X36" s="438"/>
    </row>
    <row r="37" spans="18:24" s="2" customFormat="1"/>
    <row r="38" spans="18:24" s="2" customFormat="1"/>
    <row r="39" spans="18:24" s="2" customFormat="1"/>
    <row r="40" spans="18:24" s="2" customFormat="1"/>
    <row r="41" spans="18:24" s="2" customFormat="1"/>
    <row r="42" spans="18:24" s="2" customFormat="1"/>
    <row r="43" spans="18:24" s="2" customFormat="1"/>
    <row r="44" spans="18:24" s="2" customFormat="1"/>
    <row r="45" spans="18:24" s="2" customFormat="1"/>
    <row r="46" spans="18:24" s="2" customFormat="1"/>
    <row r="47" spans="18:24" s="2" customFormat="1"/>
    <row r="48" spans="18:24"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96" spans="3:3">
      <c r="C96" s="2"/>
    </row>
    <row r="97" spans="3:3">
      <c r="C97" s="2"/>
    </row>
    <row r="98" spans="3:3">
      <c r="C98" s="2"/>
    </row>
    <row r="99" spans="3:3">
      <c r="C99" s="75" t="s">
        <v>10</v>
      </c>
    </row>
  </sheetData>
  <sheetProtection algorithmName="SHA-512" hashValue="YsiT5mZf+rVt/75Xq3JjTt2r1VsUMVOC8HxwpBSlMUyWcRxO5D3to13U2szNr+NRHCeLYb2U0JncbsxfMHgUzQ==" saltValue="FYgunp0UaVU89MRiRd0ISg==" spinCount="100000" sheet="1" objects="1" scenarios="1"/>
  <sortState xmlns:xlrd2="http://schemas.microsoft.com/office/spreadsheetml/2017/richdata2" ref="J46:J94">
    <sortCondition ref="J46:J94"/>
  </sortState>
  <mergeCells count="19">
    <mergeCell ref="R29:X31"/>
    <mergeCell ref="R4:X4"/>
    <mergeCell ref="J2:N2"/>
    <mergeCell ref="J3:P4"/>
    <mergeCell ref="T3:V3"/>
    <mergeCell ref="R2:W2"/>
    <mergeCell ref="W3:X3"/>
    <mergeCell ref="K5:K6"/>
    <mergeCell ref="J5:J6"/>
    <mergeCell ref="T5:X5"/>
    <mergeCell ref="S5:S6"/>
    <mergeCell ref="R5:R6"/>
    <mergeCell ref="L5:M5"/>
    <mergeCell ref="O5:P5"/>
    <mergeCell ref="B4:H4"/>
    <mergeCell ref="B3:G3"/>
    <mergeCell ref="B5:B6"/>
    <mergeCell ref="C5:C6"/>
    <mergeCell ref="D5:H5"/>
  </mergeCells>
  <phoneticPr fontId="73" type="noConversion"/>
  <pageMargins left="0.7" right="0.7" top="0.75" bottom="0.75" header="0.3" footer="0.3"/>
  <pageSetup scale="41" orientation="landscape" horizontalDpi="0" verticalDpi="0"/>
  <ignoredErrors>
    <ignoredError sqref="C7:C13 K7:K13 L5:M5 O5:P5 W3 D6:H6 L6:P6" unlockedFormula="1"/>
  </ignoredError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B84D6-AF1A-9A4A-8374-489351EF2672}">
  <sheetPr codeName="Sheet21">
    <pageSetUpPr fitToPage="1"/>
  </sheetPr>
  <dimension ref="A1:N116"/>
  <sheetViews>
    <sheetView zoomScale="110" zoomScaleNormal="110" workbookViewId="0">
      <selection activeCell="H4" sqref="H4"/>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7.88671875" style="757" customWidth="1"/>
    <col min="10" max="10" width="15.88671875" style="757" customWidth="1"/>
    <col min="11" max="11" width="6.33203125" style="611" hidden="1" customWidth="1"/>
    <col min="12" max="14" width="11.44140625" style="653" hidden="1" customWidth="1"/>
    <col min="15" max="16384" width="11.44140625" style="653"/>
  </cols>
  <sheetData>
    <row r="1" spans="2:14" s="611" customFormat="1"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'AcresYieldsPrices&amp;Water'!B9</f>
        <v>Irr. Water Reduction: Set-aside</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BASEBUDGETS!B1164</f>
        <v>Irr. Water Reduction: Set-aside</v>
      </c>
      <c r="C4" s="754"/>
      <c r="D4" s="754"/>
      <c r="E4" s="754"/>
      <c r="F4" s="755" t="str">
        <f>BASEBUDGETS!C1164</f>
        <v>acre</v>
      </c>
      <c r="G4" s="756">
        <f>BASEBUDGETS!D1164</f>
        <v>0</v>
      </c>
      <c r="H4" s="757"/>
      <c r="I4" s="758">
        <f>IF(BASEBUDGETS!E1164=0,0,BASEBUDGETS!E1164/BASEBUDGETS!C1160)</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BASEBUDGETS!B1199</f>
        <v>V Ripper, Custom</v>
      </c>
      <c r="D9" s="765">
        <f>CustomOperations!K5</f>
        <v>44.25</v>
      </c>
      <c r="E9" s="771" t="e">
        <f>BASEBUDGETS!E1199/BASEBUDGETS!C1160</f>
        <v>#DIV/0!</v>
      </c>
      <c r="F9" s="770" t="str">
        <f>BASEBUDGETS!C1199</f>
        <v>acre</v>
      </c>
      <c r="G9" s="756">
        <v>0</v>
      </c>
      <c r="H9" s="756">
        <v>0</v>
      </c>
      <c r="I9" s="756" t="e">
        <f>IF(E9=0,0,BASEBUDGETS!D1199*E9)</f>
        <v>#DIV/0!</v>
      </c>
      <c r="J9" s="765" t="e">
        <f>G9+H9+I9</f>
        <v>#DIV/0!</v>
      </c>
      <c r="L9" s="772">
        <f>N9*'AcresYieldsPrices&amp;Water'!D$9</f>
        <v>0</v>
      </c>
      <c r="M9" s="611" t="s">
        <v>394</v>
      </c>
      <c r="N9" s="653">
        <f>IFERROR(I37,0)</f>
        <v>0</v>
      </c>
    </row>
    <row r="10" spans="2:14" s="611" customFormat="1" ht="21">
      <c r="C10" s="660" t="str">
        <f>BASEBUDGETS!B1200</f>
        <v>Disk, Custom</v>
      </c>
      <c r="D10" s="765">
        <f>CustomOperations!K7</f>
        <v>0</v>
      </c>
      <c r="E10" s="771" t="e">
        <f>BASEBUDGETS!E1200/BASEBUDGETS!C1160</f>
        <v>#DIV/0!</v>
      </c>
      <c r="F10" s="770" t="str">
        <f>BASEBUDGETS!C1200</f>
        <v>acre</v>
      </c>
      <c r="G10" s="756">
        <v>0</v>
      </c>
      <c r="H10" s="756">
        <v>0</v>
      </c>
      <c r="I10" s="756" t="e">
        <f>IF(E10=0,0,BASEBUDGETS!D1200*E10)</f>
        <v>#DIV/0!</v>
      </c>
      <c r="J10" s="765" t="e">
        <f>G10+H10+I10</f>
        <v>#DIV/0!</v>
      </c>
      <c r="L10" s="772">
        <f>N10*'AcresYieldsPrices&amp;Water'!D$9</f>
        <v>0</v>
      </c>
      <c r="M10" s="611" t="s">
        <v>395</v>
      </c>
      <c r="N10" s="653">
        <f>IFERROR(I44,0)</f>
        <v>0</v>
      </c>
    </row>
    <row r="11" spans="2:14" s="611" customFormat="1" ht="21">
      <c r="C11" s="660" t="str">
        <f>BASEBUDGETS!B1201</f>
        <v>Drag, Custom</v>
      </c>
      <c r="D11" s="765">
        <f>CustomOperations!K9</f>
        <v>0</v>
      </c>
      <c r="E11" s="771" t="e">
        <f>BASEBUDGETS!E1201/BASEBUDGETS!C1160</f>
        <v>#DIV/0!</v>
      </c>
      <c r="F11" s="770" t="str">
        <f>BASEBUDGETS!C1201</f>
        <v>acre</v>
      </c>
      <c r="G11" s="756">
        <v>0</v>
      </c>
      <c r="H11" s="756">
        <v>0</v>
      </c>
      <c r="I11" s="756" t="e">
        <f>IF(E11=0,0,BASEBUDGETS!D1201*E11)</f>
        <v>#DIV/0!</v>
      </c>
      <c r="J11" s="765" t="e">
        <f t="shared" ref="J11:J30" si="0">G11+H11+I11</f>
        <v>#DIV/0!</v>
      </c>
      <c r="L11" s="772">
        <f>N11*'AcresYieldsPrices&amp;Water'!D$9</f>
        <v>0</v>
      </c>
      <c r="M11" s="611" t="s">
        <v>396</v>
      </c>
      <c r="N11" s="653">
        <f>IFERROR(I54,0)</f>
        <v>0</v>
      </c>
    </row>
    <row r="12" spans="2:14" s="611" customFormat="1" ht="21">
      <c r="C12" s="660" t="str">
        <f>BASEBUDGETS!B1202</f>
        <v>Chisel, Custom</v>
      </c>
      <c r="D12" s="765">
        <f>CustomOperations!K11</f>
        <v>0</v>
      </c>
      <c r="E12" s="771" t="e">
        <f>BASEBUDGETS!E1202/BASEBUDGETS!C1160</f>
        <v>#DIV/0!</v>
      </c>
      <c r="F12" s="770" t="str">
        <f>BASEBUDGETS!C1202</f>
        <v>acre</v>
      </c>
      <c r="G12" s="756">
        <v>0</v>
      </c>
      <c r="H12" s="756">
        <v>0</v>
      </c>
      <c r="I12" s="756" t="e">
        <f>IF(E12=0,0,BASEBUDGETS!D1202*E12)</f>
        <v>#DIV/0!</v>
      </c>
      <c r="J12" s="765" t="e">
        <f t="shared" si="0"/>
        <v>#DIV/0!</v>
      </c>
      <c r="L12" s="772">
        <f>N12*'AcresYieldsPrices&amp;Water'!D$9</f>
        <v>0</v>
      </c>
      <c r="M12" s="611" t="s">
        <v>392</v>
      </c>
      <c r="N12" s="653">
        <f>IFERROR(E29+E30+E74+E75+E91+E92+E72+E69+E66,0)</f>
        <v>0</v>
      </c>
    </row>
    <row r="13" spans="2:14" s="611" customFormat="1" ht="21">
      <c r="C13" s="660" t="str">
        <f>BASEBUDGETS!B1203</f>
        <v>Moldboard Plow, Custom</v>
      </c>
      <c r="D13" s="765">
        <f>CustomOperations!K13</f>
        <v>0</v>
      </c>
      <c r="E13" s="771" t="e">
        <f>BASEBUDGETS!E1203/BASEBUDGETS!C1160</f>
        <v>#DIV/0!</v>
      </c>
      <c r="F13" s="770" t="str">
        <f>BASEBUDGETS!C1203</f>
        <v>acre</v>
      </c>
      <c r="G13" s="756">
        <v>0</v>
      </c>
      <c r="H13" s="756">
        <v>0</v>
      </c>
      <c r="I13" s="756" t="e">
        <f>IF(E13=0,0,BASEBUDGETS!D1203*E13)</f>
        <v>#DIV/0!</v>
      </c>
      <c r="J13" s="765" t="e">
        <f t="shared" si="0"/>
        <v>#DIV/0!</v>
      </c>
      <c r="L13" s="772">
        <f>N13*'AcresYieldsPrices&amp;Water'!D$9</f>
        <v>0</v>
      </c>
      <c r="M13" s="611" t="s">
        <v>393</v>
      </c>
      <c r="N13" s="653">
        <f>IFERROR(((SUM(G18:G28)+G36+G34+G35+G43+G42+G53+G63+SUM(G80:G90))/[2]GeneralInputPrices!$D$20),0)</f>
        <v>0</v>
      </c>
    </row>
    <row r="14" spans="2:14" s="611" customFormat="1" ht="21">
      <c r="C14" s="660" t="str">
        <f>BASEBUDGETS!B1204</f>
        <v>Landplane, Custom</v>
      </c>
      <c r="D14" s="765">
        <f>CustomOperations!K15</f>
        <v>17.940000000000001</v>
      </c>
      <c r="E14" s="771" t="e">
        <f>BASEBUDGETS!E1204/BASEBUDGETS!C1160</f>
        <v>#DIV/0!</v>
      </c>
      <c r="F14" s="770" t="str">
        <f>BASEBUDGETS!C1204</f>
        <v>acre</v>
      </c>
      <c r="G14" s="756">
        <v>0</v>
      </c>
      <c r="H14" s="756">
        <v>0</v>
      </c>
      <c r="I14" s="756" t="e">
        <f>IF(E14=0,0,BASEBUDGETS!D1204*E14)</f>
        <v>#DIV/0!</v>
      </c>
      <c r="J14" s="765" t="e">
        <f t="shared" si="0"/>
        <v>#DIV/0!</v>
      </c>
      <c r="L14" s="772">
        <f>N14*'AcresYieldsPrices&amp;Water'!D$9</f>
        <v>0</v>
      </c>
      <c r="M14" s="611" t="s">
        <v>186</v>
      </c>
      <c r="N14" s="653">
        <f>IFERROR(H96,0)</f>
        <v>0</v>
      </c>
    </row>
    <row r="15" spans="2:14" s="611" customFormat="1" ht="21">
      <c r="C15" s="660" t="str">
        <f>BASEBUDGETS!B1205</f>
        <v>Float, Custom</v>
      </c>
      <c r="D15" s="765">
        <f>CustomOperations!K17</f>
        <v>17.940000000000001</v>
      </c>
      <c r="E15" s="771" t="e">
        <f>BASEBUDGETS!E1205/BASEBUDGETS!C1160</f>
        <v>#DIV/0!</v>
      </c>
      <c r="F15" s="770" t="str">
        <f>BASEBUDGETS!C1205</f>
        <v>acre</v>
      </c>
      <c r="G15" s="756">
        <v>0</v>
      </c>
      <c r="H15" s="756">
        <v>0</v>
      </c>
      <c r="I15" s="756" t="e">
        <f>IF(E15=0,0,BASEBUDGETS!D1205*E15)</f>
        <v>#DIV/0!</v>
      </c>
      <c r="J15" s="765" t="e">
        <f t="shared" si="0"/>
        <v>#DIV/0!</v>
      </c>
      <c r="L15" s="772">
        <f>N15*'AcresYieldsPrices&amp;Water'!D$9</f>
        <v>0</v>
      </c>
      <c r="M15" s="611" t="s">
        <v>401</v>
      </c>
      <c r="N15" s="653">
        <f>IFERROR(J108,0)</f>
        <v>0</v>
      </c>
    </row>
    <row r="16" spans="2:14" s="611" customFormat="1" ht="21">
      <c r="C16" s="660" t="str">
        <f>BASEBUDGETS!B1206</f>
        <v>Lister, Custom</v>
      </c>
      <c r="D16" s="765">
        <f>CustomOperations!K19</f>
        <v>20.38</v>
      </c>
      <c r="E16" s="771" t="e">
        <f>BASEBUDGETS!E1206/BASEBUDGETS!C1160</f>
        <v>#DIV/0!</v>
      </c>
      <c r="F16" s="770" t="str">
        <f>BASEBUDGETS!C1206</f>
        <v>acre</v>
      </c>
      <c r="G16" s="756">
        <v>0</v>
      </c>
      <c r="H16" s="756">
        <v>0</v>
      </c>
      <c r="I16" s="756" t="e">
        <f>IF(E16=0,0,BASEBUDGETS!D1206*E16)</f>
        <v>#DIV/0!</v>
      </c>
      <c r="J16" s="765" t="e">
        <f t="shared" si="0"/>
        <v>#DIV/0!</v>
      </c>
      <c r="L16" s="772">
        <f>N16*'AcresYieldsPrices&amp;Water'!D$9</f>
        <v>0</v>
      </c>
      <c r="M16" s="611" t="s">
        <v>405</v>
      </c>
      <c r="N16" s="653">
        <f>IFERROR((J79+J78+J77+J62+J52+J41+J40+J33+J32+SUM(J9:J17)),0)</f>
        <v>0</v>
      </c>
    </row>
    <row r="17" spans="2:13" s="611" customFormat="1" ht="21">
      <c r="C17" s="660" t="str">
        <f>BASEBUDGETS!B1207</f>
        <v>Bed Shape, Custom</v>
      </c>
      <c r="D17" s="765">
        <f>CustomOperations!K21</f>
        <v>13.69</v>
      </c>
      <c r="E17" s="771" t="e">
        <f>BASEBUDGETS!E1207/BASEBUDGETS!C1160</f>
        <v>#DIV/0!</v>
      </c>
      <c r="F17" s="770" t="str">
        <f>BASEBUDGETS!C1207</f>
        <v>acre</v>
      </c>
      <c r="G17" s="756">
        <v>0</v>
      </c>
      <c r="H17" s="756">
        <v>0</v>
      </c>
      <c r="I17" s="756" t="e">
        <f>IF(E17=0,0,BASEBUDGETS!D1207*E17)</f>
        <v>#DIV/0!</v>
      </c>
      <c r="J17" s="765" t="e">
        <f t="shared" si="0"/>
        <v>#DIV/0!</v>
      </c>
      <c r="L17" s="757" t="e">
        <f>J112*'AcresYieldsPrices&amp;Water'!D9</f>
        <v>#DIV/0!</v>
      </c>
      <c r="M17" s="611" t="s">
        <v>483</v>
      </c>
    </row>
    <row r="18" spans="2:13" s="611" customFormat="1" ht="21">
      <c r="C18" s="660" t="str">
        <f>TillageOperations!$B$7</f>
        <v>V-Ripper</v>
      </c>
      <c r="D18" s="765"/>
      <c r="E18" s="771" t="e">
        <f>BASEBUDGETS!E1211/BASEBUDGETS!C1160</f>
        <v>#DIV/0!</v>
      </c>
      <c r="F18" s="770" t="str">
        <f>BASEBUDGETS!C1211</f>
        <v>acre</v>
      </c>
      <c r="G18" s="756" t="e">
        <f>IF(E18=0,0,BASEBUDGETS!D1212*E18)</f>
        <v>#DIV/0!</v>
      </c>
      <c r="H18" s="756" t="e">
        <f>IF(E18=0,0,BASEBUDGETS!D1211*E18)</f>
        <v>#DIV/0!</v>
      </c>
      <c r="I18" s="756">
        <v>0</v>
      </c>
      <c r="J18" s="765" t="e">
        <f t="shared" si="0"/>
        <v>#DIV/0!</v>
      </c>
    </row>
    <row r="19" spans="2:13" s="611" customFormat="1" ht="21">
      <c r="C19" s="660" t="str">
        <f>TillageOperations!$B$8</f>
        <v>Offset Disk</v>
      </c>
      <c r="D19" s="765"/>
      <c r="E19" s="771" t="e">
        <f>BASEBUDGETS!E1213/BASEBUDGETS!C1160</f>
        <v>#DIV/0!</v>
      </c>
      <c r="F19" s="770" t="str">
        <f>BASEBUDGETS!C1213</f>
        <v>acre</v>
      </c>
      <c r="G19" s="756" t="e">
        <f>IF(E19=0,0,BASEBUDGETS!D1214*E19)</f>
        <v>#DIV/0!</v>
      </c>
      <c r="H19" s="756" t="e">
        <f>IF(E19=0,0,BASEBUDGETS!D1213*E19)</f>
        <v>#DIV/0!</v>
      </c>
      <c r="I19" s="756">
        <v>0</v>
      </c>
      <c r="J19" s="765" t="e">
        <f t="shared" si="0"/>
        <v>#DIV/0!</v>
      </c>
    </row>
    <row r="20" spans="2:13" s="611" customFormat="1" ht="21">
      <c r="C20" s="660" t="str">
        <f>TillageOperations!$B$9</f>
        <v>Drag</v>
      </c>
      <c r="D20" s="765"/>
      <c r="E20" s="771" t="e">
        <f>BASEBUDGETS!E1215/BASEBUDGETS!C1160</f>
        <v>#DIV/0!</v>
      </c>
      <c r="F20" s="770" t="str">
        <f>BASEBUDGETS!C1215</f>
        <v>acre</v>
      </c>
      <c r="G20" s="756" t="e">
        <f>IF(E20=0,0,BASEBUDGETS!D1216*E20)</f>
        <v>#DIV/0!</v>
      </c>
      <c r="H20" s="756" t="e">
        <f>IF(E20=0,0,BASEBUDGETS!D1215*E20)</f>
        <v>#DIV/0!</v>
      </c>
      <c r="I20" s="756">
        <v>0</v>
      </c>
      <c r="J20" s="765" t="e">
        <f t="shared" si="0"/>
        <v>#DIV/0!</v>
      </c>
    </row>
    <row r="21" spans="2:13" s="611" customFormat="1" ht="21">
      <c r="C21" s="660" t="str">
        <f>TillageOperations!$B$10</f>
        <v>Chisel</v>
      </c>
      <c r="D21" s="765"/>
      <c r="E21" s="771" t="e">
        <f>BASEBUDGETS!E1217/BASEBUDGETS!C1160</f>
        <v>#DIV/0!</v>
      </c>
      <c r="F21" s="770" t="str">
        <f>BASEBUDGETS!C1217</f>
        <v>acre</v>
      </c>
      <c r="G21" s="756" t="e">
        <f>IF(E21=0,0,BASEBUDGETS!D1218*E21)</f>
        <v>#DIV/0!</v>
      </c>
      <c r="H21" s="756" t="e">
        <f>IF(E21=0,0,BASEBUDGETS!D1217*E21)</f>
        <v>#DIV/0!</v>
      </c>
      <c r="I21" s="756">
        <v>0</v>
      </c>
      <c r="J21" s="765" t="e">
        <f t="shared" si="0"/>
        <v>#DIV/0!</v>
      </c>
    </row>
    <row r="22" spans="2:13" s="611" customFormat="1" ht="21">
      <c r="C22" s="660" t="str">
        <f>TillageOperations!$B$11</f>
        <v>Moldboard Plow</v>
      </c>
      <c r="D22" s="765"/>
      <c r="E22" s="771" t="e">
        <f>BASEBUDGETS!E1219/BASEBUDGETS!C1160</f>
        <v>#DIV/0!</v>
      </c>
      <c r="F22" s="770" t="str">
        <f>BASEBUDGETS!C1219</f>
        <v>acre</v>
      </c>
      <c r="G22" s="756" t="e">
        <f>IF(E22=0,0,BASEBUDGETS!D1220*E22)</f>
        <v>#DIV/0!</v>
      </c>
      <c r="H22" s="756" t="e">
        <f>IF(E22=0,0,BASEBUDGETS!D1219*E22)</f>
        <v>#DIV/0!</v>
      </c>
      <c r="I22" s="756">
        <v>0</v>
      </c>
      <c r="J22" s="765" t="e">
        <f t="shared" si="0"/>
        <v>#DIV/0!</v>
      </c>
    </row>
    <row r="23" spans="2:13" s="611" customFormat="1" ht="21">
      <c r="C23" s="660" t="str">
        <f>TillageOperations!$B$12</f>
        <v>Cultivator</v>
      </c>
      <c r="D23" s="765"/>
      <c r="E23" s="771" t="e">
        <f>BASEBUDGETS!E1221/BASEBUDGETS!C1160</f>
        <v>#DIV/0!</v>
      </c>
      <c r="F23" s="770" t="str">
        <f>BASEBUDGETS!C1221</f>
        <v>acre</v>
      </c>
      <c r="G23" s="756" t="e">
        <f>IF(E23=0,0,BASEBUDGETS!D1222*E23)</f>
        <v>#DIV/0!</v>
      </c>
      <c r="H23" s="756" t="e">
        <f>IF(E23=0,0,BASEBUDGETS!D1221*E23)</f>
        <v>#DIV/0!</v>
      </c>
      <c r="I23" s="756">
        <v>0</v>
      </c>
      <c r="J23" s="765" t="e">
        <f t="shared" si="0"/>
        <v>#DIV/0!</v>
      </c>
    </row>
    <row r="24" spans="2:13" s="611" customFormat="1" ht="21">
      <c r="C24" s="660" t="str">
        <f>TillageOperations!$B$13</f>
        <v>Landplane</v>
      </c>
      <c r="D24" s="765"/>
      <c r="E24" s="771" t="e">
        <f>BASEBUDGETS!E1223/BASEBUDGETS!C1160</f>
        <v>#DIV/0!</v>
      </c>
      <c r="F24" s="770" t="str">
        <f>BASEBUDGETS!C1223</f>
        <v>acre</v>
      </c>
      <c r="G24" s="756" t="e">
        <f>IF(E24=0,0,BASEBUDGETS!D1224*E24)</f>
        <v>#DIV/0!</v>
      </c>
      <c r="H24" s="756" t="e">
        <f>IF(E24=0,0,BASEBUDGETS!D1223*E24)</f>
        <v>#DIV/0!</v>
      </c>
      <c r="I24" s="756">
        <v>0</v>
      </c>
      <c r="J24" s="765" t="e">
        <f t="shared" si="0"/>
        <v>#DIV/0!</v>
      </c>
    </row>
    <row r="25" spans="2:13" s="611" customFormat="1" ht="21">
      <c r="C25" s="660" t="str">
        <f>TillageOperations!$B$14</f>
        <v>Float</v>
      </c>
      <c r="D25" s="765"/>
      <c r="E25" s="771" t="e">
        <f>BASEBUDGETS!E1225/BASEBUDGETS!C1160</f>
        <v>#DIV/0!</v>
      </c>
      <c r="F25" s="770" t="str">
        <f>BASEBUDGETS!C1225</f>
        <v>acre</v>
      </c>
      <c r="G25" s="756" t="e">
        <f>IF(E25=0,0,BASEBUDGETS!D1226*E25)</f>
        <v>#DIV/0!</v>
      </c>
      <c r="H25" s="756" t="e">
        <f>IF(E25=0,0,BASEBUDGETS!D1225*E25)</f>
        <v>#DIV/0!</v>
      </c>
      <c r="I25" s="756">
        <v>0</v>
      </c>
      <c r="J25" s="765" t="e">
        <f t="shared" si="0"/>
        <v>#DIV/0!</v>
      </c>
    </row>
    <row r="26" spans="2:13" s="611" customFormat="1" ht="21">
      <c r="C26" s="660" t="str">
        <f>TillageOperations!$B$15</f>
        <v>Lister</v>
      </c>
      <c r="D26" s="765"/>
      <c r="E26" s="771" t="e">
        <f>BASEBUDGETS!E1227/BASEBUDGETS!C1160</f>
        <v>#DIV/0!</v>
      </c>
      <c r="F26" s="770" t="str">
        <f>BASEBUDGETS!C1227</f>
        <v>acre</v>
      </c>
      <c r="G26" s="756" t="e">
        <f>IF(E26=0,0,BASEBUDGETS!D1228*E26)</f>
        <v>#DIV/0!</v>
      </c>
      <c r="H26" s="756" t="e">
        <f>IF(E26=0,0,BASEBUDGETS!D1227*E26)</f>
        <v>#DIV/0!</v>
      </c>
      <c r="I26" s="756">
        <v>0</v>
      </c>
      <c r="J26" s="765" t="e">
        <f t="shared" si="0"/>
        <v>#DIV/0!</v>
      </c>
    </row>
    <row r="27" spans="2:13" s="611" customFormat="1" ht="21">
      <c r="C27" s="660" t="str">
        <f>TillageOperations!$B$16</f>
        <v>Bed Shaper</v>
      </c>
      <c r="D27" s="765"/>
      <c r="E27" s="771" t="e">
        <f>BASEBUDGETS!E1229/BASEBUDGETS!C1160</f>
        <v>#DIV/0!</v>
      </c>
      <c r="F27" s="770" t="str">
        <f>BASEBUDGETS!C1229</f>
        <v>acre</v>
      </c>
      <c r="G27" s="756" t="e">
        <f>IF(E27=0,0,BASEBUDGETS!D1230*E27)</f>
        <v>#DIV/0!</v>
      </c>
      <c r="H27" s="756" t="e">
        <f>IF(E27=0,0,BASEBUDGETS!D1229*E27)</f>
        <v>#DIV/0!</v>
      </c>
      <c r="I27" s="756">
        <v>0</v>
      </c>
      <c r="J27" s="765" t="e">
        <f t="shared" si="0"/>
        <v>#DIV/0!</v>
      </c>
    </row>
    <row r="28" spans="2:13" s="611" customFormat="1" ht="21">
      <c r="C28" s="660" t="str">
        <f>TillageOperations!$B$17</f>
        <v>Cotton Shredder/Root Puller</v>
      </c>
      <c r="D28" s="765"/>
      <c r="E28" s="771" t="e">
        <f>BASEBUDGETS!E1243/BASEBUDGETS!C1160</f>
        <v>#DIV/0!</v>
      </c>
      <c r="F28" s="770" t="str">
        <f>BASEBUDGETS!C1243</f>
        <v>acre</v>
      </c>
      <c r="G28" s="756" t="e">
        <f>IF(E28=0,0,BASEBUDGETS!D1244*E28)</f>
        <v>#DIV/0!</v>
      </c>
      <c r="H28" s="756" t="e">
        <f>IF(E28=0,0,BASEBUDGETS!D1243*E28)</f>
        <v>#DIV/0!</v>
      </c>
      <c r="I28" s="756">
        <v>0</v>
      </c>
      <c r="J28" s="765" t="e">
        <f>G28+H28+I28</f>
        <v>#DIV/0!</v>
      </c>
    </row>
    <row r="29" spans="2:13" s="611" customFormat="1" ht="21">
      <c r="C29" s="660" t="str">
        <f>BASEBUDGETS!B1268</f>
        <v>Additional Land Prep. Labor</v>
      </c>
      <c r="D29" s="765">
        <f>GeneralInputPrices!$D$30</f>
        <v>14.55</v>
      </c>
      <c r="E29" s="758" t="e">
        <f>BASEBUDGETS!E1268/BASEBUDGETS!C1160</f>
        <v>#DIV/0!</v>
      </c>
      <c r="F29" s="773" t="str">
        <f>BASEBUDGETS!C1268</f>
        <v>hour</v>
      </c>
      <c r="G29" s="756" t="e">
        <f>D29*E29</f>
        <v>#DIV/0!</v>
      </c>
      <c r="H29" s="756">
        <v>0</v>
      </c>
      <c r="I29" s="756">
        <v>0</v>
      </c>
      <c r="J29" s="765" t="e">
        <f t="shared" si="0"/>
        <v>#DIV/0!</v>
      </c>
    </row>
    <row r="30" spans="2:13" s="611" customFormat="1" ht="21">
      <c r="C30" s="660" t="str">
        <f>BASEBUDGETS!B1269</f>
        <v>Additional Land Prep. Labor</v>
      </c>
      <c r="D30" s="765">
        <f>GeneralInputPrices!$D$30</f>
        <v>14.55</v>
      </c>
      <c r="E30" s="758" t="e">
        <f>BASEBUDGETS!E1269/BASEBUDGETS!C1160</f>
        <v>#DIV/0!</v>
      </c>
      <c r="F30" s="773" t="str">
        <f>BASEBUDGETS!C1269</f>
        <v>hour</v>
      </c>
      <c r="G30" s="756" t="e">
        <f>D30*E30</f>
        <v>#DIV/0!</v>
      </c>
      <c r="H30" s="756">
        <v>0</v>
      </c>
      <c r="I30" s="756">
        <v>0</v>
      </c>
      <c r="J30" s="765" t="e">
        <f t="shared" si="0"/>
        <v>#DIV/0!</v>
      </c>
    </row>
    <row r="31" spans="2:13" s="611" customFormat="1" ht="21">
      <c r="B31" s="760" t="s">
        <v>175</v>
      </c>
      <c r="C31" s="760"/>
      <c r="D31" s="765"/>
      <c r="E31" s="774"/>
      <c r="G31" s="757"/>
      <c r="H31" s="757"/>
      <c r="I31" s="757"/>
      <c r="J31" s="757"/>
    </row>
    <row r="32" spans="2:13" s="611" customFormat="1" ht="21">
      <c r="C32" s="660" t="str">
        <f>BASEBUDGETS!B1196</f>
        <v>Drill, Custom</v>
      </c>
      <c r="D32" s="765">
        <f>CustomOperations!K24</f>
        <v>0</v>
      </c>
      <c r="E32" s="771" t="e">
        <f>BASEBUDGETS!E1196/BASEBUDGETS!C1160</f>
        <v>#DIV/0!</v>
      </c>
      <c r="F32" s="770" t="str">
        <f>BASEBUDGETS!C1196</f>
        <v>acre</v>
      </c>
      <c r="G32" s="756">
        <v>0</v>
      </c>
      <c r="H32" s="756">
        <v>0</v>
      </c>
      <c r="I32" s="756" t="e">
        <f>IF(E32=0,0,(BASEBUDGETS!D1196*E32))</f>
        <v>#DIV/0!</v>
      </c>
      <c r="J32" s="765" t="e">
        <f t="shared" ref="J32:J34" si="1">G32+H32+I32</f>
        <v>#DIV/0!</v>
      </c>
    </row>
    <row r="33" spans="3:10" s="611" customFormat="1" ht="21">
      <c r="C33" s="660" t="str">
        <f>BASEBUDGETS!B1197</f>
        <v>Row Planter, Custom</v>
      </c>
      <c r="D33" s="765">
        <f>CustomOperations!K26</f>
        <v>0</v>
      </c>
      <c r="E33" s="771" t="e">
        <f>BASEBUDGETS!E1197/BASEBUDGETS!C1160</f>
        <v>#DIV/0!</v>
      </c>
      <c r="F33" s="770" t="str">
        <f>BASEBUDGETS!C1197</f>
        <v>acre</v>
      </c>
      <c r="G33" s="756">
        <v>0</v>
      </c>
      <c r="H33" s="756">
        <v>0</v>
      </c>
      <c r="I33" s="756" t="e">
        <f>IF(E33=0,0,(BASEBUDGETS!D1197*E33))</f>
        <v>#DIV/0!</v>
      </c>
      <c r="J33" s="765" t="e">
        <f t="shared" si="1"/>
        <v>#DIV/0!</v>
      </c>
    </row>
    <row r="34" spans="3:10" s="611" customFormat="1" ht="21">
      <c r="C34" s="660" t="str">
        <f>TillageOperations!$B$21</f>
        <v>Drill</v>
      </c>
      <c r="D34" s="765"/>
      <c r="E34" s="771" t="e">
        <f>BASEBUDGETS!E1235/BASEBUDGETS!C1160</f>
        <v>#DIV/0!</v>
      </c>
      <c r="F34" s="770" t="str">
        <f>BASEBUDGETS!C1235</f>
        <v>acre</v>
      </c>
      <c r="G34" s="756" t="e">
        <f>IF(E34=0,0,BASEBUDGETS!D1236*E34)</f>
        <v>#DIV/0!</v>
      </c>
      <c r="H34" s="756" t="e">
        <f>IF(E34=0,0,BASEBUDGETS!D1235*E34)</f>
        <v>#DIV/0!</v>
      </c>
      <c r="I34" s="756">
        <v>0</v>
      </c>
      <c r="J34" s="765" t="e">
        <f t="shared" si="1"/>
        <v>#DIV/0!</v>
      </c>
    </row>
    <row r="35" spans="3:10" s="611" customFormat="1" ht="21">
      <c r="C35" s="660" t="str">
        <f>TillageOperations!$B$19</f>
        <v>Row Planter</v>
      </c>
      <c r="D35" s="765"/>
      <c r="E35" s="771" t="e">
        <f>BASEBUDGETS!E1231/BASEBUDGETS!C1160</f>
        <v>#DIV/0!</v>
      </c>
      <c r="F35" s="770" t="str">
        <f>BASEBUDGETS!C1231</f>
        <v>acre</v>
      </c>
      <c r="G35" s="756" t="e">
        <f>IF(E35=0,0,BASEBUDGETS!D1232*E35)</f>
        <v>#DIV/0!</v>
      </c>
      <c r="H35" s="756" t="e">
        <f>IF(E35=0,0,BASEBUDGETS!D1231*E35)</f>
        <v>#DIV/0!</v>
      </c>
      <c r="I35" s="756">
        <v>0</v>
      </c>
      <c r="J35" s="765" t="e">
        <f>G35+H35+I35</f>
        <v>#DIV/0!</v>
      </c>
    </row>
    <row r="36" spans="3:10" s="611" customFormat="1" ht="21">
      <c r="C36" s="660" t="str">
        <f>TillageOperations!$B$22</f>
        <v>Transplanter</v>
      </c>
      <c r="D36" s="765"/>
      <c r="E36" s="771" t="e">
        <f>BASEBUDGETS!E1266/BASEBUDGETS!C1160</f>
        <v>#DIV/0!</v>
      </c>
      <c r="F36" s="770" t="str">
        <f>BASEBUDGETS!C1266</f>
        <v>acre</v>
      </c>
      <c r="G36" s="756" t="e">
        <f>IF(E36=0,0,BASEBUDGETS!D1267*E36)</f>
        <v>#DIV/0!</v>
      </c>
      <c r="H36" s="756" t="e">
        <f>IF(E36=0,0,BASEBUDGETS!D1266*E36)</f>
        <v>#DIV/0!</v>
      </c>
      <c r="I36" s="756">
        <v>0</v>
      </c>
      <c r="J36" s="765" t="e">
        <f>G36+H36+I36</f>
        <v>#DIV/0!</v>
      </c>
    </row>
    <row r="37" spans="3:10" s="611" customFormat="1" ht="21">
      <c r="C37" s="660" t="s">
        <v>439</v>
      </c>
      <c r="D37" s="765"/>
      <c r="E37" s="771"/>
      <c r="F37" s="770"/>
      <c r="G37" s="756">
        <v>0</v>
      </c>
      <c r="H37" s="756">
        <v>0</v>
      </c>
      <c r="I37" s="756" t="e">
        <f>(D38*E38)+(D39*E39)</f>
        <v>#DIV/0!</v>
      </c>
      <c r="J37" s="765" t="e">
        <f>G37+H37+I37</f>
        <v>#DIV/0!</v>
      </c>
    </row>
    <row r="38" spans="3:10" s="611" customFormat="1" ht="21">
      <c r="C38" s="660" t="str">
        <f>BASEBUDGETS!B1168</f>
        <v xml:space="preserve">   - Seed</v>
      </c>
      <c r="D38" s="765">
        <f>BASEBUDGETS!D1168</f>
        <v>0</v>
      </c>
      <c r="E38" s="775" t="e">
        <f>BASEBUDGETS!E1168/BASEBUDGETS!C1160</f>
        <v>#DIV/0!</v>
      </c>
      <c r="F38" s="769" t="str">
        <f>BASEBUDGETS!C1168</f>
        <v>pounds</v>
      </c>
      <c r="G38" s="757"/>
      <c r="H38" s="757"/>
      <c r="I38" s="757"/>
      <c r="J38" s="757"/>
    </row>
    <row r="39" spans="3:10" s="611" customFormat="1" ht="21">
      <c r="C39" s="660" t="str">
        <f>BASEBUDGETS!B1169</f>
        <v xml:space="preserve">   - Inoculant</v>
      </c>
      <c r="D39" s="765">
        <f>BASEBUDGETS!D1169</f>
        <v>3</v>
      </c>
      <c r="E39" s="775" t="e">
        <f>BASEBUDGETS!E1169/BASEBUDGETS!C1160</f>
        <v>#DIV/0!</v>
      </c>
      <c r="F39" s="769" t="str">
        <f>BASEBUDGETS!C1169</f>
        <v>pounds</v>
      </c>
      <c r="G39" s="765"/>
      <c r="H39" s="765"/>
      <c r="I39" s="765"/>
      <c r="J39" s="765"/>
    </row>
    <row r="40" spans="3:10" s="611" customFormat="1" ht="21">
      <c r="C40" s="660" t="str">
        <f>BASEBUDGETS!B1208</f>
        <v>Fertilizer Spreader, Custom</v>
      </c>
      <c r="D40" s="765">
        <f>CustomOperations!K32</f>
        <v>10.08</v>
      </c>
      <c r="E40" s="771" t="e">
        <f>BASEBUDGETS!E1208/BASEBUDGETS!C1160</f>
        <v>#DIV/0!</v>
      </c>
      <c r="F40" s="770" t="str">
        <f>BASEBUDGETS!C1208</f>
        <v>acre</v>
      </c>
      <c r="G40" s="756">
        <v>0</v>
      </c>
      <c r="H40" s="756">
        <v>0</v>
      </c>
      <c r="I40" s="756" t="e">
        <f>IF(E40=0,0,BASEBUDGETS!D1208*E40)</f>
        <v>#DIV/0!</v>
      </c>
      <c r="J40" s="765" t="e">
        <f>G40+H40+I40</f>
        <v>#DIV/0!</v>
      </c>
    </row>
    <row r="41" spans="3:10" s="611" customFormat="1" ht="21">
      <c r="C41" s="660" t="str">
        <f>BASEBUDGETS!B1209</f>
        <v>Laser Landplaning, Custom</v>
      </c>
      <c r="D41" s="765">
        <f>CustomOperations!K34</f>
        <v>0</v>
      </c>
      <c r="E41" s="771" t="e">
        <f>BASEBUDGETS!E1209/BASEBUDGETS!C1160</f>
        <v>#DIV/0!</v>
      </c>
      <c r="F41" s="770" t="str">
        <f>BASEBUDGETS!C1209</f>
        <v>acre</v>
      </c>
      <c r="G41" s="756">
        <v>0</v>
      </c>
      <c r="H41" s="756">
        <v>0</v>
      </c>
      <c r="I41" s="756" t="e">
        <f>IF(E41=0,0,BASEBUDGETS!D1209*E41)</f>
        <v>#DIV/0!</v>
      </c>
      <c r="J41" s="765" t="e">
        <f>G41+H41+I41</f>
        <v>#DIV/0!</v>
      </c>
    </row>
    <row r="42" spans="3:10" s="611" customFormat="1" ht="21">
      <c r="C42" s="660" t="str">
        <f>TillageOperations!$B$23</f>
        <v>Fertilizer Spreader</v>
      </c>
      <c r="D42" s="765"/>
      <c r="E42" s="771" t="e">
        <f>BASEBUDGETS!E1260/BASEBUDGETS!C1160</f>
        <v>#DIV/0!</v>
      </c>
      <c r="F42" s="770" t="str">
        <f>BASEBUDGETS!C1260</f>
        <v>acre</v>
      </c>
      <c r="G42" s="756" t="e">
        <f>IF(E42=0,0,BASEBUDGETS!D1261*E42)</f>
        <v>#DIV/0!</v>
      </c>
      <c r="H42" s="756" t="e">
        <f>IF(E42=0,0,BASEBUDGETS!D1260*E42)</f>
        <v>#DIV/0!</v>
      </c>
      <c r="I42" s="756">
        <v>0</v>
      </c>
      <c r="J42" s="765" t="e">
        <f>G42+H42+I42</f>
        <v>#DIV/0!</v>
      </c>
    </row>
    <row r="43" spans="3:10" s="611" customFormat="1" ht="21">
      <c r="C43" s="660" t="str">
        <f>TillageOperations!$B$24</f>
        <v>Fertilizer Injection System</v>
      </c>
      <c r="D43" s="765"/>
      <c r="E43" s="771" t="e">
        <f>BASEBUDGETS!E1262/BASEBUDGETS!C1160</f>
        <v>#DIV/0!</v>
      </c>
      <c r="F43" s="770" t="str">
        <f>BASEBUDGETS!C1262</f>
        <v>acre</v>
      </c>
      <c r="G43" s="756" t="e">
        <f>IF(E43=0,0,BASEBUDGETS!D1263*E43)</f>
        <v>#DIV/0!</v>
      </c>
      <c r="H43" s="756" t="e">
        <f>IF(E43=0,0,BASEBUDGETS!D1262*E43)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BASEBUDGETS!B1170</f>
        <v xml:space="preserve">   - Nitrogen</v>
      </c>
      <c r="D45" s="765">
        <f>BASEBUDGETS!D1170</f>
        <v>0.46</v>
      </c>
      <c r="E45" s="775" t="e">
        <f>BASEBUDGETS!E1170/BASEBUDGETS!C1160</f>
        <v>#DIV/0!</v>
      </c>
      <c r="F45" s="769" t="str">
        <f>BASEBUDGETS!C1170</f>
        <v>pounds</v>
      </c>
      <c r="G45" s="765"/>
      <c r="H45" s="765"/>
      <c r="I45" s="765"/>
      <c r="J45" s="765"/>
    </row>
    <row r="46" spans="3:10" s="611" customFormat="1" ht="21">
      <c r="C46" s="660" t="str">
        <f>BASEBUDGETS!B1171</f>
        <v xml:space="preserve">   - Phosphorus</v>
      </c>
      <c r="D46" s="765">
        <f>BASEBUDGETS!D1171</f>
        <v>0.36</v>
      </c>
      <c r="E46" s="775" t="e">
        <f>BASEBUDGETS!E1171/BASEBUDGETS!C1160</f>
        <v>#DIV/0!</v>
      </c>
      <c r="F46" s="769" t="str">
        <f>BASEBUDGETS!C1171</f>
        <v>pounds</v>
      </c>
      <c r="G46" s="765"/>
      <c r="H46" s="765"/>
      <c r="I46" s="765"/>
      <c r="J46" s="765"/>
    </row>
    <row r="47" spans="3:10" s="611" customFormat="1" ht="21">
      <c r="C47" s="660" t="str">
        <f>BASEBUDGETS!B1172</f>
        <v xml:space="preserve">   - Anhydrous Ammonia</v>
      </c>
      <c r="D47" s="765">
        <f>BASEBUDGETS!D1172</f>
        <v>0.21</v>
      </c>
      <c r="E47" s="775" t="e">
        <f>BASEBUDGETS!E1172/BASEBUDGETS!C1160</f>
        <v>#DIV/0!</v>
      </c>
      <c r="F47" s="769" t="str">
        <f>BASEBUDGETS!C1172</f>
        <v>pounds</v>
      </c>
      <c r="G47" s="765"/>
      <c r="H47" s="765"/>
      <c r="I47" s="765"/>
      <c r="J47" s="765"/>
    </row>
    <row r="48" spans="3:10" s="611" customFormat="1" ht="21">
      <c r="C48" s="660" t="str">
        <f>BASEBUDGETS!B1173</f>
        <v xml:space="preserve">   - Trace Elements</v>
      </c>
      <c r="D48" s="765">
        <f>BASEBUDGETS!D1173</f>
        <v>0.24</v>
      </c>
      <c r="E48" s="775" t="e">
        <f>BASEBUDGETS!E1173/BASEBUDGETS!C1160</f>
        <v>#DIV/0!</v>
      </c>
      <c r="F48" s="769" t="str">
        <f>BASEBUDGETS!C1173</f>
        <v>pounds</v>
      </c>
      <c r="G48" s="765"/>
      <c r="H48" s="765"/>
      <c r="I48" s="765"/>
      <c r="J48" s="765"/>
    </row>
    <row r="49" spans="3:10" s="611" customFormat="1" ht="21">
      <c r="C49" s="660" t="str">
        <f>BASEBUDGETS!B1174</f>
        <v xml:space="preserve">   - Nitrogen</v>
      </c>
      <c r="D49" s="765">
        <f>BASEBUDGETS!D1174</f>
        <v>0</v>
      </c>
      <c r="E49" s="775" t="e">
        <f>BASEBUDGETS!E1174/BASEBUDGETS!C1160</f>
        <v>#DIV/0!</v>
      </c>
      <c r="F49" s="769" t="str">
        <f>BASEBUDGETS!C1174</f>
        <v>acre</v>
      </c>
      <c r="G49" s="765"/>
      <c r="H49" s="765"/>
      <c r="I49" s="765"/>
      <c r="J49" s="765"/>
    </row>
    <row r="50" spans="3:10" s="611" customFormat="1" ht="21">
      <c r="C50" s="660" t="str">
        <f>BASEBUDGETS!B1175</f>
        <v xml:space="preserve">   - Phosphorus</v>
      </c>
      <c r="D50" s="765">
        <f>BASEBUDGETS!D1175</f>
        <v>0</v>
      </c>
      <c r="E50" s="775" t="e">
        <f>BASEBUDGETS!E1175/BASEBUDGETS!C1160</f>
        <v>#DIV/0!</v>
      </c>
      <c r="F50" s="769" t="str">
        <f>BASEBUDGETS!C1175</f>
        <v>acre</v>
      </c>
      <c r="G50" s="765"/>
      <c r="H50" s="765"/>
      <c r="I50" s="765"/>
      <c r="J50" s="765"/>
    </row>
    <row r="51" spans="3:10" s="611" customFormat="1" ht="21">
      <c r="C51" s="660" t="str">
        <f>BASEBUDGETS!B1176</f>
        <v xml:space="preserve">   - Fertilizer - Anhydrous Applicator</v>
      </c>
      <c r="D51" s="765">
        <f>BASEBUDGETS!D1176</f>
        <v>0</v>
      </c>
      <c r="E51" s="775" t="e">
        <f>BASEBUDGETS!E1176/BASEBUDGETS!C1160</f>
        <v>#DIV/0!</v>
      </c>
      <c r="F51" s="769" t="str">
        <f>BASEBUDGETS!C1176</f>
        <v>acre</v>
      </c>
      <c r="G51" s="765"/>
      <c r="H51" s="765"/>
      <c r="I51" s="765"/>
      <c r="J51" s="765"/>
    </row>
    <row r="52" spans="3:10" s="611" customFormat="1" ht="21">
      <c r="C52" s="660" t="str">
        <f>BASEBUDGETS!B1210</f>
        <v>Boom Sprayer, Custom</v>
      </c>
      <c r="D52" s="765">
        <f>CustomOperations!K30</f>
        <v>10.050000000000001</v>
      </c>
      <c r="E52" s="771" t="e">
        <f>BASEBUDGETS!E1210/BASEBUDGETS!C1160</f>
        <v>#DIV/0!</v>
      </c>
      <c r="F52" s="770" t="str">
        <f>BASEBUDGETS!C1210</f>
        <v>acre</v>
      </c>
      <c r="G52" s="756">
        <v>0</v>
      </c>
      <c r="H52" s="756">
        <v>0</v>
      </c>
      <c r="I52" s="756" t="e">
        <f>IF(E52=0,0,BASEBUDGETS!D1210*E52)</f>
        <v>#DIV/0!</v>
      </c>
      <c r="J52" s="765" t="e">
        <f>G52+H52+I52</f>
        <v>#DIV/0!</v>
      </c>
    </row>
    <row r="53" spans="3:10" s="611" customFormat="1" ht="21">
      <c r="C53" s="660" t="str">
        <f>TillageOperations!$B$25</f>
        <v>Boom Sprayer</v>
      </c>
      <c r="D53" s="765"/>
      <c r="E53" s="771" t="e">
        <f>BASEBUDGETS!E1264/BASEBUDGETS!C1160</f>
        <v>#DIV/0!</v>
      </c>
      <c r="F53" s="770" t="str">
        <f>BASEBUDGETS!C1264</f>
        <v>acre</v>
      </c>
      <c r="G53" s="756" t="e">
        <f>IF(E53=0,0,BASEBUDGETS!D1265*E53)</f>
        <v>#DIV/0!</v>
      </c>
      <c r="H53" s="756" t="e">
        <f>IF(E53=0,0,BASEBUDGETS!D1264*E53)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BASEBUDGETS!B1177</f>
        <v xml:space="preserve">   - Prowl</v>
      </c>
      <c r="D55" s="765">
        <f>BASEBUDGETS!D1177</f>
        <v>6.0625</v>
      </c>
      <c r="E55" s="775" t="e">
        <f>BASEBUDGETS!E1177/BASEBUDGETS!C1160</f>
        <v>#DIV/0!</v>
      </c>
      <c r="F55" s="769" t="str">
        <f>BASEBUDGETS!C1177</f>
        <v>pints</v>
      </c>
      <c r="G55" s="765"/>
      <c r="H55" s="765"/>
      <c r="I55" s="765"/>
      <c r="J55" s="765"/>
    </row>
    <row r="56" spans="3:10" s="611" customFormat="1" ht="21">
      <c r="C56" s="660" t="str">
        <f>BASEBUDGETS!B1178</f>
        <v xml:space="preserve">   - Aim</v>
      </c>
      <c r="D56" s="765">
        <f>BASEBUDGETS!D1178</f>
        <v>5.9375</v>
      </c>
      <c r="E56" s="775" t="e">
        <f>BASEBUDGETS!E1178/BASEBUDGETS!C1160</f>
        <v>#DIV/0!</v>
      </c>
      <c r="F56" s="769" t="str">
        <f>BASEBUDGETS!C1178</f>
        <v>ounces</v>
      </c>
      <c r="G56" s="765"/>
      <c r="H56" s="765"/>
      <c r="I56" s="765"/>
      <c r="J56" s="765"/>
    </row>
    <row r="57" spans="3:10" s="611" customFormat="1" ht="21">
      <c r="C57" s="660" t="str">
        <f>BASEBUDGETS!B1179</f>
        <v xml:space="preserve">   - Fusilade</v>
      </c>
      <c r="D57" s="765">
        <f>BASEBUDGETS!D1179</f>
        <v>1.25</v>
      </c>
      <c r="E57" s="775" t="e">
        <f>BASEBUDGETS!E1179/BASEBUDGETS!C1160</f>
        <v>#DIV/0!</v>
      </c>
      <c r="F57" s="769" t="str">
        <f>BASEBUDGETS!C1179</f>
        <v>ounces</v>
      </c>
      <c r="G57" s="765"/>
      <c r="H57" s="765"/>
      <c r="I57" s="765"/>
      <c r="J57" s="765"/>
    </row>
    <row r="58" spans="3:10" s="611" customFormat="1" ht="21">
      <c r="C58" s="660" t="str">
        <f>BASEBUDGETS!B1180</f>
        <v xml:space="preserve">   - Herbicides</v>
      </c>
      <c r="D58" s="765">
        <f>BASEBUDGETS!D1180</f>
        <v>27</v>
      </c>
      <c r="E58" s="775" t="e">
        <f>BASEBUDGETS!E1180/BASEBUDGETS!C1160</f>
        <v>#DIV/0!</v>
      </c>
      <c r="F58" s="769" t="str">
        <f>BASEBUDGETS!C1180</f>
        <v>acre</v>
      </c>
      <c r="G58" s="765"/>
      <c r="H58" s="765"/>
      <c r="I58" s="765"/>
      <c r="J58" s="765"/>
    </row>
    <row r="59" spans="3:10" s="611" customFormat="1" ht="21">
      <c r="C59" s="660" t="str">
        <f>BASEBUDGETS!B1181</f>
        <v xml:space="preserve">   - Herbicide - #2</v>
      </c>
      <c r="D59" s="765">
        <f>BASEBUDGETS!D1181</f>
        <v>0</v>
      </c>
      <c r="E59" s="775" t="e">
        <f>BASEBUDGETS!E1181/BASEBUDGETS!C1160</f>
        <v>#DIV/0!</v>
      </c>
      <c r="F59" s="769" t="str">
        <f>BASEBUDGETS!C1181</f>
        <v>acre</v>
      </c>
      <c r="G59" s="765"/>
      <c r="H59" s="765"/>
      <c r="I59" s="765"/>
      <c r="J59" s="765"/>
    </row>
    <row r="60" spans="3:10" s="611" customFormat="1" ht="21">
      <c r="C60" s="660" t="str">
        <f>BASEBUDGETS!B1182</f>
        <v xml:space="preserve">   - Insecticides</v>
      </c>
      <c r="D60" s="765">
        <f>BASEBUDGETS!D1182</f>
        <v>0</v>
      </c>
      <c r="E60" s="775" t="e">
        <f>BASEBUDGETS!E1182/BASEBUDGETS!C1160</f>
        <v>#DIV/0!</v>
      </c>
      <c r="F60" s="769" t="str">
        <f>BASEBUDGETS!C1182</f>
        <v>acre</v>
      </c>
      <c r="G60" s="765"/>
      <c r="H60" s="765"/>
      <c r="I60" s="765"/>
      <c r="J60" s="765"/>
    </row>
    <row r="61" spans="3:10" s="611" customFormat="1" ht="21">
      <c r="C61" s="660" t="str">
        <f>BASEBUDGETS!B1183</f>
        <v xml:space="preserve">   - Insecticide - #2</v>
      </c>
      <c r="D61" s="765">
        <f>BASEBUDGETS!D1183</f>
        <v>0</v>
      </c>
      <c r="E61" s="775" t="e">
        <f>BASEBUDGETS!E1183/BASEBUDGETS!C1160</f>
        <v>#DIV/0!</v>
      </c>
      <c r="F61" s="769" t="str">
        <f>BASEBUDGETS!C1183</f>
        <v>acre</v>
      </c>
      <c r="G61" s="765"/>
      <c r="H61" s="765"/>
      <c r="I61" s="765"/>
      <c r="J61" s="765"/>
    </row>
    <row r="62" spans="3:10" s="611" customFormat="1" ht="21">
      <c r="C62" s="660" t="str">
        <f>BASEBUDGETS!B1198</f>
        <v>Row Cultivator, Custom</v>
      </c>
      <c r="D62" s="765">
        <f>CustomOperations!K28</f>
        <v>0</v>
      </c>
      <c r="E62" s="771" t="e">
        <f>BASEBUDGETS!E1198/BASEBUDGETS!C1160</f>
        <v>#DIV/0!</v>
      </c>
      <c r="F62" s="770" t="str">
        <f>BASEBUDGETS!C1198</f>
        <v>acre</v>
      </c>
      <c r="G62" s="756">
        <v>0</v>
      </c>
      <c r="H62" s="756">
        <v>0</v>
      </c>
      <c r="I62" s="756" t="e">
        <f>IF(E62=0,0,BASEBUDGETS!D1198*E62)</f>
        <v>#DIV/0!</v>
      </c>
      <c r="J62" s="765" t="e">
        <f>G62+H62+I62</f>
        <v>#DIV/0!</v>
      </c>
    </row>
    <row r="63" spans="3:10" s="611" customFormat="1" ht="21">
      <c r="C63" s="660" t="str">
        <f>TillageOperations!$B$20</f>
        <v>Row Cultivator</v>
      </c>
      <c r="D63" s="765"/>
      <c r="E63" s="771" t="e">
        <f>BASEBUDGETS!E1233/BASEBUDGETS!C1160</f>
        <v>#DIV/0!</v>
      </c>
      <c r="F63" s="770" t="str">
        <f>BASEBUDGETS!C1233</f>
        <v>acre</v>
      </c>
      <c r="G63" s="756" t="e">
        <f>IF(E63=0,0,BASEBUDGETS!D1234*E63)</f>
        <v>#DIV/0!</v>
      </c>
      <c r="H63" s="756" t="e">
        <f>IF(E63=0,0,BASEBUDGETS!D1233*E63)</f>
        <v>#DIV/0!</v>
      </c>
      <c r="I63" s="756">
        <v>0</v>
      </c>
      <c r="J63" s="765" t="e">
        <f>G63+H63+I63</f>
        <v>#DIV/0!</v>
      </c>
    </row>
    <row r="64" spans="3:10" s="611" customFormat="1" ht="21">
      <c r="C64" s="660" t="s">
        <v>151</v>
      </c>
      <c r="D64" s="765"/>
      <c r="E64" s="776" t="s">
        <v>10</v>
      </c>
      <c r="F64" s="777" t="s">
        <v>10</v>
      </c>
      <c r="G64" s="756" t="e">
        <f>(D66*E66)+(D69*E69)+(D72*E72)</f>
        <v>#DIV/0!</v>
      </c>
      <c r="H64" s="756">
        <v>0</v>
      </c>
      <c r="I64" s="765" t="e">
        <f>(D65*E65)+(D68*E68)+(D71*E71)+(D67*E67)+(D70*E70)+(D73*E73)</f>
        <v>#DIV/0!</v>
      </c>
      <c r="J64" s="765" t="e">
        <f>G64+H64+I64</f>
        <v>#DIV/0!</v>
      </c>
    </row>
    <row r="65" spans="2:10" s="611" customFormat="1" ht="21">
      <c r="B65" s="660"/>
      <c r="C65" s="660" t="str">
        <f>BASEBUDGETS!B1184</f>
        <v>Flood - Irrigation Water</v>
      </c>
      <c r="D65" s="765">
        <f>BASEBUDGETS!D1184</f>
        <v>55</v>
      </c>
      <c r="E65" s="775" t="e">
        <f>BASEBUDGETS!E1184/BASEBUDGETS!C$1160</f>
        <v>#DIV/0!</v>
      </c>
      <c r="F65" s="769" t="str">
        <f>BASEBUDGETS!C1184</f>
        <v>ac ft</v>
      </c>
      <c r="G65" s="756"/>
      <c r="H65" s="756"/>
      <c r="I65" s="765"/>
      <c r="J65" s="765"/>
    </row>
    <row r="66" spans="2:10" s="611" customFormat="1" ht="21">
      <c r="C66" s="660" t="str">
        <f>BASEBUDGETS!B1185</f>
        <v>Flood - Irrigation Labor</v>
      </c>
      <c r="D66" s="765">
        <f>BASEBUDGETS!D1185</f>
        <v>14.55</v>
      </c>
      <c r="E66" s="775" t="e">
        <f>BASEBUDGETS!E1185/BASEBUDGETS!C$1160</f>
        <v>#DIV/0!</v>
      </c>
      <c r="F66" s="769" t="str">
        <f>BASEBUDGETS!C1185</f>
        <v>hour</v>
      </c>
      <c r="G66" s="757"/>
      <c r="H66" s="757"/>
      <c r="I66" s="756"/>
      <c r="J66" s="778" t="s">
        <v>10</v>
      </c>
    </row>
    <row r="67" spans="2:10" s="611" customFormat="1" ht="21">
      <c r="C67" s="660" t="str">
        <f>BASEBUDGETS!B1186</f>
        <v xml:space="preserve">   - Annual Repairs &amp; Maintenance</v>
      </c>
      <c r="D67" s="765">
        <f>BASEBUDGETS!D1186</f>
        <v>3</v>
      </c>
      <c r="E67" s="775" t="e">
        <f>BASEBUDGETS!E1186/BASEBUDGETS!C$1160</f>
        <v>#DIV/0!</v>
      </c>
      <c r="F67" s="769" t="str">
        <f>BASEBUDGETS!C1186</f>
        <v>acre</v>
      </c>
      <c r="G67" s="757"/>
      <c r="H67" s="757"/>
      <c r="I67" s="756"/>
      <c r="J67" s="778"/>
    </row>
    <row r="68" spans="2:10" s="611" customFormat="1" ht="21">
      <c r="C68" s="660" t="str">
        <f>BASEBUDGETS!B1187</f>
        <v>Drip-tape - Irrigation Water</v>
      </c>
      <c r="D68" s="765">
        <f>BASEBUDGETS!D1187</f>
        <v>55</v>
      </c>
      <c r="E68" s="775" t="e">
        <f>BASEBUDGETS!E1187/BASEBUDGETS!C$1160</f>
        <v>#DIV/0!</v>
      </c>
      <c r="F68" s="769" t="str">
        <f>BASEBUDGETS!C1187</f>
        <v>ac ft</v>
      </c>
      <c r="G68" s="756"/>
      <c r="H68" s="756"/>
      <c r="I68" s="756"/>
      <c r="J68" s="765"/>
    </row>
    <row r="69" spans="2:10" s="611" customFormat="1" ht="21">
      <c r="C69" s="660" t="str">
        <f>BASEBUDGETS!B1188</f>
        <v>Drip-tape - Irrigation Labor</v>
      </c>
      <c r="D69" s="765">
        <f>BASEBUDGETS!D1188</f>
        <v>14.55</v>
      </c>
      <c r="E69" s="775" t="e">
        <f>BASEBUDGETS!E1188/BASEBUDGETS!C$1160</f>
        <v>#DIV/0!</v>
      </c>
      <c r="F69" s="769" t="str">
        <f>BASEBUDGETS!C1188</f>
        <v>hour</v>
      </c>
      <c r="G69" s="756"/>
      <c r="H69" s="756"/>
      <c r="I69" s="756"/>
      <c r="J69" s="765"/>
    </row>
    <row r="70" spans="2:10" s="611" customFormat="1" ht="21">
      <c r="C70" s="660" t="str">
        <f>BASEBUDGETS!B1189</f>
        <v xml:space="preserve">   - Annual Repairs &amp; Maintenance</v>
      </c>
      <c r="D70" s="765">
        <f>BASEBUDGETS!D1189</f>
        <v>7.5</v>
      </c>
      <c r="E70" s="775" t="e">
        <f>BASEBUDGETS!E1189/BASEBUDGETS!C$1160</f>
        <v>#DIV/0!</v>
      </c>
      <c r="F70" s="769" t="str">
        <f>BASEBUDGETS!C1189</f>
        <v>acre</v>
      </c>
      <c r="G70" s="756"/>
      <c r="H70" s="756"/>
      <c r="I70" s="756"/>
      <c r="J70" s="765"/>
    </row>
    <row r="71" spans="2:10" s="611" customFormat="1" ht="21">
      <c r="C71" s="660" t="str">
        <f>BASEBUDGETS!B1190</f>
        <v>Sprinkler - Irrigation Water</v>
      </c>
      <c r="D71" s="765">
        <f>BASEBUDGETS!D1190</f>
        <v>55</v>
      </c>
      <c r="E71" s="775" t="e">
        <f>BASEBUDGETS!E1190/BASEBUDGETS!C$1160</f>
        <v>#DIV/0!</v>
      </c>
      <c r="F71" s="769" t="str">
        <f>BASEBUDGETS!C1190</f>
        <v>ac ft</v>
      </c>
      <c r="G71" s="756"/>
      <c r="H71" s="756"/>
      <c r="I71" s="756"/>
      <c r="J71" s="765"/>
    </row>
    <row r="72" spans="2:10" s="611" customFormat="1" ht="21">
      <c r="C72" s="660" t="str">
        <f>BASEBUDGETS!B1191</f>
        <v>Sprinkler - Irrigation Labor</v>
      </c>
      <c r="D72" s="765">
        <f>BASEBUDGETS!D1191</f>
        <v>14.55</v>
      </c>
      <c r="E72" s="775" t="e">
        <f>BASEBUDGETS!E1191/BASEBUDGETS!C$1160</f>
        <v>#DIV/0!</v>
      </c>
      <c r="F72" s="769" t="str">
        <f>BASEBUDGETS!C1191</f>
        <v>hour</v>
      </c>
      <c r="G72" s="756"/>
      <c r="H72" s="756"/>
      <c r="I72" s="756"/>
      <c r="J72" s="765"/>
    </row>
    <row r="73" spans="2:10" s="611" customFormat="1" ht="21">
      <c r="C73" s="660" t="str">
        <f>BASEBUDGETS!B1192</f>
        <v xml:space="preserve">   - Annual Repairs &amp; Maintenance</v>
      </c>
      <c r="D73" s="765">
        <f>BASEBUDGETS!D1192</f>
        <v>15</v>
      </c>
      <c r="E73" s="775" t="e">
        <f>BASEBUDGETS!E1192/BASEBUDGETS!C$1160</f>
        <v>#DIV/0!</v>
      </c>
      <c r="F73" s="769" t="str">
        <f>BASEBUDGETS!C1192</f>
        <v>acre</v>
      </c>
      <c r="G73" s="756"/>
      <c r="H73" s="756"/>
      <c r="I73" s="756"/>
      <c r="J73" s="765"/>
    </row>
    <row r="74" spans="2:10" s="611" customFormat="1" ht="21">
      <c r="C74" s="660" t="str">
        <f>BASEBUDGETS!B1270</f>
        <v>Additional Crop Prod. Labor</v>
      </c>
      <c r="D74" s="765">
        <f>GeneralInputPrices!$D$31</f>
        <v>14.55</v>
      </c>
      <c r="E74" s="771" t="e">
        <f>BASEBUDGETS!E1270/BASEBUDGETS!C1160</f>
        <v>#DIV/0!</v>
      </c>
      <c r="F74" s="770" t="str">
        <f>BASEBUDGETS!C1270</f>
        <v>hour</v>
      </c>
      <c r="G74" s="756" t="e">
        <f>D74*E74</f>
        <v>#DIV/0!</v>
      </c>
      <c r="H74" s="756">
        <v>0</v>
      </c>
      <c r="I74" s="756">
        <v>0</v>
      </c>
      <c r="J74" s="765" t="e">
        <f t="shared" ref="J74:J75" si="2">G74+H74+I74</f>
        <v>#DIV/0!</v>
      </c>
    </row>
    <row r="75" spans="2:10" s="611" customFormat="1" ht="21">
      <c r="C75" s="660" t="str">
        <f>BASEBUDGETS!B1271</f>
        <v>Additional Crop Prod. Labor</v>
      </c>
      <c r="D75" s="765">
        <f>GeneralInputPrices!$D$31</f>
        <v>14.55</v>
      </c>
      <c r="E75" s="771" t="e">
        <f>BASEBUDGETS!E1271/BASEBUDGETS!C1160</f>
        <v>#DIV/0!</v>
      </c>
      <c r="F75" s="770" t="str">
        <f>BASEBUDGETS!C1271</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BASEBUDGETS!B1193</f>
        <v>Harvest, Custom</v>
      </c>
      <c r="D77" s="765">
        <f>CustomOperations!K37</f>
        <v>0</v>
      </c>
      <c r="E77" s="771" t="e">
        <f>BASEBUDGETS!E1193/BASEBUDGETS!C1160</f>
        <v>#DIV/0!</v>
      </c>
      <c r="F77" s="770" t="str">
        <f>BASEBUDGETS!C1193</f>
        <v>acre</v>
      </c>
      <c r="G77" s="756">
        <v>0</v>
      </c>
      <c r="H77" s="756">
        <v>0</v>
      </c>
      <c r="I77" s="756" t="e">
        <f>IF(E77=0,0,BASEBUDGETS!D1193*E77)</f>
        <v>#DIV/0!</v>
      </c>
      <c r="J77" s="765" t="e">
        <f t="shared" ref="J77:J88" si="3">G77+H77+I77</f>
        <v>#DIV/0!</v>
      </c>
    </row>
    <row r="78" spans="2:10" s="611" customFormat="1" ht="21">
      <c r="C78" s="660" t="str">
        <f>BASEBUDGETS!B1194</f>
        <v>Hauling, Custom</v>
      </c>
      <c r="D78" s="765">
        <f>CustomOperations!K39</f>
        <v>0</v>
      </c>
      <c r="E78" s="771" t="e">
        <f>BASEBUDGETS!E1194/BASEBUDGETS!C1160</f>
        <v>#DIV/0!</v>
      </c>
      <c r="F78" s="770" t="str">
        <f>BASEBUDGETS!C1194</f>
        <v>mile</v>
      </c>
      <c r="G78" s="756">
        <v>0</v>
      </c>
      <c r="H78" s="756">
        <v>0</v>
      </c>
      <c r="I78" s="756" t="e">
        <f>IF(E78=0,0,BASEBUDGETS!D1194*E78)</f>
        <v>#DIV/0!</v>
      </c>
      <c r="J78" s="765" t="e">
        <f t="shared" si="3"/>
        <v>#DIV/0!</v>
      </c>
    </row>
    <row r="79" spans="2:10" s="611" customFormat="1" ht="21">
      <c r="C79" s="660" t="str">
        <f>BASEBUDGETS!B1195</f>
        <v>Gin Cotton/Drying/Swathing, Custom</v>
      </c>
      <c r="D79" s="765">
        <f>CustomOperations!K41</f>
        <v>0</v>
      </c>
      <c r="E79" s="771" t="e">
        <f>BASEBUDGETS!E1195/BASEBUDGETS!C1160</f>
        <v>#DIV/0!</v>
      </c>
      <c r="F79" s="770" t="str">
        <f>BASEBUDGETS!C1195</f>
        <v>bale</v>
      </c>
      <c r="G79" s="756">
        <v>0</v>
      </c>
      <c r="H79" s="756">
        <v>0</v>
      </c>
      <c r="I79" s="756" t="e">
        <f>IF(E79=0,0,BASEBUDGETS!D1195*E79)</f>
        <v>#DIV/0!</v>
      </c>
      <c r="J79" s="765" t="e">
        <f t="shared" si="3"/>
        <v>#DIV/0!</v>
      </c>
    </row>
    <row r="80" spans="2:10" s="611" customFormat="1" ht="21">
      <c r="C80" s="660" t="str">
        <f>TillageOperations!$B$27</f>
        <v>Cotton Picker</v>
      </c>
      <c r="D80" s="765"/>
      <c r="E80" s="771" t="e">
        <f>BASEBUDGETS!E1237/BASEBUDGETS!C1160</f>
        <v>#DIV/0!</v>
      </c>
      <c r="F80" s="770" t="str">
        <f>BASEBUDGETS!C1237</f>
        <v>acre</v>
      </c>
      <c r="G80" s="756" t="e">
        <f>IF(E80=0,0,BASEBUDGETS!D1238*E80)</f>
        <v>#DIV/0!</v>
      </c>
      <c r="H80" s="756" t="e">
        <f>IF(E80=0,0,BASEBUDGETS!D1237*E80)</f>
        <v>#DIV/0!</v>
      </c>
      <c r="I80" s="756">
        <v>0</v>
      </c>
      <c r="J80" s="765" t="e">
        <f t="shared" si="3"/>
        <v>#DIV/0!</v>
      </c>
    </row>
    <row r="81" spans="2:10" s="611" customFormat="1" ht="21">
      <c r="C81" s="781" t="s">
        <v>287</v>
      </c>
      <c r="D81" s="765"/>
      <c r="E81" s="771" t="e">
        <f>BASEBUDGETS!E1239/BASEBUDGETS!C1160</f>
        <v>#DIV/0!</v>
      </c>
      <c r="F81" s="770" t="str">
        <f>BASEBUDGETS!C1239</f>
        <v>acre</v>
      </c>
      <c r="G81" s="756" t="e">
        <f>IF(E81=0,0,BASEBUDGETS!D1240*E81)</f>
        <v>#DIV/0!</v>
      </c>
      <c r="H81" s="756" t="e">
        <f>IF(E81=0,0,BASEBUDGETS!D1239*E81)</f>
        <v>#DIV/0!</v>
      </c>
      <c r="I81" s="756">
        <v>0</v>
      </c>
      <c r="J81" s="765" t="e">
        <f t="shared" ref="J81" si="4">G81+H81+I81</f>
        <v>#DIV/0!</v>
      </c>
    </row>
    <row r="82" spans="2:10" s="611" customFormat="1" ht="21">
      <c r="C82" s="660" t="str">
        <f>TillageOperations!$B$29</f>
        <v>Haul Cotton</v>
      </c>
      <c r="D82" s="765"/>
      <c r="E82" s="771" t="e">
        <f>BASEBUDGETS!E1241/BASEBUDGETS!C1160</f>
        <v>#DIV/0!</v>
      </c>
      <c r="F82" s="770" t="str">
        <f>BASEBUDGETS!C1241</f>
        <v>acre</v>
      </c>
      <c r="G82" s="756" t="e">
        <f>IF(E82=0,0,BASEBUDGETS!D1242*E82)</f>
        <v>#DIV/0!</v>
      </c>
      <c r="H82" s="756" t="e">
        <f>IF(E82=0,0,BASEBUDGETS!D1241*E82)</f>
        <v>#DIV/0!</v>
      </c>
      <c r="I82" s="756">
        <v>0</v>
      </c>
      <c r="J82" s="765" t="e">
        <f t="shared" si="3"/>
        <v>#DIV/0!</v>
      </c>
    </row>
    <row r="83" spans="2:10" s="611" customFormat="1" ht="21">
      <c r="C83" s="660" t="str">
        <f>TillageOperations!$B$30</f>
        <v>Combine</v>
      </c>
      <c r="D83" s="765"/>
      <c r="E83" s="771" t="e">
        <f>BASEBUDGETS!E1245/BASEBUDGETS!C1160</f>
        <v>#DIV/0!</v>
      </c>
      <c r="F83" s="770" t="str">
        <f>BASEBUDGETS!C1245</f>
        <v>acre</v>
      </c>
      <c r="G83" s="756" t="e">
        <f>IF(E83=0,0,BASEBUDGETS!D1246*E83)</f>
        <v>#DIV/0!</v>
      </c>
      <c r="H83" s="756" t="e">
        <f>IF(E83=0,0,BASEBUDGETS!D1245*E83)</f>
        <v>#DIV/0!</v>
      </c>
      <c r="I83" s="756">
        <v>0</v>
      </c>
      <c r="J83" s="765" t="e">
        <f t="shared" si="3"/>
        <v>#DIV/0!</v>
      </c>
    </row>
    <row r="84" spans="2:10" s="611" customFormat="1" ht="21">
      <c r="C84" s="660" t="str">
        <f>TillageOperations!$B$31</f>
        <v>Grain Cart</v>
      </c>
      <c r="D84" s="765"/>
      <c r="E84" s="771" t="e">
        <f>BASEBUDGETS!E1247/BASEBUDGETS!C1160</f>
        <v>#DIV/0!</v>
      </c>
      <c r="F84" s="770" t="str">
        <f>BASEBUDGETS!C1247</f>
        <v>acre</v>
      </c>
      <c r="G84" s="756" t="e">
        <f>IF(E84=0,0,BASEBUDGETS!D1248*E84)</f>
        <v>#DIV/0!</v>
      </c>
      <c r="H84" s="756" t="e">
        <f>IF(E84=0,0,BASEBUDGETS!D1247*E84)</f>
        <v>#DIV/0!</v>
      </c>
      <c r="I84" s="756">
        <v>0</v>
      </c>
      <c r="J84" s="765" t="e">
        <f t="shared" si="3"/>
        <v>#DIV/0!</v>
      </c>
    </row>
    <row r="85" spans="2:10" s="611" customFormat="1" ht="21">
      <c r="C85" s="660" t="str">
        <f>TillageOperations!$B$32</f>
        <v>Swather</v>
      </c>
      <c r="D85" s="765"/>
      <c r="E85" s="771" t="e">
        <f>BASEBUDGETS!E1249/BASEBUDGETS!C1160</f>
        <v>#DIV/0!</v>
      </c>
      <c r="F85" s="770" t="str">
        <f>BASEBUDGETS!C1249</f>
        <v>acre</v>
      </c>
      <c r="G85" s="756" t="e">
        <f>IF(E85=0,0,BASEBUDGETS!D1250*E85)</f>
        <v>#DIV/0!</v>
      </c>
      <c r="H85" s="756" t="e">
        <f>IF(E85=0,0,BASEBUDGETS!D1249*E85)</f>
        <v>#DIV/0!</v>
      </c>
      <c r="I85" s="756">
        <v>0</v>
      </c>
      <c r="J85" s="765" t="e">
        <f t="shared" si="3"/>
        <v>#DIV/0!</v>
      </c>
    </row>
    <row r="86" spans="2:10" s="611" customFormat="1" ht="21">
      <c r="C86" s="660" t="str">
        <f>TillageOperations!$B$33</f>
        <v>Baler</v>
      </c>
      <c r="D86" s="765"/>
      <c r="E86" s="771" t="e">
        <f>BASEBUDGETS!E1251/BASEBUDGETS!C1160</f>
        <v>#DIV/0!</v>
      </c>
      <c r="F86" s="770" t="str">
        <f>BASEBUDGETS!C1251</f>
        <v>acre</v>
      </c>
      <c r="G86" s="756" t="e">
        <f>IF(E86=0,0,BASEBUDGETS!D1252*E86)</f>
        <v>#DIV/0!</v>
      </c>
      <c r="H86" s="756" t="e">
        <f>IF(E86=0,0,BASEBUDGETS!D1251*E86)</f>
        <v>#DIV/0!</v>
      </c>
      <c r="I86" s="756" t="e">
        <f>IF(E86=0,0,D89*E89)</f>
        <v>#DIV/0!</v>
      </c>
      <c r="J86" s="765" t="e">
        <f t="shared" si="3"/>
        <v>#DIV/0!</v>
      </c>
    </row>
    <row r="87" spans="2:10" s="611" customFormat="1" ht="21">
      <c r="C87" s="660" t="str">
        <f>TillageOperations!$B$34</f>
        <v>Swather</v>
      </c>
      <c r="D87" s="765"/>
      <c r="E87" s="771" t="e">
        <f>BASEBUDGETS!E1253/BASEBUDGETS!C1160</f>
        <v>#DIV/0!</v>
      </c>
      <c r="F87" s="770" t="str">
        <f>BASEBUDGETS!C1253</f>
        <v>acre</v>
      </c>
      <c r="G87" s="756" t="e">
        <f>IF(E87=0,0,BASEBUDGETS!D1254*E87)</f>
        <v>#DIV/0!</v>
      </c>
      <c r="H87" s="756" t="e">
        <f>IF(E87=0,0,BASEBUDGETS!D1253*E87)</f>
        <v>#DIV/0!</v>
      </c>
      <c r="I87" s="756">
        <v>0</v>
      </c>
      <c r="J87" s="765" t="e">
        <f t="shared" si="3"/>
        <v>#DIV/0!</v>
      </c>
    </row>
    <row r="88" spans="2:10" s="611" customFormat="1" ht="21">
      <c r="C88" s="660" t="str">
        <f>TillageOperations!$B$35</f>
        <v>Baler</v>
      </c>
      <c r="D88" s="765"/>
      <c r="E88" s="771" t="e">
        <f>BASEBUDGETS!E1255/BASEBUDGETS!C1160</f>
        <v>#DIV/0!</v>
      </c>
      <c r="F88" s="770" t="str">
        <f>BASEBUDGETS!C1255</f>
        <v>acre</v>
      </c>
      <c r="G88" s="756" t="e">
        <f>IF(E88=0,0,BASEBUDGETS!D1256*E88)</f>
        <v>#DIV/0!</v>
      </c>
      <c r="H88" s="756" t="e">
        <f>IF(E88=0,0,BASEBUDGETS!D1255*E88)</f>
        <v>#DIV/0!</v>
      </c>
      <c r="I88" s="756" t="e">
        <f>IF(E86=0,0,D89*E89)</f>
        <v>#DIV/0!</v>
      </c>
      <c r="J88" s="765" t="e">
        <f t="shared" si="3"/>
        <v>#DIV/0!</v>
      </c>
    </row>
    <row r="89" spans="2:10" s="611" customFormat="1" ht="21">
      <c r="C89" s="660" t="str">
        <f>'Inputs&amp;PricesbyCrop'!$B$31</f>
        <v xml:space="preserve">   - Baling Twine</v>
      </c>
      <c r="D89" s="765">
        <f>BASEBUDGETS!D1257</f>
        <v>0</v>
      </c>
      <c r="E89" s="775" t="e">
        <f>BASEBUDGETS!E1257/BASEBUDGETS!C1160</f>
        <v>#DIV/0!</v>
      </c>
      <c r="F89" s="769" t="str">
        <f>'Inputs&amp;PricesbyCrop'!$C$31</f>
        <v>acre</v>
      </c>
      <c r="G89" s="756"/>
      <c r="H89" s="756"/>
      <c r="I89" s="756"/>
      <c r="J89" s="765"/>
    </row>
    <row r="90" spans="2:10" s="611" customFormat="1" ht="21">
      <c r="C90" s="660" t="str">
        <f>TillageOperations!$B$36</f>
        <v>Bale Wagon</v>
      </c>
      <c r="D90" s="765"/>
      <c r="E90" s="771" t="e">
        <f>BASEBUDGETS!E1258/BASEBUDGETS!C1160</f>
        <v>#DIV/0!</v>
      </c>
      <c r="F90" s="770" t="str">
        <f>BASEBUDGETS!C1258</f>
        <v>acre</v>
      </c>
      <c r="G90" s="756" t="e">
        <f>IF(E90=0,0,BASEBUDGETS!D1259*E90)</f>
        <v>#DIV/0!</v>
      </c>
      <c r="H90" s="756" t="e">
        <f>IF(E90=0,0,BASEBUDGETS!D1258*E90)</f>
        <v>#DIV/0!</v>
      </c>
      <c r="I90" s="756">
        <v>0</v>
      </c>
      <c r="J90" s="765" t="e">
        <f t="shared" ref="J90:J92" si="5">G90+H90+I90</f>
        <v>#DIV/0!</v>
      </c>
    </row>
    <row r="91" spans="2:10" s="611" customFormat="1" ht="21">
      <c r="C91" s="660" t="str">
        <f>BASEBUDGETS!B1272</f>
        <v>Additional Harvest Labor</v>
      </c>
      <c r="D91" s="765">
        <f>GeneralInputPrices!$D$32</f>
        <v>17.89</v>
      </c>
      <c r="E91" s="771" t="e">
        <f>BASEBUDGETS!E1272/BASEBUDGETS!C1160</f>
        <v>#DIV/0!</v>
      </c>
      <c r="F91" s="770" t="str">
        <f>BASEBUDGETS!C1272</f>
        <v>hour</v>
      </c>
      <c r="G91" s="756" t="e">
        <f>D91*E91</f>
        <v>#DIV/0!</v>
      </c>
      <c r="H91" s="756">
        <v>0</v>
      </c>
      <c r="I91" s="756">
        <v>0</v>
      </c>
      <c r="J91" s="765" t="e">
        <f t="shared" si="5"/>
        <v>#DIV/0!</v>
      </c>
    </row>
    <row r="92" spans="2:10" s="611" customFormat="1" ht="21">
      <c r="C92" s="660" t="str">
        <f>BASEBUDGETS!B1273</f>
        <v>Additional Harvest Labor</v>
      </c>
      <c r="D92" s="765">
        <f>GeneralInputPrices!$D$32</f>
        <v>17.89</v>
      </c>
      <c r="E92" s="771" t="e">
        <f>BASEBUDGETS!E1273/BASEBUDGETS!C1160</f>
        <v>#DIV/0!</v>
      </c>
      <c r="F92" s="770" t="str">
        <f>BASEBUDGETS!C1273</f>
        <v>hour</v>
      </c>
      <c r="G92" s="756" t="e">
        <f>D92*E92</f>
        <v>#DIV/0!</v>
      </c>
      <c r="H92" s="756">
        <v>0</v>
      </c>
      <c r="I92" s="756">
        <v>0</v>
      </c>
      <c r="J92" s="765" t="e">
        <f t="shared" si="5"/>
        <v>#DIV/0!</v>
      </c>
    </row>
    <row r="93" spans="2:10" s="611" customFormat="1" ht="21">
      <c r="B93" s="760" t="s">
        <v>184</v>
      </c>
      <c r="C93" s="760"/>
      <c r="D93" s="765"/>
      <c r="E93" s="771"/>
      <c r="F93" s="770"/>
      <c r="G93" s="756"/>
      <c r="H93" s="756"/>
      <c r="I93" s="756"/>
      <c r="J93" s="765"/>
    </row>
    <row r="94" spans="2:10" s="611" customFormat="1" ht="21">
      <c r="C94" s="660" t="str">
        <f>BASEBUDGETS!B1274</f>
        <v>Other Expenses</v>
      </c>
      <c r="D94" s="765"/>
      <c r="E94" s="813">
        <f>BASEBUDGETS!D1274</f>
        <v>0.05</v>
      </c>
      <c r="F94" s="780" t="s">
        <v>10</v>
      </c>
      <c r="G94" s="756">
        <v>0</v>
      </c>
      <c r="H94" s="756">
        <v>0</v>
      </c>
      <c r="I94" s="756" t="e">
        <f>SUM(J9:J92)*E94</f>
        <v>#DIV/0!</v>
      </c>
      <c r="J94" s="765" t="e">
        <f>G94+H94+I94</f>
        <v>#DIV/0!</v>
      </c>
    </row>
    <row r="95" spans="2:10" s="611" customFormat="1" ht="21">
      <c r="C95" s="660" t="str">
        <f>BASEBUDGETS!B1275</f>
        <v>Interest on Operating Capital</v>
      </c>
      <c r="D95" s="765"/>
      <c r="E95" s="813">
        <f>BASEBUDGETS!D1275</f>
        <v>0.06</v>
      </c>
      <c r="F95" s="780" t="s">
        <v>10</v>
      </c>
      <c r="G95" s="784">
        <v>0</v>
      </c>
      <c r="H95" s="784">
        <v>0</v>
      </c>
      <c r="I95" s="784" t="e">
        <f>SUM(J9:J94)*((E95/12)*GeneralInputPrices!$D$39)</f>
        <v>#DIV/0!</v>
      </c>
      <c r="J95" s="785" t="e">
        <f>G95+H95+I95</f>
        <v>#DIV/0!</v>
      </c>
    </row>
    <row r="96" spans="2:10" s="611" customFormat="1" ht="21">
      <c r="B96" s="760" t="s">
        <v>153</v>
      </c>
      <c r="C96" s="760"/>
      <c r="D96" s="760"/>
      <c r="E96" s="760"/>
      <c r="F96" s="660"/>
      <c r="G96" s="756" t="e">
        <f>SUM(G9:G95)</f>
        <v>#DIV/0!</v>
      </c>
      <c r="H96" s="756" t="e">
        <f>SUM(H9:H95)</f>
        <v>#DIV/0!</v>
      </c>
      <c r="I96" s="756" t="e">
        <f>SUM(I9:I95)</f>
        <v>#DIV/0!</v>
      </c>
      <c r="J96" s="756" t="e">
        <f>SUM(J9:J95)</f>
        <v>#DIV/0!</v>
      </c>
    </row>
    <row r="97" spans="2:12" s="611" customFormat="1">
      <c r="D97" s="786"/>
      <c r="E97" s="774"/>
      <c r="G97" s="757"/>
      <c r="H97" s="757"/>
      <c r="I97" s="757"/>
      <c r="J97" s="757"/>
    </row>
    <row r="98" spans="2:12" s="611" customFormat="1" ht="21">
      <c r="B98" s="805" t="s">
        <v>78</v>
      </c>
      <c r="C98" s="805"/>
      <c r="D98" s="805"/>
      <c r="E98" s="805"/>
      <c r="F98" s="805"/>
      <c r="G98" s="791"/>
      <c r="H98" s="792" t="s">
        <v>1</v>
      </c>
      <c r="I98" s="767" t="s">
        <v>24</v>
      </c>
      <c r="J98" s="767" t="s">
        <v>0</v>
      </c>
    </row>
    <row r="99" spans="2:12" s="611" customFormat="1" ht="21">
      <c r="B99" s="754" t="str">
        <f>BASEBUDGETS!B1310</f>
        <v>Crop Insurance</v>
      </c>
      <c r="C99" s="754"/>
      <c r="D99" s="754"/>
      <c r="E99" s="754"/>
      <c r="F99" s="754"/>
      <c r="G99" s="757"/>
      <c r="H99" s="770" t="str">
        <f>BASEBUDGETS!C1310</f>
        <v>acre</v>
      </c>
      <c r="I99" s="756" t="e">
        <f>BASEBUDGETS!F1310/BASEBUDGETS!C1160</f>
        <v>#DIV/0!</v>
      </c>
      <c r="J99" s="756" t="e">
        <f>I99</f>
        <v>#DIV/0!</v>
      </c>
    </row>
    <row r="100" spans="2:12" s="611" customFormat="1" ht="21">
      <c r="B100" s="760" t="str">
        <f>BASEBUDGETS!B1311</f>
        <v>Property Insurance</v>
      </c>
      <c r="C100" s="760"/>
      <c r="D100" s="760"/>
      <c r="E100" s="760"/>
      <c r="F100" s="760"/>
      <c r="G100" s="757"/>
      <c r="H100" s="770" t="str">
        <f>BASEBUDGETS!C1311</f>
        <v>acre</v>
      </c>
      <c r="I100" s="756" t="e">
        <f>BASEBUDGETS!F1311/BASEBUDGETS!C1160</f>
        <v>#DIV/0!</v>
      </c>
      <c r="J100" s="756" t="e">
        <f>I100</f>
        <v>#DIV/0!</v>
      </c>
    </row>
    <row r="101" spans="2:12" s="611" customFormat="1" ht="21">
      <c r="B101" s="760" t="str">
        <f>BASEBUDGETS!B1312</f>
        <v>Property Taxes</v>
      </c>
      <c r="C101" s="760"/>
      <c r="D101" s="760"/>
      <c r="E101" s="760"/>
      <c r="F101" s="760"/>
      <c r="G101" s="757"/>
      <c r="H101" s="770" t="str">
        <f>BASEBUDGETS!C1312</f>
        <v>acre</v>
      </c>
      <c r="I101" s="756" t="e">
        <f>BASEBUDGETS!F1312/BASEBUDGETS!C1160</f>
        <v>#DIV/0!</v>
      </c>
      <c r="J101" s="756" t="e">
        <f t="shared" ref="J101:J103" si="6">I101</f>
        <v>#DIV/0!</v>
      </c>
    </row>
    <row r="102" spans="2:12" s="611" customFormat="1" ht="21">
      <c r="B102" s="760" t="str">
        <f>BASEBUDGETS!B1314</f>
        <v>Licenses and Fees</v>
      </c>
      <c r="C102" s="760"/>
      <c r="D102" s="760"/>
      <c r="E102" s="760"/>
      <c r="F102" s="760"/>
      <c r="G102" s="757"/>
      <c r="H102" s="770" t="str">
        <f>BASEBUDGETS!C1314</f>
        <v>acre</v>
      </c>
      <c r="I102" s="756" t="e">
        <f>BASEBUDGETS!F1314/BASEBUDGETS!C1160</f>
        <v>#DIV/0!</v>
      </c>
      <c r="J102" s="756" t="e">
        <f t="shared" si="6"/>
        <v>#DIV/0!</v>
      </c>
    </row>
    <row r="103" spans="2:12" s="611" customFormat="1" ht="21">
      <c r="B103" s="760" t="str">
        <f>BASEBUDGETS!B1313</f>
        <v>Annual Cash Rent Payment</v>
      </c>
      <c r="C103" s="760"/>
      <c r="D103" s="760"/>
      <c r="E103" s="760"/>
      <c r="F103" s="760"/>
      <c r="G103" s="757"/>
      <c r="H103" s="770" t="str">
        <f>BASEBUDGETS!C1313</f>
        <v>acre</v>
      </c>
      <c r="I103" s="756" t="e">
        <f>BASEBUDGETS!F1313/BASEBUDGETS!C1160</f>
        <v>#DIV/0!</v>
      </c>
      <c r="J103" s="784" t="e">
        <f t="shared" si="6"/>
        <v>#DIV/0!</v>
      </c>
    </row>
    <row r="104" spans="2:12" s="611" customFormat="1" ht="21">
      <c r="B104" s="760" t="s">
        <v>79</v>
      </c>
      <c r="C104" s="760"/>
      <c r="D104" s="760"/>
      <c r="E104" s="760"/>
      <c r="F104" s="760"/>
      <c r="G104" s="756"/>
      <c r="H104" s="756"/>
      <c r="I104" s="756"/>
      <c r="J104" s="765" t="e">
        <f>SUM(J99:J103)</f>
        <v>#DIV/0!</v>
      </c>
    </row>
    <row r="105" spans="2:12" s="611" customFormat="1">
      <c r="D105" s="786"/>
      <c r="E105" s="774"/>
      <c r="G105" s="757"/>
      <c r="H105" s="757"/>
      <c r="I105" s="757"/>
      <c r="J105" s="786"/>
    </row>
    <row r="106" spans="2:12" s="611" customFormat="1" ht="21">
      <c r="B106" s="805" t="s">
        <v>154</v>
      </c>
      <c r="C106" s="805"/>
      <c r="D106" s="805"/>
      <c r="E106" s="805"/>
      <c r="F106" s="805"/>
      <c r="G106" s="791"/>
      <c r="H106" s="792" t="s">
        <v>1</v>
      </c>
      <c r="I106" s="767" t="s">
        <v>24</v>
      </c>
      <c r="J106" s="767" t="s">
        <v>0</v>
      </c>
    </row>
    <row r="107" spans="2:12" s="611" customFormat="1" ht="21">
      <c r="B107" s="760" t="s">
        <v>534</v>
      </c>
      <c r="C107" s="760"/>
      <c r="D107" s="760"/>
      <c r="E107" s="760"/>
      <c r="F107" s="760"/>
      <c r="G107" s="760"/>
      <c r="H107" s="770" t="s">
        <v>157</v>
      </c>
      <c r="I107" s="756" t="e">
        <f>SUM(BASEBUDGETS!F1279:F1281)/BASEBUDGETS!C1160</f>
        <v>#DIV/0!</v>
      </c>
      <c r="J107" s="765" t="e">
        <f>I107</f>
        <v>#DIV/0!</v>
      </c>
    </row>
    <row r="108" spans="2:12" s="611" customFormat="1" ht="21">
      <c r="B108" s="794" t="s">
        <v>156</v>
      </c>
      <c r="C108" s="794"/>
      <c r="D108" s="794"/>
      <c r="E108" s="794"/>
      <c r="F108" s="794"/>
      <c r="G108" s="756"/>
      <c r="H108" s="770" t="str">
        <f>BASEBUDGETS!C1279</f>
        <v>acre</v>
      </c>
      <c r="I108" s="758" t="e">
        <f>SUM(BASEBUDGETS!F1282:F1309)/BASEBUDGETS!C1160</f>
        <v>#DIV/0!</v>
      </c>
      <c r="J108" s="797" t="e">
        <f>I108</f>
        <v>#DIV/0!</v>
      </c>
    </row>
    <row r="109" spans="2:12" s="611" customFormat="1" ht="21">
      <c r="B109" s="807" t="s">
        <v>77</v>
      </c>
      <c r="C109" s="807"/>
      <c r="D109" s="807"/>
      <c r="E109" s="807"/>
      <c r="F109" s="807"/>
      <c r="G109" s="756"/>
      <c r="H109" s="756"/>
      <c r="I109" s="756"/>
      <c r="J109" s="765" t="e">
        <f>J108</f>
        <v>#DIV/0!</v>
      </c>
    </row>
    <row r="110" spans="2:12" s="611" customFormat="1" ht="21">
      <c r="B110" s="660"/>
      <c r="C110" s="660"/>
      <c r="D110" s="765"/>
      <c r="E110" s="758"/>
      <c r="F110" s="660"/>
      <c r="G110" s="756"/>
      <c r="H110" s="756"/>
      <c r="I110" s="756"/>
      <c r="J110" s="765"/>
      <c r="L110" s="799" t="s">
        <v>10</v>
      </c>
    </row>
    <row r="111" spans="2:12" s="611" customFormat="1" ht="20.399999999999999">
      <c r="B111" s="808" t="s">
        <v>63</v>
      </c>
      <c r="C111" s="808"/>
      <c r="D111" s="808"/>
      <c r="E111" s="808"/>
      <c r="F111" s="808"/>
      <c r="G111" s="764"/>
      <c r="H111" s="764"/>
      <c r="I111" s="764"/>
      <c r="J111" s="801" t="e">
        <f>J96+J104+J109</f>
        <v>#DIV/0!</v>
      </c>
      <c r="L111" s="611">
        <v>230.9</v>
      </c>
    </row>
    <row r="112" spans="2:12" s="611" customFormat="1" ht="20.399999999999999">
      <c r="B112" s="805" t="s">
        <v>64</v>
      </c>
      <c r="C112" s="805"/>
      <c r="D112" s="805"/>
      <c r="E112" s="805"/>
      <c r="F112" s="805"/>
      <c r="G112" s="803"/>
      <c r="H112" s="803"/>
      <c r="I112" s="803"/>
      <c r="J112" s="788" t="e">
        <f>J5-J111</f>
        <v>#DIV/0!</v>
      </c>
    </row>
    <row r="113" spans="12:14">
      <c r="L113" s="611"/>
      <c r="M113" s="611"/>
      <c r="N113" s="611"/>
    </row>
    <row r="114" spans="12:14">
      <c r="L114" s="611"/>
      <c r="M114" s="611"/>
      <c r="N114" s="611"/>
    </row>
    <row r="115" spans="12:14">
      <c r="L115" s="611"/>
      <c r="M115" s="611"/>
      <c r="N115" s="611"/>
    </row>
    <row r="116" spans="12:14">
      <c r="L116" s="611"/>
      <c r="M116" s="611"/>
      <c r="N116" s="611"/>
    </row>
  </sheetData>
  <sheetProtection algorithmName="SHA-512" hashValue="7xJ9PeuI4IxqNZ2wBavaAl63z+R3Lp0BCfAAekQhNQs8PVUymkFE8rZzkpnQ6Dwi3bN8fWRz5HvmPlz1Suv5Uw==" saltValue="PB5VCujllcrYnknuSLtEEg==" spinCount="100000" sheet="1" objects="1" scenarios="1"/>
  <mergeCells count="22">
    <mergeCell ref="B96:E96"/>
    <mergeCell ref="B98:F98"/>
    <mergeCell ref="B99:F99"/>
    <mergeCell ref="B100:F100"/>
    <mergeCell ref="G2:I2"/>
    <mergeCell ref="B4:E4"/>
    <mergeCell ref="B2:F2"/>
    <mergeCell ref="B76:C76"/>
    <mergeCell ref="B93:C93"/>
    <mergeCell ref="B3:C3"/>
    <mergeCell ref="B8:C8"/>
    <mergeCell ref="B31:C31"/>
    <mergeCell ref="B108:F108"/>
    <mergeCell ref="B109:F109"/>
    <mergeCell ref="B111:F111"/>
    <mergeCell ref="B112:F112"/>
    <mergeCell ref="B101:F101"/>
    <mergeCell ref="B102:F102"/>
    <mergeCell ref="B103:F103"/>
    <mergeCell ref="B104:F104"/>
    <mergeCell ref="B106:F106"/>
    <mergeCell ref="B107:G107"/>
  </mergeCells>
  <pageMargins left="0.7" right="0.7" top="0.75" bottom="0.75" header="0.3" footer="0.3"/>
  <pageSetup scale="39" fitToHeight="2" orientation="portrait" horizontalDpi="0" verticalDpi="0"/>
  <ignoredErrors>
    <ignoredError sqref="B5:E5 B4 B31:C31 C94:C95 G9:H17 I18:I27 G32:H33 B99:H104 H108:H112 G4:J5 H29:I30 C29:C30 F29:F33 B38:B43 C35:C36 B76:C76 G2 B9:D27 B32:C34 C38:C44 B45:C53 B74:C75 B77:C82 E31 D74:D78 F4:F27 K68:K92 B83:D92 C28:J28 I37 I44 I40:I41 D29:D65 B55:C65 K63:K66 B68:B73 B66 C66:F73 J111 D79:D82 I108 I64:J64 J109 I107:J107" unlockedFormula="1"/>
    <ignoredError sqref="I9:I17 I99:J104 I110:J110 J29:J30 E29:E30 G29:G30 E32:E34 F34:H34 I112:J112 I111 I90 G77:H79 H91:I92 E44:H44 E35:H36 F45:F52 G52:H52 E94:E95 E74:F82 G80:G82 J90:J92 G68:J76 E38:F43 G40:H43 E45:E53 E55:F62 F53:H53 J94:J97 G62:J62 J52:J54 J32:J37 I32:I36 J40:J44 G18:H27 E9:E27 J9:J27 I77:J89 H80:H90 E83:G92 G38:J39 I42:I43 E63:J63 G66:J66 F65:J65 E64:F64 J108 I109" evalError="1" unlockedFormula="1"/>
    <ignoredError sqref="I96 G96:H96 E93 I95 J93 F94:I94 G55:J61 G45:J51 E54:H54 F93:I93 F95:H95" evalError="1"/>
  </ignoredError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B567-13DF-2140-8A1A-EEE6C9898C88}">
  <sheetPr codeName="Sheet22">
    <pageSetUpPr fitToPage="1"/>
  </sheetPr>
  <dimension ref="A1:N120"/>
  <sheetViews>
    <sheetView zoomScale="110" zoomScaleNormal="110" workbookViewId="0">
      <selection activeCell="G5" sqref="G5"/>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5.44140625" style="611" hidden="1" customWidth="1"/>
    <col min="12" max="14" width="11.44140625" style="653" hidden="1" customWidth="1"/>
    <col min="15" max="15" width="24.33203125" style="653" customWidth="1"/>
    <col min="16" max="22" width="12.33203125" style="653" customWidth="1"/>
    <col min="23" max="16384" width="11.44140625" style="653"/>
  </cols>
  <sheetData>
    <row r="1" spans="2:14" s="611" customFormat="1" ht="15.9" customHeight="1" thickBot="1">
      <c r="B1" s="814" t="s">
        <v>10</v>
      </c>
      <c r="C1" s="814" t="s">
        <v>10</v>
      </c>
      <c r="D1" s="815" t="s">
        <v>10</v>
      </c>
      <c r="E1" s="816" t="s">
        <v>10</v>
      </c>
      <c r="F1" s="817" t="s">
        <v>10</v>
      </c>
      <c r="G1" s="818" t="s">
        <v>10</v>
      </c>
      <c r="H1" s="818" t="s">
        <v>10</v>
      </c>
      <c r="I1" s="818" t="s">
        <v>10</v>
      </c>
      <c r="J1" s="818" t="s">
        <v>10</v>
      </c>
      <c r="K1" s="726" t="s">
        <v>10</v>
      </c>
    </row>
    <row r="2" spans="2:14" s="611" customFormat="1" ht="22.8">
      <c r="B2" s="746" t="s">
        <v>488</v>
      </c>
      <c r="C2" s="746"/>
      <c r="D2" s="746"/>
      <c r="E2" s="746"/>
      <c r="F2" s="746"/>
      <c r="G2" s="746" t="str">
        <f>'AcresYieldsPrices&amp;Water'!B10</f>
        <v>Cotton</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BASEBUDGETS!B1325</f>
        <v>Cotton Lint</v>
      </c>
      <c r="C4" s="754"/>
      <c r="D4" s="754"/>
      <c r="E4" s="754"/>
      <c r="F4" s="755" t="str">
        <f>BASEBUDGETS!C1325</f>
        <v>pound</v>
      </c>
      <c r="G4" s="756">
        <f>BASEBUDGETS!D1325</f>
        <v>1</v>
      </c>
      <c r="H4" s="757"/>
      <c r="I4" s="819">
        <f>IF(BASEBUDGETS!E1325=0,0,BASEBUDGETS!E1325/BASEBUDGETS!C1321)</f>
        <v>0</v>
      </c>
      <c r="J4" s="759">
        <f>G4*I4</f>
        <v>0</v>
      </c>
    </row>
    <row r="5" spans="2:14" s="611" customFormat="1" ht="21">
      <c r="B5" s="760" t="str">
        <f>BASEBUDGETS!B1326</f>
        <v>Cotton Seed</v>
      </c>
      <c r="C5" s="760"/>
      <c r="D5" s="760"/>
      <c r="E5" s="760"/>
      <c r="F5" s="755" t="str">
        <f>BASEBUDGETS!C1326</f>
        <v>pound</v>
      </c>
      <c r="G5" s="756">
        <f>BASEBUDGETS!D1326</f>
        <v>0.15</v>
      </c>
      <c r="H5" s="757"/>
      <c r="I5" s="819">
        <f>IF(BASEBUDGETS!E1326=0,0,BASEBUDGETS!E1326/BASEBUDGETS!C1321)</f>
        <v>0</v>
      </c>
      <c r="J5" s="820">
        <f>G5*I5</f>
        <v>0</v>
      </c>
    </row>
    <row r="6" spans="2:14" s="611" customFormat="1" ht="20.399999999999999">
      <c r="B6" s="679" t="s">
        <v>27</v>
      </c>
      <c r="C6" s="679"/>
      <c r="D6" s="762"/>
      <c r="E6" s="763"/>
      <c r="F6" s="679"/>
      <c r="G6" s="764"/>
      <c r="H6" s="764"/>
      <c r="I6" s="764"/>
      <c r="J6" s="764">
        <f>SUM(J4:J5)</f>
        <v>0</v>
      </c>
    </row>
    <row r="7" spans="2:14" s="611" customFormat="1" ht="21">
      <c r="B7" s="660"/>
      <c r="C7" s="660"/>
      <c r="D7" s="765"/>
      <c r="E7" s="758"/>
      <c r="F7" s="660"/>
      <c r="G7" s="756"/>
      <c r="H7" s="756"/>
      <c r="I7" s="756"/>
      <c r="J7" s="756"/>
    </row>
    <row r="8" spans="2:14" s="611" customFormat="1" ht="21">
      <c r="B8" s="766" t="s">
        <v>76</v>
      </c>
      <c r="C8" s="766"/>
      <c r="D8" s="767" t="s">
        <v>45</v>
      </c>
      <c r="E8" s="810" t="s">
        <v>25</v>
      </c>
      <c r="F8" s="811" t="s">
        <v>1</v>
      </c>
      <c r="G8" s="812" t="s">
        <v>149</v>
      </c>
      <c r="H8" s="812" t="s">
        <v>8</v>
      </c>
      <c r="I8" s="812" t="s">
        <v>150</v>
      </c>
      <c r="J8" s="812" t="s">
        <v>7</v>
      </c>
    </row>
    <row r="9" spans="2:14" s="611" customFormat="1" ht="24">
      <c r="B9" s="754" t="s">
        <v>452</v>
      </c>
      <c r="C9" s="754"/>
      <c r="D9" s="765"/>
      <c r="E9" s="758"/>
      <c r="F9" s="769"/>
      <c r="G9" s="770"/>
      <c r="H9" s="770"/>
      <c r="I9" s="770"/>
      <c r="J9" s="770"/>
    </row>
    <row r="10" spans="2:14" s="611" customFormat="1" ht="21">
      <c r="C10" s="660" t="str">
        <f>BASEBUDGETS!B1361</f>
        <v>V Ripper, Custom</v>
      </c>
      <c r="D10" s="765">
        <f>CustomOperations!L5</f>
        <v>44.25</v>
      </c>
      <c r="E10" s="771" t="e">
        <f>BASEBUDGETS!E1361/BASEBUDGETS!C1321</f>
        <v>#DIV/0!</v>
      </c>
      <c r="F10" s="770" t="str">
        <f>BASEBUDGETS!C1361</f>
        <v>acre</v>
      </c>
      <c r="G10" s="756">
        <v>0</v>
      </c>
      <c r="H10" s="756">
        <v>0</v>
      </c>
      <c r="I10" s="756" t="e">
        <f>IF(E10=0,0,BASEBUDGETS!D1361*E10)</f>
        <v>#DIV/0!</v>
      </c>
      <c r="J10" s="756" t="e">
        <f>G10+H10+I10</f>
        <v>#DIV/0!</v>
      </c>
      <c r="L10" s="772">
        <f>N10*'AcresYieldsPrices&amp;Water'!D$10</f>
        <v>0</v>
      </c>
      <c r="M10" s="611" t="s">
        <v>394</v>
      </c>
      <c r="N10" s="653">
        <f>IFERROR(I38,0)</f>
        <v>0</v>
      </c>
    </row>
    <row r="11" spans="2:14" s="611" customFormat="1" ht="21">
      <c r="C11" s="660" t="str">
        <f>BASEBUDGETS!B1362</f>
        <v>Disk, Custom</v>
      </c>
      <c r="D11" s="765">
        <f>CustomOperations!L7</f>
        <v>0</v>
      </c>
      <c r="E11" s="771" t="e">
        <f>BASEBUDGETS!E1362/BASEBUDGETS!C1321</f>
        <v>#DIV/0!</v>
      </c>
      <c r="F11" s="770" t="str">
        <f>BASEBUDGETS!C1362</f>
        <v>acre</v>
      </c>
      <c r="G11" s="756">
        <v>0</v>
      </c>
      <c r="H11" s="756">
        <v>0</v>
      </c>
      <c r="I11" s="756" t="e">
        <f>IF(E11=0,0,BASEBUDGETS!D1362*E11)</f>
        <v>#DIV/0!</v>
      </c>
      <c r="J11" s="756" t="e">
        <f t="shared" ref="J11:J31" si="0">G11+H11+I11</f>
        <v>#DIV/0!</v>
      </c>
      <c r="L11" s="772">
        <f>N11*'AcresYieldsPrices&amp;Water'!D$10</f>
        <v>0</v>
      </c>
      <c r="M11" s="611" t="s">
        <v>395</v>
      </c>
      <c r="N11" s="653">
        <f>IFERROR(I45,0)</f>
        <v>0</v>
      </c>
    </row>
    <row r="12" spans="2:14" s="611" customFormat="1" ht="21">
      <c r="C12" s="660" t="str">
        <f>BASEBUDGETS!B1363</f>
        <v>Drag, Custom</v>
      </c>
      <c r="D12" s="765">
        <f>CustomOperations!L9</f>
        <v>0</v>
      </c>
      <c r="E12" s="771" t="e">
        <f>BASEBUDGETS!E1363/BASEBUDGETS!C1321</f>
        <v>#DIV/0!</v>
      </c>
      <c r="F12" s="770" t="str">
        <f>BASEBUDGETS!C1363</f>
        <v>acre</v>
      </c>
      <c r="G12" s="756">
        <v>0</v>
      </c>
      <c r="H12" s="756">
        <v>0</v>
      </c>
      <c r="I12" s="756" t="e">
        <f>IF(E12=0,0,BASEBUDGETS!D1363*E12)</f>
        <v>#DIV/0!</v>
      </c>
      <c r="J12" s="756" t="e">
        <f t="shared" si="0"/>
        <v>#DIV/0!</v>
      </c>
      <c r="L12" s="772">
        <f>N12*'AcresYieldsPrices&amp;Water'!D$10</f>
        <v>0</v>
      </c>
      <c r="M12" s="611" t="s">
        <v>396</v>
      </c>
      <c r="N12" s="653">
        <f>IFERROR(I55,0)</f>
        <v>0</v>
      </c>
    </row>
    <row r="13" spans="2:14" s="611" customFormat="1" ht="21">
      <c r="C13" s="660" t="str">
        <f>BASEBUDGETS!B1364</f>
        <v>Chisel, Custom</v>
      </c>
      <c r="D13" s="765">
        <f>CustomOperations!L11</f>
        <v>0</v>
      </c>
      <c r="E13" s="771" t="e">
        <f>BASEBUDGETS!E1364/BASEBUDGETS!C1321</f>
        <v>#DIV/0!</v>
      </c>
      <c r="F13" s="770" t="str">
        <f>BASEBUDGETS!C1364</f>
        <v>acre</v>
      </c>
      <c r="G13" s="756">
        <v>0</v>
      </c>
      <c r="H13" s="756">
        <v>0</v>
      </c>
      <c r="I13" s="756" t="e">
        <f>IF(E13=0,0,BASEBUDGETS!D1364*E13)</f>
        <v>#DIV/0!</v>
      </c>
      <c r="J13" s="756" t="e">
        <f t="shared" si="0"/>
        <v>#DIV/0!</v>
      </c>
      <c r="L13" s="772">
        <f>N13*'AcresYieldsPrices&amp;Water'!D$10</f>
        <v>0</v>
      </c>
      <c r="M13" s="611" t="s">
        <v>392</v>
      </c>
      <c r="N13" s="653">
        <f>IFERROR(E30+E31+E75+E76+E98+E99+E73+E70+E67,0)</f>
        <v>0</v>
      </c>
    </row>
    <row r="14" spans="2:14" s="611" customFormat="1" ht="21">
      <c r="C14" s="660" t="str">
        <f>BASEBUDGETS!B1365</f>
        <v>Moldboard Plow, Custom</v>
      </c>
      <c r="D14" s="765">
        <f>CustomOperations!L13</f>
        <v>0</v>
      </c>
      <c r="E14" s="771" t="e">
        <f>BASEBUDGETS!E1365/BASEBUDGETS!C1321</f>
        <v>#DIV/0!</v>
      </c>
      <c r="F14" s="770" t="str">
        <f>BASEBUDGETS!C1365</f>
        <v>acre</v>
      </c>
      <c r="G14" s="756">
        <v>0</v>
      </c>
      <c r="H14" s="756">
        <v>0</v>
      </c>
      <c r="I14" s="756" t="e">
        <f>IF(E14=0,0,BASEBUDGETS!D1365*E14)</f>
        <v>#DIV/0!</v>
      </c>
      <c r="J14" s="756" t="e">
        <f t="shared" si="0"/>
        <v>#DIV/0!</v>
      </c>
      <c r="L14" s="772">
        <f>N14*'AcresYieldsPrices&amp;Water'!D$10</f>
        <v>0</v>
      </c>
      <c r="M14" s="611" t="s">
        <v>393</v>
      </c>
      <c r="N14" s="653">
        <f>IFERROR(((SUM(G19:G29)+G37+G35+G36+G44+G43+G54+G64+G78+G79+G80+SUM(G90:G97))/GeneralInputPrices!$D$29),0)</f>
        <v>0</v>
      </c>
    </row>
    <row r="15" spans="2:14" s="611" customFormat="1" ht="21">
      <c r="C15" s="660" t="str">
        <f>BASEBUDGETS!B1366</f>
        <v>Landplane, Custom</v>
      </c>
      <c r="D15" s="765">
        <f>CustomOperations!L15</f>
        <v>17.940000000000001</v>
      </c>
      <c r="E15" s="771" t="e">
        <f>BASEBUDGETS!E1366/BASEBUDGETS!C1321</f>
        <v>#DIV/0!</v>
      </c>
      <c r="F15" s="770" t="str">
        <f>BASEBUDGETS!C1366</f>
        <v>acre</v>
      </c>
      <c r="G15" s="756">
        <v>0</v>
      </c>
      <c r="H15" s="756">
        <v>0</v>
      </c>
      <c r="I15" s="756" t="e">
        <f>IF(E15=0,0,BASEBUDGETS!D1366*E15)</f>
        <v>#DIV/0!</v>
      </c>
      <c r="J15" s="756" t="e">
        <f t="shared" si="0"/>
        <v>#DIV/0!</v>
      </c>
      <c r="L15" s="772">
        <f>N15*'AcresYieldsPrices&amp;Water'!D$10</f>
        <v>0</v>
      </c>
      <c r="M15" s="611" t="s">
        <v>186</v>
      </c>
      <c r="N15" s="653">
        <f>IFERROR(H103,0)</f>
        <v>0</v>
      </c>
    </row>
    <row r="16" spans="2:14" s="611" customFormat="1" ht="21">
      <c r="C16" s="660" t="str">
        <f>BASEBUDGETS!B1367</f>
        <v>Float, Custom</v>
      </c>
      <c r="D16" s="765">
        <f>CustomOperations!L17</f>
        <v>17.940000000000001</v>
      </c>
      <c r="E16" s="771" t="e">
        <f>BASEBUDGETS!E1367/BASEBUDGETS!C1321</f>
        <v>#DIV/0!</v>
      </c>
      <c r="F16" s="770" t="str">
        <f>BASEBUDGETS!C1367</f>
        <v>acre</v>
      </c>
      <c r="G16" s="756">
        <v>0</v>
      </c>
      <c r="H16" s="756">
        <v>0</v>
      </c>
      <c r="I16" s="756" t="e">
        <f>IF(E16=0,0,BASEBUDGETS!D1367*E16)</f>
        <v>#DIV/0!</v>
      </c>
      <c r="J16" s="756" t="e">
        <f t="shared" si="0"/>
        <v>#DIV/0!</v>
      </c>
      <c r="L16" s="772">
        <f>N16*'AcresYieldsPrices&amp;Water'!D$10</f>
        <v>0</v>
      </c>
      <c r="M16" s="611" t="s">
        <v>401</v>
      </c>
      <c r="N16" s="653">
        <f>IFERROR(J116,0)</f>
        <v>0</v>
      </c>
    </row>
    <row r="17" spans="2:14" s="611" customFormat="1" ht="21">
      <c r="C17" s="660" t="str">
        <f>BASEBUDGETS!B1368</f>
        <v>Lister, Custom</v>
      </c>
      <c r="D17" s="765">
        <f>CustomOperations!L19</f>
        <v>20.38</v>
      </c>
      <c r="E17" s="771" t="e">
        <f>BASEBUDGETS!E1368/BASEBUDGETS!C1321</f>
        <v>#DIV/0!</v>
      </c>
      <c r="F17" s="770" t="str">
        <f>BASEBUDGETS!C1368</f>
        <v>acre</v>
      </c>
      <c r="G17" s="756">
        <v>0</v>
      </c>
      <c r="H17" s="756">
        <v>0</v>
      </c>
      <c r="I17" s="756" t="e">
        <f>IF(E17=0,0,BASEBUDGETS!D1368*E17)</f>
        <v>#DIV/0!</v>
      </c>
      <c r="J17" s="756" t="e">
        <f t="shared" si="0"/>
        <v>#DIV/0!</v>
      </c>
      <c r="L17" s="772">
        <f>N17*'AcresYieldsPrices&amp;Water'!D$10</f>
        <v>0</v>
      </c>
      <c r="M17" s="611" t="s">
        <v>405</v>
      </c>
      <c r="N17" s="653">
        <f>IFERROR((J81+J63+J53+J41+J42+J33+J34+SUM(J10:J18)),0)</f>
        <v>0</v>
      </c>
    </row>
    <row r="18" spans="2:14" s="611" customFormat="1" ht="21">
      <c r="C18" s="660" t="str">
        <f>BASEBUDGETS!B1369</f>
        <v>Bed Shape, Custom</v>
      </c>
      <c r="D18" s="765">
        <f>CustomOperations!L21</f>
        <v>13.69</v>
      </c>
      <c r="E18" s="771" t="e">
        <f>BASEBUDGETS!E1369/BASEBUDGETS!C1321</f>
        <v>#DIV/0!</v>
      </c>
      <c r="F18" s="770" t="str">
        <f>BASEBUDGETS!C1369</f>
        <v>acre</v>
      </c>
      <c r="G18" s="756">
        <v>0</v>
      </c>
      <c r="H18" s="756">
        <v>0</v>
      </c>
      <c r="I18" s="756" t="e">
        <f>IF(E18=0,0,BASEBUDGETS!D1369*E18)</f>
        <v>#DIV/0!</v>
      </c>
      <c r="J18" s="756" t="e">
        <f t="shared" si="0"/>
        <v>#DIV/0!</v>
      </c>
    </row>
    <row r="19" spans="2:14" s="611" customFormat="1" ht="21">
      <c r="C19" s="660" t="str">
        <f>TillageOperations!$B$7</f>
        <v>V-Ripper</v>
      </c>
      <c r="D19" s="765"/>
      <c r="E19" s="771" t="e">
        <f>BASEBUDGETS!E1373/BASEBUDGETS!C1321</f>
        <v>#DIV/0!</v>
      </c>
      <c r="F19" s="770" t="str">
        <f>BASEBUDGETS!C1373</f>
        <v>acre</v>
      </c>
      <c r="G19" s="756" t="e">
        <f>IF(E19=0,0,BASEBUDGETS!D1374*E19)</f>
        <v>#DIV/0!</v>
      </c>
      <c r="H19" s="756" t="e">
        <f>IF(E19=0,0,BASEBUDGETS!D1373*E19)</f>
        <v>#DIV/0!</v>
      </c>
      <c r="I19" s="756">
        <v>0</v>
      </c>
      <c r="J19" s="756" t="e">
        <f t="shared" si="0"/>
        <v>#DIV/0!</v>
      </c>
    </row>
    <row r="20" spans="2:14" s="611" customFormat="1" ht="21">
      <c r="C20" s="660" t="str">
        <f>TillageOperations!$B$8</f>
        <v>Offset Disk</v>
      </c>
      <c r="D20" s="765"/>
      <c r="E20" s="771" t="e">
        <f>BASEBUDGETS!E1375/BASEBUDGETS!C1321</f>
        <v>#DIV/0!</v>
      </c>
      <c r="F20" s="770" t="str">
        <f>BASEBUDGETS!C1375&amp;"s"</f>
        <v>acres</v>
      </c>
      <c r="G20" s="756" t="e">
        <f>IF(E20=0,0,BASEBUDGETS!D1376*E20)</f>
        <v>#DIV/0!</v>
      </c>
      <c r="H20" s="756" t="e">
        <f>IF(E20=0,0,BASEBUDGETS!D1375*E20)</f>
        <v>#DIV/0!</v>
      </c>
      <c r="I20" s="756">
        <v>0</v>
      </c>
      <c r="J20" s="756" t="e">
        <f t="shared" si="0"/>
        <v>#DIV/0!</v>
      </c>
    </row>
    <row r="21" spans="2:14" s="611" customFormat="1" ht="21">
      <c r="C21" s="660" t="str">
        <f>TillageOperations!$B$9</f>
        <v>Drag</v>
      </c>
      <c r="D21" s="765"/>
      <c r="E21" s="771" t="e">
        <f>BASEBUDGETS!E1377/BASEBUDGETS!C1321</f>
        <v>#DIV/0!</v>
      </c>
      <c r="F21" s="770" t="str">
        <f>BASEBUDGETS!C1377</f>
        <v>acre</v>
      </c>
      <c r="G21" s="756" t="e">
        <f>IF(E21=0,0,BASEBUDGETS!D1378*E21)</f>
        <v>#DIV/0!</v>
      </c>
      <c r="H21" s="756" t="e">
        <f>IF(E21=0,0,BASEBUDGETS!D1377*E21)</f>
        <v>#DIV/0!</v>
      </c>
      <c r="I21" s="756">
        <v>0</v>
      </c>
      <c r="J21" s="756" t="e">
        <f t="shared" si="0"/>
        <v>#DIV/0!</v>
      </c>
    </row>
    <row r="22" spans="2:14" s="611" customFormat="1" ht="21">
      <c r="C22" s="660" t="str">
        <f>TillageOperations!$B$10</f>
        <v>Chisel</v>
      </c>
      <c r="D22" s="765"/>
      <c r="E22" s="771" t="e">
        <f>BASEBUDGETS!E1379/BASEBUDGETS!C1321</f>
        <v>#DIV/0!</v>
      </c>
      <c r="F22" s="770" t="str">
        <f>BASEBUDGETS!C1379</f>
        <v>acre</v>
      </c>
      <c r="G22" s="756" t="e">
        <f>IF(E22=0,0,BASEBUDGETS!D1380*E22)</f>
        <v>#DIV/0!</v>
      </c>
      <c r="H22" s="756" t="e">
        <f>IF(E22=0,0,BASEBUDGETS!D1379*E22)</f>
        <v>#DIV/0!</v>
      </c>
      <c r="I22" s="756">
        <v>0</v>
      </c>
      <c r="J22" s="756" t="e">
        <f t="shared" si="0"/>
        <v>#DIV/0!</v>
      </c>
    </row>
    <row r="23" spans="2:14" s="611" customFormat="1" ht="21">
      <c r="C23" s="660" t="str">
        <f>TillageOperations!$B$11</f>
        <v>Moldboard Plow</v>
      </c>
      <c r="D23" s="765"/>
      <c r="E23" s="771" t="e">
        <f>BASEBUDGETS!E1381/BASEBUDGETS!C1321</f>
        <v>#DIV/0!</v>
      </c>
      <c r="F23" s="770" t="str">
        <f>BASEBUDGETS!C1381</f>
        <v>acre</v>
      </c>
      <c r="G23" s="756" t="e">
        <f>IF(E23=0,0,BASEBUDGETS!D1382*E23)</f>
        <v>#DIV/0!</v>
      </c>
      <c r="H23" s="756" t="e">
        <f>IF(E23=0,0,BASEBUDGETS!D1381*E23)</f>
        <v>#DIV/0!</v>
      </c>
      <c r="I23" s="756">
        <v>0</v>
      </c>
      <c r="J23" s="756" t="e">
        <f t="shared" si="0"/>
        <v>#DIV/0!</v>
      </c>
    </row>
    <row r="24" spans="2:14" s="611" customFormat="1" ht="21">
      <c r="C24" s="660" t="str">
        <f>TillageOperations!$B$12</f>
        <v>Cultivator</v>
      </c>
      <c r="D24" s="765"/>
      <c r="E24" s="771" t="e">
        <f>BASEBUDGETS!E1383/BASEBUDGETS!C1321</f>
        <v>#DIV/0!</v>
      </c>
      <c r="F24" s="770" t="str">
        <f>BASEBUDGETS!C1383</f>
        <v>acre</v>
      </c>
      <c r="G24" s="756" t="e">
        <f>IF(E24=0,0,BASEBUDGETS!D1384*E24)</f>
        <v>#DIV/0!</v>
      </c>
      <c r="H24" s="756" t="e">
        <f>IF(E24=0,0,BASEBUDGETS!D1383*E24)</f>
        <v>#DIV/0!</v>
      </c>
      <c r="I24" s="756">
        <v>0</v>
      </c>
      <c r="J24" s="756" t="e">
        <f t="shared" si="0"/>
        <v>#DIV/0!</v>
      </c>
    </row>
    <row r="25" spans="2:14" s="611" customFormat="1" ht="21">
      <c r="C25" s="660" t="str">
        <f>TillageOperations!$B$13</f>
        <v>Landplane</v>
      </c>
      <c r="D25" s="765"/>
      <c r="E25" s="771" t="e">
        <f>BASEBUDGETS!E1385/BASEBUDGETS!C1321</f>
        <v>#DIV/0!</v>
      </c>
      <c r="F25" s="770" t="str">
        <f>BASEBUDGETS!C1385</f>
        <v>acre</v>
      </c>
      <c r="G25" s="756" t="e">
        <f>IF(E25=0,0,BASEBUDGETS!D1386*E25)</f>
        <v>#DIV/0!</v>
      </c>
      <c r="H25" s="756" t="e">
        <f>IF(E25=0,0,BASEBUDGETS!D1385*E25)</f>
        <v>#DIV/0!</v>
      </c>
      <c r="I25" s="756">
        <v>0</v>
      </c>
      <c r="J25" s="756" t="e">
        <f t="shared" si="0"/>
        <v>#DIV/0!</v>
      </c>
    </row>
    <row r="26" spans="2:14" s="611" customFormat="1" ht="21">
      <c r="C26" s="660" t="str">
        <f>TillageOperations!$B$14</f>
        <v>Float</v>
      </c>
      <c r="D26" s="765"/>
      <c r="E26" s="771" t="e">
        <f>BASEBUDGETS!E1387/BASEBUDGETS!C1321</f>
        <v>#DIV/0!</v>
      </c>
      <c r="F26" s="770" t="str">
        <f>BASEBUDGETS!C1387&amp;"s"</f>
        <v>acres</v>
      </c>
      <c r="G26" s="756" t="e">
        <f>IF(E26=0,0,BASEBUDGETS!D1388*E26)</f>
        <v>#DIV/0!</v>
      </c>
      <c r="H26" s="756" t="e">
        <f>IF(E26=0,0,BASEBUDGETS!D1387*E26)</f>
        <v>#DIV/0!</v>
      </c>
      <c r="I26" s="756">
        <v>0</v>
      </c>
      <c r="J26" s="756" t="e">
        <f t="shared" si="0"/>
        <v>#DIV/0!</v>
      </c>
    </row>
    <row r="27" spans="2:14" s="611" customFormat="1" ht="21">
      <c r="C27" s="660" t="str">
        <f>TillageOperations!$B$15</f>
        <v>Lister</v>
      </c>
      <c r="D27" s="765"/>
      <c r="E27" s="771" t="e">
        <f>BASEBUDGETS!E1389/BASEBUDGETS!C1321</f>
        <v>#DIV/0!</v>
      </c>
      <c r="F27" s="770" t="str">
        <f>BASEBUDGETS!C1389</f>
        <v>acre</v>
      </c>
      <c r="G27" s="756" t="e">
        <f>IF(E27=0,0,BASEBUDGETS!D1390*E27)</f>
        <v>#DIV/0!</v>
      </c>
      <c r="H27" s="756" t="e">
        <f>IF(E27=0,0,BASEBUDGETS!D1389*E27)</f>
        <v>#DIV/0!</v>
      </c>
      <c r="I27" s="756">
        <v>0</v>
      </c>
      <c r="J27" s="756" t="e">
        <f t="shared" si="0"/>
        <v>#DIV/0!</v>
      </c>
    </row>
    <row r="28" spans="2:14" s="611" customFormat="1" ht="21">
      <c r="C28" s="660" t="str">
        <f>TillageOperations!$B$16</f>
        <v>Bed Shaper</v>
      </c>
      <c r="D28" s="765"/>
      <c r="E28" s="771" t="e">
        <f>BASEBUDGETS!E1391/BASEBUDGETS!C1321</f>
        <v>#DIV/0!</v>
      </c>
      <c r="F28" s="770" t="str">
        <f>BASEBUDGETS!C1391</f>
        <v>acre</v>
      </c>
      <c r="G28" s="756" t="e">
        <f>IF(E28=0,0,BASEBUDGETS!D1392*E28)</f>
        <v>#DIV/0!</v>
      </c>
      <c r="H28" s="756" t="e">
        <f>IF(E28=0,0,BASEBUDGETS!D1391*E28)</f>
        <v>#DIV/0!</v>
      </c>
      <c r="I28" s="756">
        <v>0</v>
      </c>
      <c r="J28" s="756" t="e">
        <f t="shared" si="0"/>
        <v>#DIV/0!</v>
      </c>
    </row>
    <row r="29" spans="2:14" s="611" customFormat="1" ht="21">
      <c r="C29" s="660" t="str">
        <f>TillageOperations!$B$17</f>
        <v>Cotton Shredder/Root Puller</v>
      </c>
      <c r="D29" s="765"/>
      <c r="E29" s="771" t="e">
        <f>BASEBUDGETS!E1405/BASEBUDGETS!C1321</f>
        <v>#DIV/0!</v>
      </c>
      <c r="F29" s="770" t="str">
        <f>BASEBUDGETS!C1405</f>
        <v>acre</v>
      </c>
      <c r="G29" s="756" t="e">
        <f>IF(E29=0,0,BASEBUDGETS!D1406*E29)</f>
        <v>#DIV/0!</v>
      </c>
      <c r="H29" s="756" t="e">
        <f>IF(E29=0,0,BASEBUDGETS!D1405*E29)</f>
        <v>#DIV/0!</v>
      </c>
      <c r="I29" s="756">
        <v>0</v>
      </c>
      <c r="J29" s="765" t="e">
        <f t="shared" si="0"/>
        <v>#DIV/0!</v>
      </c>
    </row>
    <row r="30" spans="2:14" s="611" customFormat="1" ht="21">
      <c r="C30" s="660" t="str">
        <f>BASEBUDGETS!B1430</f>
        <v>Additional Land Prep. Labor</v>
      </c>
      <c r="D30" s="765">
        <f>GeneralInputPrices!$D$30</f>
        <v>14.55</v>
      </c>
      <c r="E30" s="758" t="e">
        <f>BASEBUDGETS!E1430/BASEBUDGETS!C1321</f>
        <v>#DIV/0!</v>
      </c>
      <c r="F30" s="773" t="str">
        <f>BASEBUDGETS!C1430</f>
        <v>hour</v>
      </c>
      <c r="G30" s="756" t="e">
        <f>D30*E30</f>
        <v>#DIV/0!</v>
      </c>
      <c r="H30" s="756">
        <v>0</v>
      </c>
      <c r="I30" s="756">
        <v>0</v>
      </c>
      <c r="J30" s="765" t="e">
        <f t="shared" si="0"/>
        <v>#DIV/0!</v>
      </c>
    </row>
    <row r="31" spans="2:14" s="611" customFormat="1" ht="21">
      <c r="C31" s="660" t="str">
        <f>BASEBUDGETS!B1431</f>
        <v>Additional Land Prep. Labor</v>
      </c>
      <c r="D31" s="765">
        <f>GeneralInputPrices!$D$30</f>
        <v>14.55</v>
      </c>
      <c r="E31" s="758" t="e">
        <f>BASEBUDGETS!E1431/BASEBUDGETS!C1321</f>
        <v>#DIV/0!</v>
      </c>
      <c r="F31" s="773" t="str">
        <f>BASEBUDGETS!C1431</f>
        <v>hour</v>
      </c>
      <c r="G31" s="756" t="e">
        <f>D31*E31</f>
        <v>#DIV/0!</v>
      </c>
      <c r="H31" s="756">
        <v>0</v>
      </c>
      <c r="I31" s="756">
        <v>0</v>
      </c>
      <c r="J31" s="765" t="e">
        <f t="shared" si="0"/>
        <v>#DIV/0!</v>
      </c>
    </row>
    <row r="32" spans="2:14" s="611" customFormat="1" ht="21">
      <c r="B32" s="760" t="s">
        <v>175</v>
      </c>
      <c r="C32" s="760"/>
      <c r="D32" s="765"/>
      <c r="E32" s="774"/>
      <c r="G32" s="757"/>
      <c r="H32" s="757"/>
      <c r="I32" s="757"/>
      <c r="J32" s="757"/>
    </row>
    <row r="33" spans="3:10" s="611" customFormat="1" ht="21">
      <c r="C33" s="660" t="str">
        <f>BASEBUDGETS!B1358</f>
        <v>Drill, Custom</v>
      </c>
      <c r="D33" s="765"/>
      <c r="E33" s="771" t="e">
        <f>BASEBUDGETS!E1358/BASEBUDGETS!C1321</f>
        <v>#DIV/0!</v>
      </c>
      <c r="F33" s="770" t="str">
        <f>BASEBUDGETS!C1358</f>
        <v>acre</v>
      </c>
      <c r="G33" s="756">
        <v>0</v>
      </c>
      <c r="H33" s="756">
        <v>0</v>
      </c>
      <c r="I33" s="756" t="e">
        <f>IF(E33=0,0,(BASEBUDGETS!D1358*E33))</f>
        <v>#DIV/0!</v>
      </c>
      <c r="J33" s="756" t="e">
        <f t="shared" ref="J33:J35" si="1">G33+H33+I33</f>
        <v>#DIV/0!</v>
      </c>
    </row>
    <row r="34" spans="3:10" s="611" customFormat="1" ht="21">
      <c r="C34" s="660" t="str">
        <f>BASEBUDGETS!B1359</f>
        <v>Row Planter, Custom</v>
      </c>
      <c r="D34" s="765">
        <f>CustomOperations!L26</f>
        <v>0</v>
      </c>
      <c r="E34" s="771" t="e">
        <f>BASEBUDGETS!E1359/BASEBUDGETS!C1321</f>
        <v>#DIV/0!</v>
      </c>
      <c r="F34" s="770" t="str">
        <f>BASEBUDGETS!C1359</f>
        <v>acre</v>
      </c>
      <c r="G34" s="756">
        <v>0</v>
      </c>
      <c r="H34" s="756">
        <v>0</v>
      </c>
      <c r="I34" s="756" t="e">
        <f>IF(E34=0,0,(BASEBUDGETS!D1359*E34))</f>
        <v>#DIV/0!</v>
      </c>
      <c r="J34" s="756" t="e">
        <f t="shared" si="1"/>
        <v>#DIV/0!</v>
      </c>
    </row>
    <row r="35" spans="3:10" s="611" customFormat="1" ht="21">
      <c r="C35" s="660" t="str">
        <f>TillageOperations!$B$21</f>
        <v>Drill</v>
      </c>
      <c r="D35" s="765">
        <f>CustomOperations!L28</f>
        <v>0</v>
      </c>
      <c r="E35" s="771" t="e">
        <f>BASEBUDGETS!E1397/BASEBUDGETS!C1321</f>
        <v>#DIV/0!</v>
      </c>
      <c r="F35" s="770" t="str">
        <f>BASEBUDGETS!C1397</f>
        <v>acre</v>
      </c>
      <c r="G35" s="756" t="e">
        <f>IF(E35=0,0,BASEBUDGETS!D1398*E35)</f>
        <v>#DIV/0!</v>
      </c>
      <c r="H35" s="756" t="e">
        <f>IF(E35=0,0,BASEBUDGETS!D1397*E35)</f>
        <v>#DIV/0!</v>
      </c>
      <c r="I35" s="756">
        <v>0</v>
      </c>
      <c r="J35" s="756" t="e">
        <f t="shared" si="1"/>
        <v>#DIV/0!</v>
      </c>
    </row>
    <row r="36" spans="3:10" s="611" customFormat="1" ht="21">
      <c r="C36" s="660" t="str">
        <f>TillageOperations!$B$19</f>
        <v>Row Planter</v>
      </c>
      <c r="D36" s="765"/>
      <c r="E36" s="771" t="e">
        <f>BASEBUDGETS!E1393/BASEBUDGETS!C1321</f>
        <v>#DIV/0!</v>
      </c>
      <c r="F36" s="770" t="str">
        <f>BASEBUDGETS!C1393</f>
        <v>acre</v>
      </c>
      <c r="G36" s="756" t="e">
        <f>IF(E36=0,0,BASEBUDGETS!D1394*E36)</f>
        <v>#DIV/0!</v>
      </c>
      <c r="H36" s="756" t="e">
        <f>IF(E36=0,0,BASEBUDGETS!D1393*E36)</f>
        <v>#DIV/0!</v>
      </c>
      <c r="I36" s="756">
        <v>0</v>
      </c>
      <c r="J36" s="756" t="e">
        <f>G36+H36+I36</f>
        <v>#DIV/0!</v>
      </c>
    </row>
    <row r="37" spans="3:10" s="611" customFormat="1" ht="21">
      <c r="C37" s="660" t="str">
        <f>TillageOperations!$B$22</f>
        <v>Transplanter</v>
      </c>
      <c r="D37" s="765"/>
      <c r="E37" s="771" t="e">
        <f>BASEBUDGETS!E1428/BASEBUDGETS!C1321</f>
        <v>#DIV/0!</v>
      </c>
      <c r="F37" s="770" t="str">
        <f>BASEBUDGETS!C1428</f>
        <v>acre</v>
      </c>
      <c r="G37" s="756" t="e">
        <f>IF(E37=0,0,BASEBUDGETS!D1429*E37)</f>
        <v>#DIV/0!</v>
      </c>
      <c r="H37" s="756" t="e">
        <f>IF(E37=0,0,BASEBUDGETS!D1428*E37)</f>
        <v>#DIV/0!</v>
      </c>
      <c r="I37" s="756">
        <v>0</v>
      </c>
      <c r="J37" s="756" t="e">
        <f>G37+H37+I37</f>
        <v>#DIV/0!</v>
      </c>
    </row>
    <row r="38" spans="3:10" s="611" customFormat="1" ht="21">
      <c r="C38" s="660" t="s">
        <v>439</v>
      </c>
      <c r="D38" s="765"/>
      <c r="E38" s="771"/>
      <c r="F38" s="770"/>
      <c r="G38" s="756">
        <v>0</v>
      </c>
      <c r="H38" s="756">
        <v>0</v>
      </c>
      <c r="I38" s="756" t="e">
        <f>(D39*E39)+(D40*E40)</f>
        <v>#DIV/0!</v>
      </c>
      <c r="J38" s="765" t="e">
        <f>G38+H38+I38</f>
        <v>#DIV/0!</v>
      </c>
    </row>
    <row r="39" spans="3:10" s="611" customFormat="1" ht="21">
      <c r="C39" s="660" t="str">
        <f>BASEBUDGETS!B1330</f>
        <v xml:space="preserve">   - Seed</v>
      </c>
      <c r="D39" s="765">
        <f>BASEBUDGETS!D1330</f>
        <v>110</v>
      </c>
      <c r="E39" s="775" t="e">
        <f>BASEBUDGETS!E1330/BASEBUDGETS!C1321</f>
        <v>#DIV/0!</v>
      </c>
      <c r="F39" s="769" t="str">
        <f>BASEBUDGETS!C1330</f>
        <v>acre</v>
      </c>
      <c r="G39" s="757"/>
      <c r="H39" s="757"/>
      <c r="I39" s="757"/>
      <c r="J39" s="757"/>
    </row>
    <row r="40" spans="3:10" s="611" customFormat="1" ht="21">
      <c r="C40" s="660" t="str">
        <f>BASEBUDGETS!B1331</f>
        <v xml:space="preserve">   - Inoculant</v>
      </c>
      <c r="D40" s="765">
        <f>BASEBUDGETS!D1331</f>
        <v>3</v>
      </c>
      <c r="E40" s="775" t="e">
        <f>BASEBUDGETS!E1331/BASEBUDGETS!C1321</f>
        <v>#DIV/0!</v>
      </c>
      <c r="F40" s="769" t="str">
        <f>BASEBUDGETS!C1331</f>
        <v>pounds</v>
      </c>
      <c r="G40" s="765"/>
      <c r="H40" s="765"/>
      <c r="I40" s="765"/>
      <c r="J40" s="765"/>
    </row>
    <row r="41" spans="3:10" s="611" customFormat="1" ht="21">
      <c r="C41" s="660" t="str">
        <f>BASEBUDGETS!B1370</f>
        <v>Fertilizer Spreader, Custom</v>
      </c>
      <c r="D41" s="765">
        <f>CustomOperations!L33</f>
        <v>0</v>
      </c>
      <c r="E41" s="771" t="e">
        <f>BASEBUDGETS!E1370/BASEBUDGETS!C1321</f>
        <v>#DIV/0!</v>
      </c>
      <c r="F41" s="770" t="str">
        <f>BASEBUDGETS!C1370</f>
        <v>acre</v>
      </c>
      <c r="G41" s="756">
        <v>0</v>
      </c>
      <c r="H41" s="756">
        <v>0</v>
      </c>
      <c r="I41" s="756" t="e">
        <f>IF(E41=0,0,(BASEBUDGETS!D1370*E41))</f>
        <v>#DIV/0!</v>
      </c>
      <c r="J41" s="756" t="e">
        <f>G41+H41+I41</f>
        <v>#DIV/0!</v>
      </c>
    </row>
    <row r="42" spans="3:10" s="611" customFormat="1" ht="21">
      <c r="C42" s="660" t="str">
        <f>BASEBUDGETS!B1371</f>
        <v>Laser Landplaning, Custom</v>
      </c>
      <c r="D42" s="765">
        <f>CustomOperations!L35</f>
        <v>0</v>
      </c>
      <c r="E42" s="771" t="e">
        <f>BASEBUDGETS!E1371/BASEBUDGETS!C1321</f>
        <v>#DIV/0!</v>
      </c>
      <c r="F42" s="770" t="str">
        <f>BASEBUDGETS!C1371</f>
        <v>acre</v>
      </c>
      <c r="G42" s="756">
        <v>0</v>
      </c>
      <c r="H42" s="756">
        <v>0</v>
      </c>
      <c r="I42" s="756" t="e">
        <f>IF(E42=0,0,(BASEBUDGETS!D1371*E42))</f>
        <v>#DIV/0!</v>
      </c>
      <c r="J42" s="756" t="e">
        <f>G42+H42+I42</f>
        <v>#DIV/0!</v>
      </c>
    </row>
    <row r="43" spans="3:10" s="611" customFormat="1" ht="21">
      <c r="C43" s="660" t="str">
        <f>TillageOperations!$B$23</f>
        <v>Fertilizer Spreader</v>
      </c>
      <c r="D43" s="765"/>
      <c r="E43" s="771" t="e">
        <f>BASEBUDGETS!E1422/BASEBUDGETS!C1321</f>
        <v>#DIV/0!</v>
      </c>
      <c r="F43" s="770" t="str">
        <f>BASEBUDGETS!C1422</f>
        <v>acre</v>
      </c>
      <c r="G43" s="756" t="e">
        <f>IF(E43=0,0,BASEBUDGETS!D1423*E43)</f>
        <v>#DIV/0!</v>
      </c>
      <c r="H43" s="756" t="e">
        <f>IF(E43=0,0,BASEBUDGETS!D1422*E43)</f>
        <v>#DIV/0!</v>
      </c>
      <c r="I43" s="756">
        <v>0</v>
      </c>
      <c r="J43" s="756" t="e">
        <f>G43+H43+I43</f>
        <v>#DIV/0!</v>
      </c>
    </row>
    <row r="44" spans="3:10" s="611" customFormat="1" ht="21">
      <c r="C44" s="660" t="str">
        <f>TillageOperations!$B$24</f>
        <v>Fertilizer Injection System</v>
      </c>
      <c r="D44" s="765"/>
      <c r="E44" s="771" t="e">
        <f>BASEBUDGETS!E1424/BASEBUDGETS!C1321</f>
        <v>#DIV/0!</v>
      </c>
      <c r="F44" s="770" t="str">
        <f>BASEBUDGETS!C1424</f>
        <v>acre</v>
      </c>
      <c r="G44" s="756" t="e">
        <f>IF(E44=0,0,BASEBUDGETS!D1425*E44)</f>
        <v>#DIV/0!</v>
      </c>
      <c r="H44" s="756" t="e">
        <f>IF(E44=0,0,BASEBUDGETS!D1424*E44)</f>
        <v>#DIV/0!</v>
      </c>
      <c r="I44" s="756">
        <v>0</v>
      </c>
      <c r="J44" s="756" t="e">
        <f>G44+H44+I44</f>
        <v>#DIV/0!</v>
      </c>
    </row>
    <row r="45" spans="3:10" s="611" customFormat="1" ht="21">
      <c r="C45" s="660" t="s">
        <v>407</v>
      </c>
      <c r="D45" s="765"/>
      <c r="E45" s="771"/>
      <c r="F45" s="770"/>
      <c r="G45" s="756">
        <v>0</v>
      </c>
      <c r="H45" s="756">
        <v>0</v>
      </c>
      <c r="I45" s="756" t="e">
        <f>(D46*E46)+(D47*E47)+(D48*E48)+(D49*E49)+(D50*E50)+(D51*E51)+(D52*E52)</f>
        <v>#DIV/0!</v>
      </c>
      <c r="J45" s="765" t="e">
        <f>G45+H45+I45</f>
        <v>#DIV/0!</v>
      </c>
    </row>
    <row r="46" spans="3:10" s="611" customFormat="1" ht="21">
      <c r="C46" s="660" t="str">
        <f>BASEBUDGETS!B1332</f>
        <v xml:space="preserve">   - Nitrogen</v>
      </c>
      <c r="D46" s="765">
        <f>BASEBUDGETS!D1332</f>
        <v>0.46</v>
      </c>
      <c r="E46" s="775" t="e">
        <f>BASEBUDGETS!E1332/BASEBUDGETS!C1321</f>
        <v>#DIV/0!</v>
      </c>
      <c r="F46" s="769" t="str">
        <f>BASEBUDGETS!C1332</f>
        <v>pounds</v>
      </c>
      <c r="G46" s="765"/>
      <c r="H46" s="765"/>
      <c r="I46" s="765"/>
      <c r="J46" s="765"/>
    </row>
    <row r="47" spans="3:10" s="611" customFormat="1" ht="21">
      <c r="C47" s="660" t="str">
        <f>BASEBUDGETS!B1333</f>
        <v xml:space="preserve">   - Phosphorus</v>
      </c>
      <c r="D47" s="765">
        <f>BASEBUDGETS!D1333</f>
        <v>0.36</v>
      </c>
      <c r="E47" s="775" t="e">
        <f>BASEBUDGETS!E1333/BASEBUDGETS!C1321</f>
        <v>#DIV/0!</v>
      </c>
      <c r="F47" s="769" t="str">
        <f>BASEBUDGETS!C1333</f>
        <v>pounds</v>
      </c>
      <c r="G47" s="765"/>
      <c r="H47" s="765"/>
      <c r="I47" s="765"/>
      <c r="J47" s="765"/>
    </row>
    <row r="48" spans="3:10" s="611" customFormat="1" ht="21">
      <c r="C48" s="660" t="str">
        <f>BASEBUDGETS!B1334</f>
        <v xml:space="preserve">   - Anhydrous Ammonia</v>
      </c>
      <c r="D48" s="765">
        <f>BASEBUDGETS!D1334</f>
        <v>0.21</v>
      </c>
      <c r="E48" s="775" t="e">
        <f>BASEBUDGETS!E1334/BASEBUDGETS!C1321</f>
        <v>#DIV/0!</v>
      </c>
      <c r="F48" s="769" t="str">
        <f>BASEBUDGETS!C1334</f>
        <v>pounds</v>
      </c>
      <c r="G48" s="765"/>
      <c r="H48" s="765"/>
      <c r="I48" s="765"/>
      <c r="J48" s="765"/>
    </row>
    <row r="49" spans="3:11" s="611" customFormat="1" ht="21">
      <c r="C49" s="660" t="str">
        <f>BASEBUDGETS!B1335</f>
        <v xml:space="preserve">   - Trace Elements</v>
      </c>
      <c r="D49" s="765">
        <f>BASEBUDGETS!D1335</f>
        <v>0.24</v>
      </c>
      <c r="E49" s="775" t="e">
        <f>BASEBUDGETS!E1335/BASEBUDGETS!C1321</f>
        <v>#DIV/0!</v>
      </c>
      <c r="F49" s="769" t="str">
        <f>BASEBUDGETS!C1335</f>
        <v>pounds</v>
      </c>
      <c r="G49" s="765"/>
      <c r="H49" s="765"/>
      <c r="I49" s="765"/>
      <c r="J49" s="765"/>
    </row>
    <row r="50" spans="3:11" s="611" customFormat="1" ht="21">
      <c r="C50" s="660" t="str">
        <f>BASEBUDGETS!B1336</f>
        <v xml:space="preserve">   - Nitrogen</v>
      </c>
      <c r="D50" s="765">
        <f>BASEBUDGETS!D1336</f>
        <v>175.5</v>
      </c>
      <c r="E50" s="775" t="e">
        <f>BASEBUDGETS!E1336/BASEBUDGETS!C1321</f>
        <v>#DIV/0!</v>
      </c>
      <c r="F50" s="769" t="str">
        <f>BASEBUDGETS!C1336</f>
        <v>acre</v>
      </c>
      <c r="G50" s="765"/>
      <c r="H50" s="765"/>
      <c r="I50" s="765"/>
      <c r="J50" s="765"/>
    </row>
    <row r="51" spans="3:11" s="611" customFormat="1" ht="21">
      <c r="C51" s="660" t="str">
        <f>BASEBUDGETS!B1337</f>
        <v xml:space="preserve">   - Phosphorus</v>
      </c>
      <c r="D51" s="765">
        <f>BASEBUDGETS!D1337</f>
        <v>0</v>
      </c>
      <c r="E51" s="775" t="e">
        <f>BASEBUDGETS!E1337/BASEBUDGETS!C1321</f>
        <v>#DIV/0!</v>
      </c>
      <c r="F51" s="769" t="str">
        <f>BASEBUDGETS!C1337</f>
        <v>acre</v>
      </c>
      <c r="G51" s="765"/>
      <c r="H51" s="765"/>
      <c r="I51" s="765"/>
      <c r="J51" s="765"/>
    </row>
    <row r="52" spans="3:11" s="611" customFormat="1" ht="21">
      <c r="C52" s="660" t="str">
        <f>BASEBUDGETS!B1338</f>
        <v xml:space="preserve">   - Fertilizer - Anhydrous Applicator</v>
      </c>
      <c r="D52" s="765">
        <f>BASEBUDGETS!D1338</f>
        <v>0</v>
      </c>
      <c r="E52" s="775" t="e">
        <f>BASEBUDGETS!E1338/BASEBUDGETS!C1321</f>
        <v>#DIV/0!</v>
      </c>
      <c r="F52" s="769" t="str">
        <f>BASEBUDGETS!C1338</f>
        <v>acre</v>
      </c>
      <c r="G52" s="765"/>
      <c r="H52" s="765"/>
      <c r="I52" s="765"/>
      <c r="J52" s="765"/>
    </row>
    <row r="53" spans="3:11" s="611" customFormat="1" ht="21">
      <c r="C53" s="660" t="str">
        <f>BASEBUDGETS!B1372</f>
        <v>Boom Sprayer, Custom</v>
      </c>
      <c r="D53" s="765">
        <f>CustomOperations!L31</f>
        <v>0</v>
      </c>
      <c r="E53" s="771" t="e">
        <f>BASEBUDGETS!E1372/BASEBUDGETS!C1321</f>
        <v>#DIV/0!</v>
      </c>
      <c r="F53" s="770" t="str">
        <f>BASEBUDGETS!C1372</f>
        <v>acre</v>
      </c>
      <c r="G53" s="756">
        <v>0</v>
      </c>
      <c r="H53" s="756">
        <v>0</v>
      </c>
      <c r="I53" s="756" t="e">
        <f>IF(E53=0,0,(BASEBUDGETS!D1372*E53))</f>
        <v>#DIV/0!</v>
      </c>
      <c r="J53" s="756" t="e">
        <f>G53+H53+I53</f>
        <v>#DIV/0!</v>
      </c>
    </row>
    <row r="54" spans="3:11" s="611" customFormat="1" ht="21">
      <c r="C54" s="660" t="str">
        <f>TillageOperations!$B$25</f>
        <v>Boom Sprayer</v>
      </c>
      <c r="D54" s="765"/>
      <c r="E54" s="771" t="e">
        <f>BASEBUDGETS!E1426/BASEBUDGETS!C1321</f>
        <v>#DIV/0!</v>
      </c>
      <c r="F54" s="770" t="str">
        <f>BASEBUDGETS!C1426&amp;"s"</f>
        <v>acres</v>
      </c>
      <c r="G54" s="756" t="e">
        <f>IF(E54=0,0,BASEBUDGETS!D1427*E54)</f>
        <v>#DIV/0!</v>
      </c>
      <c r="H54" s="756" t="e">
        <f>IF(E54=0,0,BASEBUDGETS!D1426*E54)</f>
        <v>#DIV/0!</v>
      </c>
      <c r="I54" s="756">
        <v>0</v>
      </c>
      <c r="J54" s="756" t="e">
        <f>G54+H54+I54</f>
        <v>#DIV/0!</v>
      </c>
    </row>
    <row r="55" spans="3:11" s="611" customFormat="1" ht="21">
      <c r="C55" s="660" t="s">
        <v>408</v>
      </c>
      <c r="D55" s="765"/>
      <c r="E55" s="771"/>
      <c r="F55" s="770"/>
      <c r="G55" s="756">
        <v>0</v>
      </c>
      <c r="H55" s="756">
        <v>0</v>
      </c>
      <c r="I55" s="756" t="e">
        <f>(D56*E56)+(D57*E57)+(D58*E58)+(D59*E59)+(D60*E60)+(D61*E61)+(D62*E62)</f>
        <v>#DIV/0!</v>
      </c>
      <c r="J55" s="765" t="e">
        <f>G55+H55+I55</f>
        <v>#DIV/0!</v>
      </c>
    </row>
    <row r="56" spans="3:11" s="611" customFormat="1" ht="21">
      <c r="C56" s="660" t="str">
        <f>BASEBUDGETS!B1339</f>
        <v xml:space="preserve">   - Prowl</v>
      </c>
      <c r="D56" s="765">
        <f>BASEBUDGETS!D1339</f>
        <v>6.0625</v>
      </c>
      <c r="E56" s="775" t="e">
        <f>BASEBUDGETS!E1339/BASEBUDGETS!C1321</f>
        <v>#DIV/0!</v>
      </c>
      <c r="F56" s="769" t="str">
        <f>BASEBUDGETS!C1339</f>
        <v>pints</v>
      </c>
      <c r="G56" s="765"/>
      <c r="H56" s="765"/>
      <c r="I56" s="765"/>
      <c r="J56" s="765"/>
    </row>
    <row r="57" spans="3:11" s="611" customFormat="1" ht="21">
      <c r="C57" s="660" t="str">
        <f>BASEBUDGETS!B1340</f>
        <v xml:space="preserve">   - Aim</v>
      </c>
      <c r="D57" s="765">
        <f>BASEBUDGETS!D1340</f>
        <v>5.9375</v>
      </c>
      <c r="E57" s="775" t="e">
        <f>BASEBUDGETS!E1340/BASEBUDGETS!C1321</f>
        <v>#DIV/0!</v>
      </c>
      <c r="F57" s="769" t="str">
        <f>BASEBUDGETS!C1340</f>
        <v>ounces</v>
      </c>
      <c r="G57" s="765"/>
      <c r="H57" s="765"/>
      <c r="I57" s="765"/>
      <c r="J57" s="765"/>
    </row>
    <row r="58" spans="3:11" s="611" customFormat="1" ht="21">
      <c r="C58" s="660" t="str">
        <f>BASEBUDGETS!B1341</f>
        <v xml:space="preserve">   - Fusilade</v>
      </c>
      <c r="D58" s="765">
        <f>BASEBUDGETS!D1341</f>
        <v>1.25</v>
      </c>
      <c r="E58" s="775" t="e">
        <f>BASEBUDGETS!E1341/BASEBUDGETS!C1321</f>
        <v>#DIV/0!</v>
      </c>
      <c r="F58" s="769" t="str">
        <f>BASEBUDGETS!C1341</f>
        <v>ounces</v>
      </c>
      <c r="G58" s="765"/>
      <c r="H58" s="765"/>
      <c r="I58" s="765"/>
      <c r="J58" s="765"/>
    </row>
    <row r="59" spans="3:11" s="611" customFormat="1" ht="21">
      <c r="C59" s="660" t="str">
        <f>BASEBUDGETS!B1342</f>
        <v xml:space="preserve">   - Herbicides</v>
      </c>
      <c r="D59" s="765">
        <f>BASEBUDGETS!D1342</f>
        <v>24</v>
      </c>
      <c r="E59" s="775" t="e">
        <f>BASEBUDGETS!E1342/BASEBUDGETS!C1321</f>
        <v>#DIV/0!</v>
      </c>
      <c r="F59" s="769" t="str">
        <f>BASEBUDGETS!C1342</f>
        <v>acre</v>
      </c>
      <c r="G59" s="765"/>
      <c r="H59" s="765"/>
      <c r="I59" s="765"/>
      <c r="J59" s="765"/>
    </row>
    <row r="60" spans="3:11" s="611" customFormat="1" ht="21">
      <c r="C60" s="660" t="str">
        <f>BASEBUDGETS!B1343</f>
        <v xml:space="preserve">   - Herbicide - #2</v>
      </c>
      <c r="D60" s="765">
        <f>BASEBUDGETS!D1343</f>
        <v>0</v>
      </c>
      <c r="E60" s="775" t="e">
        <f>BASEBUDGETS!E1343/BASEBUDGETS!C1321</f>
        <v>#DIV/0!</v>
      </c>
      <c r="F60" s="769" t="str">
        <f>BASEBUDGETS!C1343</f>
        <v>acre</v>
      </c>
      <c r="G60" s="765"/>
      <c r="H60" s="765"/>
      <c r="I60" s="765"/>
      <c r="J60" s="765"/>
    </row>
    <row r="61" spans="3:11" s="611" customFormat="1" ht="21">
      <c r="C61" s="660" t="str">
        <f>BASEBUDGETS!B1344</f>
        <v xml:space="preserve">   - Insecticides</v>
      </c>
      <c r="D61" s="765">
        <f>BASEBUDGETS!D1344</f>
        <v>50</v>
      </c>
      <c r="E61" s="775" t="e">
        <f>BASEBUDGETS!E1344/BASEBUDGETS!C1321</f>
        <v>#DIV/0!</v>
      </c>
      <c r="F61" s="769" t="str">
        <f>BASEBUDGETS!C1344</f>
        <v>acre</v>
      </c>
      <c r="G61" s="765"/>
      <c r="H61" s="765"/>
      <c r="I61" s="765"/>
      <c r="J61" s="765"/>
    </row>
    <row r="62" spans="3:11" s="611" customFormat="1" ht="21">
      <c r="C62" s="660" t="str">
        <f>BASEBUDGETS!B1345</f>
        <v xml:space="preserve">   - Insecticide - #2</v>
      </c>
      <c r="D62" s="765">
        <f>BASEBUDGETS!D1345</f>
        <v>0</v>
      </c>
      <c r="E62" s="775" t="e">
        <f>BASEBUDGETS!E1345/BASEBUDGETS!C1321</f>
        <v>#DIV/0!</v>
      </c>
      <c r="F62" s="769" t="str">
        <f>BASEBUDGETS!C1345</f>
        <v>acre</v>
      </c>
      <c r="G62" s="765"/>
      <c r="H62" s="765"/>
      <c r="I62" s="765"/>
      <c r="J62" s="765"/>
    </row>
    <row r="63" spans="3:11" s="611" customFormat="1" ht="21">
      <c r="C63" s="660" t="str">
        <f>BASEBUDGETS!B1360</f>
        <v>Row Cultivator, Custom</v>
      </c>
      <c r="D63" s="765">
        <f>CustomOperations!L29</f>
        <v>0</v>
      </c>
      <c r="E63" s="771" t="e">
        <f>BASEBUDGETS!E1360/BASEBUDGETS!C1321</f>
        <v>#DIV/0!</v>
      </c>
      <c r="F63" s="770" t="str">
        <f>BASEBUDGETS!C1360</f>
        <v>acre</v>
      </c>
      <c r="G63" s="756">
        <v>0</v>
      </c>
      <c r="H63" s="756">
        <v>0</v>
      </c>
      <c r="I63" s="756" t="e">
        <f>IF(E63=0,0,BASEBUDGETS!D1360*E63)</f>
        <v>#DIV/0!</v>
      </c>
      <c r="J63" s="756" t="e">
        <f>G63+H63+I63</f>
        <v>#DIV/0!</v>
      </c>
    </row>
    <row r="64" spans="3:11" s="611" customFormat="1" ht="21">
      <c r="C64" s="660" t="str">
        <f>TillageOperations!$B$20</f>
        <v>Row Cultivator</v>
      </c>
      <c r="D64" s="765"/>
      <c r="E64" s="771" t="e">
        <f>BASEBUDGETS!E1395/BASEBUDGETS!C1321</f>
        <v>#DIV/0!</v>
      </c>
      <c r="F64" s="770" t="str">
        <f>BASEBUDGETS!C3021&amp;"s"</f>
        <v>acres</v>
      </c>
      <c r="G64" s="756" t="e">
        <f>IF(E64=0,0,BASEBUDGETS!D1396*E64)</f>
        <v>#DIV/0!</v>
      </c>
      <c r="H64" s="756" t="e">
        <f>IF(E64=0,0,BASEBUDGETS!D1395*E64)</f>
        <v>#DIV/0!</v>
      </c>
      <c r="I64" s="756">
        <v>0</v>
      </c>
      <c r="J64" s="756" t="e">
        <f>G64+H64+I64</f>
        <v>#DIV/0!</v>
      </c>
      <c r="K64" s="726" t="s">
        <v>10</v>
      </c>
    </row>
    <row r="65" spans="2:10" s="611" customFormat="1" ht="21">
      <c r="C65" s="660" t="s">
        <v>151</v>
      </c>
      <c r="D65" s="765"/>
      <c r="E65" s="776" t="s">
        <v>10</v>
      </c>
      <c r="F65" s="777" t="s">
        <v>10</v>
      </c>
      <c r="G65" s="756" t="e">
        <f>(D67*E67)+(D70*E70)+(D73*E73)</f>
        <v>#DIV/0!</v>
      </c>
      <c r="H65" s="756">
        <v>0</v>
      </c>
      <c r="I65" s="765" t="e">
        <f>(D66*E66)+(D69*E69)+(D72*E72)+(D68*E68)+(D71*E71)+(D74*E74)</f>
        <v>#DIV/0!</v>
      </c>
      <c r="J65" s="765" t="e">
        <f>G65+H65+I65</f>
        <v>#DIV/0!</v>
      </c>
    </row>
    <row r="66" spans="2:10" s="611" customFormat="1" ht="21">
      <c r="B66" s="660"/>
      <c r="C66" s="660" t="str">
        <f>BASEBUDGETS!B1346</f>
        <v>Flood - Irrigation Water</v>
      </c>
      <c r="D66" s="765">
        <f>BASEBUDGETS!D1346</f>
        <v>55</v>
      </c>
      <c r="E66" s="775" t="e">
        <f>BASEBUDGETS!E1346/BASEBUDGETS!C$1321</f>
        <v>#DIV/0!</v>
      </c>
      <c r="F66" s="769" t="str">
        <f>BASEBUDGETS!C1346</f>
        <v>ac ft</v>
      </c>
      <c r="G66" s="756"/>
      <c r="H66" s="756"/>
      <c r="I66" s="765"/>
      <c r="J66" s="765"/>
    </row>
    <row r="67" spans="2:10" s="611" customFormat="1" ht="21">
      <c r="C67" s="660" t="str">
        <f>BASEBUDGETS!B1347</f>
        <v>Flood - Irrigation Labor</v>
      </c>
      <c r="D67" s="765">
        <f>BASEBUDGETS!D1347</f>
        <v>14.55</v>
      </c>
      <c r="E67" s="775" t="e">
        <f>BASEBUDGETS!E1347/BASEBUDGETS!C$1321</f>
        <v>#DIV/0!</v>
      </c>
      <c r="F67" s="769" t="str">
        <f>BASEBUDGETS!C1347</f>
        <v>hour</v>
      </c>
      <c r="G67" s="757"/>
      <c r="H67" s="757"/>
      <c r="I67" s="756"/>
      <c r="J67" s="778" t="s">
        <v>10</v>
      </c>
    </row>
    <row r="68" spans="2:10" s="611" customFormat="1" ht="21">
      <c r="C68" s="660" t="str">
        <f>BASEBUDGETS!B1348</f>
        <v xml:space="preserve">   - Annual Repairs &amp; Maintenance</v>
      </c>
      <c r="D68" s="765">
        <f>BASEBUDGETS!D1348</f>
        <v>3</v>
      </c>
      <c r="E68" s="775" t="e">
        <f>BASEBUDGETS!E1348/BASEBUDGETS!C$1321</f>
        <v>#DIV/0!</v>
      </c>
      <c r="F68" s="769" t="str">
        <f>BASEBUDGETS!C1348</f>
        <v>acre</v>
      </c>
      <c r="G68" s="756"/>
      <c r="H68" s="756"/>
      <c r="I68" s="756"/>
      <c r="J68" s="765"/>
    </row>
    <row r="69" spans="2:10" s="611" customFormat="1" ht="21">
      <c r="C69" s="660" t="str">
        <f>BASEBUDGETS!B1349</f>
        <v>Drip-tape - Irrigation Water</v>
      </c>
      <c r="D69" s="765">
        <f>BASEBUDGETS!D1349</f>
        <v>55</v>
      </c>
      <c r="E69" s="775" t="e">
        <f>BASEBUDGETS!E1349/BASEBUDGETS!C$1321</f>
        <v>#DIV/0!</v>
      </c>
      <c r="F69" s="769" t="str">
        <f>BASEBUDGETS!C1349</f>
        <v>ac ft</v>
      </c>
      <c r="G69" s="756"/>
      <c r="H69" s="756"/>
      <c r="I69" s="756"/>
      <c r="J69" s="765"/>
    </row>
    <row r="70" spans="2:10" s="611" customFormat="1" ht="21">
      <c r="C70" s="660" t="str">
        <f>BASEBUDGETS!B1350</f>
        <v>Drip-tape - Irrigation Labor</v>
      </c>
      <c r="D70" s="765">
        <f>BASEBUDGETS!D1350</f>
        <v>14.55</v>
      </c>
      <c r="E70" s="775" t="e">
        <f>BASEBUDGETS!E1350/BASEBUDGETS!C$1321</f>
        <v>#DIV/0!</v>
      </c>
      <c r="F70" s="769" t="str">
        <f>BASEBUDGETS!C1350</f>
        <v>hour</v>
      </c>
      <c r="G70" s="756"/>
      <c r="H70" s="756"/>
      <c r="I70" s="756"/>
      <c r="J70" s="765"/>
    </row>
    <row r="71" spans="2:10" s="611" customFormat="1" ht="21">
      <c r="C71" s="660" t="str">
        <f>BASEBUDGETS!B1351</f>
        <v xml:space="preserve">   - Annual Repairs &amp; Maintenance</v>
      </c>
      <c r="D71" s="765">
        <f>BASEBUDGETS!D1351</f>
        <v>7.5</v>
      </c>
      <c r="E71" s="775" t="e">
        <f>BASEBUDGETS!E1351/BASEBUDGETS!C$1321</f>
        <v>#DIV/0!</v>
      </c>
      <c r="F71" s="769" t="str">
        <f>BASEBUDGETS!C1351</f>
        <v>acre</v>
      </c>
      <c r="G71" s="756"/>
      <c r="H71" s="756"/>
      <c r="I71" s="756"/>
      <c r="J71" s="765"/>
    </row>
    <row r="72" spans="2:10" s="611" customFormat="1" ht="21">
      <c r="C72" s="660" t="str">
        <f>BASEBUDGETS!B1352</f>
        <v>Sprinkler - Irrigation Water</v>
      </c>
      <c r="D72" s="765">
        <f>BASEBUDGETS!D1352</f>
        <v>55</v>
      </c>
      <c r="E72" s="775" t="e">
        <f>BASEBUDGETS!E1352/BASEBUDGETS!C$1321</f>
        <v>#DIV/0!</v>
      </c>
      <c r="F72" s="769" t="str">
        <f>BASEBUDGETS!C1352</f>
        <v>ac ft</v>
      </c>
      <c r="G72" s="756"/>
      <c r="H72" s="756"/>
      <c r="I72" s="756"/>
      <c r="J72" s="765"/>
    </row>
    <row r="73" spans="2:10" s="611" customFormat="1" ht="21">
      <c r="C73" s="660" t="str">
        <f>BASEBUDGETS!B1353</f>
        <v>Sprinkler - Irrigation Labor</v>
      </c>
      <c r="D73" s="765">
        <f>BASEBUDGETS!D1353</f>
        <v>14.55</v>
      </c>
      <c r="E73" s="775" t="e">
        <f>BASEBUDGETS!E1353/BASEBUDGETS!C$1321</f>
        <v>#DIV/0!</v>
      </c>
      <c r="F73" s="769" t="str">
        <f>BASEBUDGETS!C1353</f>
        <v>hour</v>
      </c>
      <c r="G73" s="756"/>
      <c r="H73" s="756"/>
      <c r="I73" s="756"/>
      <c r="J73" s="765"/>
    </row>
    <row r="74" spans="2:10" s="611" customFormat="1" ht="21">
      <c r="C74" s="660" t="str">
        <f>BASEBUDGETS!B1354</f>
        <v xml:space="preserve">   - Annual Repairs &amp; Maintenance</v>
      </c>
      <c r="D74" s="765">
        <f>BASEBUDGETS!D1354</f>
        <v>15</v>
      </c>
      <c r="E74" s="775" t="e">
        <f>BASEBUDGETS!E1354/BASEBUDGETS!C$1321</f>
        <v>#DIV/0!</v>
      </c>
      <c r="F74" s="769" t="str">
        <f>BASEBUDGETS!C1354</f>
        <v>acre</v>
      </c>
      <c r="G74" s="756"/>
      <c r="H74" s="756"/>
      <c r="I74" s="756"/>
      <c r="J74" s="765"/>
    </row>
    <row r="75" spans="2:10" s="611" customFormat="1" ht="21">
      <c r="C75" s="660" t="str">
        <f>BASEBUDGETS!B1432</f>
        <v>Additional Crop Prod. Labor</v>
      </c>
      <c r="D75" s="765">
        <f>GeneralInputPrices!$D$31</f>
        <v>14.55</v>
      </c>
      <c r="E75" s="771" t="e">
        <f>BASEBUDGETS!E1432/BASEBUDGETS!C1321</f>
        <v>#DIV/0!</v>
      </c>
      <c r="F75" s="770" t="str">
        <f>BASEBUDGETS!C1432</f>
        <v>hour</v>
      </c>
      <c r="G75" s="756" t="e">
        <f>D75*E75</f>
        <v>#DIV/0!</v>
      </c>
      <c r="H75" s="756">
        <v>0</v>
      </c>
      <c r="I75" s="756">
        <v>0</v>
      </c>
      <c r="J75" s="765" t="e">
        <f t="shared" ref="J75:J76" si="2">G75+H75+I75</f>
        <v>#DIV/0!</v>
      </c>
    </row>
    <row r="76" spans="2:10" s="611" customFormat="1" ht="21">
      <c r="C76" s="660" t="str">
        <f>BASEBUDGETS!B1433</f>
        <v>Additional Crop Prod. Labor</v>
      </c>
      <c r="D76" s="765">
        <f>GeneralInputPrices!$D$31</f>
        <v>14.55</v>
      </c>
      <c r="E76" s="771" t="e">
        <f>BASEBUDGETS!E1433/BASEBUDGETS!C1321</f>
        <v>#DIV/0!</v>
      </c>
      <c r="F76" s="770" t="str">
        <f>BASEBUDGETS!C1433</f>
        <v>hour</v>
      </c>
      <c r="G76" s="756" t="e">
        <f>D76*E76</f>
        <v>#DIV/0!</v>
      </c>
      <c r="H76" s="756">
        <v>0</v>
      </c>
      <c r="I76" s="756">
        <v>0</v>
      </c>
      <c r="J76" s="765" t="e">
        <f t="shared" si="2"/>
        <v>#DIV/0!</v>
      </c>
    </row>
    <row r="77" spans="2:10" s="611" customFormat="1" ht="21">
      <c r="B77" s="804" t="s">
        <v>44</v>
      </c>
      <c r="C77" s="804"/>
      <c r="D77" s="778"/>
      <c r="E77" s="758"/>
      <c r="F77" s="780" t="s">
        <v>10</v>
      </c>
      <c r="G77" s="777" t="s">
        <v>10</v>
      </c>
      <c r="H77" s="777" t="s">
        <v>10</v>
      </c>
      <c r="I77" s="777" t="s">
        <v>10</v>
      </c>
      <c r="J77" s="777" t="s">
        <v>10</v>
      </c>
    </row>
    <row r="78" spans="2:10" s="611" customFormat="1" ht="21">
      <c r="C78" s="660" t="str">
        <f>TillageOperations!$B$27</f>
        <v>Cotton Picker</v>
      </c>
      <c r="D78" s="778" t="s">
        <v>10</v>
      </c>
      <c r="E78" s="771" t="e">
        <f>BASEBUDGETS!E1399/BASEBUDGETS!C1321</f>
        <v>#DIV/0!</v>
      </c>
      <c r="F78" s="770" t="str">
        <f>BASEBUDGETS!C1399</f>
        <v>acre</v>
      </c>
      <c r="G78" s="756" t="e">
        <f>IF(E78=0,0,BASEBUDGETS!D1400*E78)</f>
        <v>#DIV/0!</v>
      </c>
      <c r="H78" s="756" t="e">
        <f>IF(E78=0,0,BASEBUDGETS!D1399*E78)</f>
        <v>#DIV/0!</v>
      </c>
      <c r="I78" s="756">
        <v>0</v>
      </c>
      <c r="J78" s="756" t="e">
        <f t="shared" ref="J78:J95" si="3">G78+H78+I78</f>
        <v>#DIV/0!</v>
      </c>
    </row>
    <row r="79" spans="2:10" s="611" customFormat="1" ht="21">
      <c r="C79" s="781" t="s">
        <v>287</v>
      </c>
      <c r="D79" s="778" t="s">
        <v>10</v>
      </c>
      <c r="E79" s="771" t="e">
        <f>BASEBUDGETS!E1401/BASEBUDGETS!C1321</f>
        <v>#DIV/0!</v>
      </c>
      <c r="F79" s="770" t="str">
        <f>BASEBUDGETS!C1401</f>
        <v>acre</v>
      </c>
      <c r="G79" s="756" t="e">
        <f>IF(E79=0,0,BASEBUDGETS!D1402*E79)</f>
        <v>#DIV/0!</v>
      </c>
      <c r="H79" s="756" t="e">
        <f>IF(E79=0,0,BASEBUDGETS!D1401*E79)</f>
        <v>#DIV/0!</v>
      </c>
      <c r="I79" s="756">
        <v>0</v>
      </c>
      <c r="J79" s="756" t="e">
        <f t="shared" ref="J79" si="4">G79+H79+I79</f>
        <v>#DIV/0!</v>
      </c>
    </row>
    <row r="80" spans="2:10" s="611" customFormat="1" ht="21">
      <c r="C80" s="660" t="str">
        <f>TillageOperations!$B$29</f>
        <v>Haul Cotton</v>
      </c>
      <c r="D80" s="778" t="s">
        <v>10</v>
      </c>
      <c r="E80" s="771" t="e">
        <f>BASEBUDGETS!E1403/BASEBUDGETS!C1321</f>
        <v>#DIV/0!</v>
      </c>
      <c r="F80" s="770" t="str">
        <f>BASEBUDGETS!C1403</f>
        <v>acre</v>
      </c>
      <c r="G80" s="756" t="e">
        <f>IF(E80=0,0,BASEBUDGETS!D1404*E80)</f>
        <v>#DIV/0!</v>
      </c>
      <c r="H80" s="756" t="e">
        <f>IF(E80=0,0,BASEBUDGETS!D1403*E80)</f>
        <v>#DIV/0!</v>
      </c>
      <c r="I80" s="756">
        <v>0</v>
      </c>
      <c r="J80" s="756" t="e">
        <f t="shared" si="3"/>
        <v>#DIV/0!</v>
      </c>
    </row>
    <row r="81" spans="3:10" s="611" customFormat="1" ht="21">
      <c r="C81" s="660" t="str">
        <f>CustomOperations!B37</f>
        <v>Harvest, Custom</v>
      </c>
      <c r="D81" s="765">
        <f>CustomOperations!L37</f>
        <v>160</v>
      </c>
      <c r="E81" s="771" t="e">
        <f>BASEBUDGETS!E1355/BASEBUDGETS!C1321</f>
        <v>#DIV/0!</v>
      </c>
      <c r="F81" s="770" t="str">
        <f>BASEBUDGETS!C1355</f>
        <v>acre</v>
      </c>
      <c r="G81" s="756">
        <v>0</v>
      </c>
      <c r="H81" s="756">
        <v>0</v>
      </c>
      <c r="I81" s="756" t="e">
        <f>IF(E81=0,0,BASEBUDGETS!D1355*E81)</f>
        <v>#DIV/0!</v>
      </c>
      <c r="J81" s="756" t="e">
        <f>G81+H81+I81</f>
        <v>#DIV/0!</v>
      </c>
    </row>
    <row r="82" spans="3:10" s="611" customFormat="1" ht="21">
      <c r="C82" s="660" t="str">
        <f>CustomOperations!B39</f>
        <v>Hauling, Custom</v>
      </c>
      <c r="D82" s="765">
        <f>CustomOperations!L39</f>
        <v>0</v>
      </c>
      <c r="E82" s="771" t="e">
        <f>BASEBUDGETS!E1356/BASEBUDGETS!C1321</f>
        <v>#DIV/0!</v>
      </c>
      <c r="F82" s="770" t="str">
        <f>BASEBUDGETS!C1356</f>
        <v>mile</v>
      </c>
      <c r="G82" s="756">
        <v>0</v>
      </c>
      <c r="H82" s="756">
        <v>0</v>
      </c>
      <c r="I82" s="756" t="e">
        <f>IF(E82=0,0,BASEBUDGETS!D1356*E82)</f>
        <v>#DIV/0!</v>
      </c>
      <c r="J82" s="756" t="e">
        <f>G82+H82+I82</f>
        <v>#DIV/0!</v>
      </c>
    </row>
    <row r="83" spans="3:10" s="611" customFormat="1" ht="21">
      <c r="C83" s="660" t="str">
        <f>CustomOperations!B41</f>
        <v>Gin Cotton/Drying/Swathing, Custom</v>
      </c>
      <c r="D83" s="765">
        <f>CustomOperations!L41</f>
        <v>0</v>
      </c>
      <c r="E83" s="771" t="e">
        <f>BASEBUDGETS!E1357/BASEBUDGETS!C1321</f>
        <v>#DIV/0!</v>
      </c>
      <c r="F83" s="770" t="str">
        <f>BASEBUDGETS!C1357</f>
        <v>bale</v>
      </c>
      <c r="G83" s="756">
        <v>0</v>
      </c>
      <c r="H83" s="756">
        <v>0</v>
      </c>
      <c r="I83" s="756" t="e">
        <f>IF(E83=0,0,BASEBUDGETS!D1357*E83)</f>
        <v>#DIV/0!</v>
      </c>
      <c r="J83" s="756" t="e">
        <f>G83+H83+I83</f>
        <v>#DIV/0!</v>
      </c>
    </row>
    <row r="84" spans="3:10" s="611" customFormat="1" ht="21">
      <c r="C84" s="684" t="s">
        <v>462</v>
      </c>
      <c r="D84" s="765">
        <f>'Inputs&amp;PricesbyCrop'!L43</f>
        <v>3</v>
      </c>
      <c r="E84" s="771">
        <f>I4/500</f>
        <v>0</v>
      </c>
      <c r="F84" s="770" t="s">
        <v>301</v>
      </c>
      <c r="G84" s="756">
        <v>0</v>
      </c>
      <c r="H84" s="756">
        <v>0</v>
      </c>
      <c r="I84" s="756">
        <f>D84*E84</f>
        <v>0</v>
      </c>
      <c r="J84" s="756">
        <f>G84+H84+I84</f>
        <v>0</v>
      </c>
    </row>
    <row r="85" spans="3:10" s="611" customFormat="1" ht="21">
      <c r="C85" s="684" t="s">
        <v>464</v>
      </c>
      <c r="D85" s="765">
        <f>'Inputs&amp;PricesbyCrop'!L44</f>
        <v>0.45</v>
      </c>
      <c r="E85" s="771">
        <f>I4/500</f>
        <v>0</v>
      </c>
      <c r="F85" s="770" t="s">
        <v>301</v>
      </c>
      <c r="G85" s="756">
        <v>0</v>
      </c>
      <c r="H85" s="756">
        <v>0</v>
      </c>
      <c r="I85" s="756">
        <f t="shared" ref="I85:I86" si="5">D85*E85</f>
        <v>0</v>
      </c>
      <c r="J85" s="756">
        <f t="shared" ref="J85:J86" si="6">G85+H85+I85</f>
        <v>0</v>
      </c>
    </row>
    <row r="86" spans="3:10" s="611" customFormat="1" ht="21">
      <c r="C86" s="684" t="s">
        <v>465</v>
      </c>
      <c r="D86" s="765">
        <f>'Inputs&amp;PricesbyCrop'!L45</f>
        <v>0.65</v>
      </c>
      <c r="E86" s="771">
        <f>I4/500</f>
        <v>0</v>
      </c>
      <c r="F86" s="770" t="s">
        <v>301</v>
      </c>
      <c r="G86" s="756">
        <v>0</v>
      </c>
      <c r="H86" s="756">
        <v>0</v>
      </c>
      <c r="I86" s="756">
        <f t="shared" si="5"/>
        <v>0</v>
      </c>
      <c r="J86" s="756">
        <f t="shared" si="6"/>
        <v>0</v>
      </c>
    </row>
    <row r="87" spans="3:10" s="611" customFormat="1" ht="21">
      <c r="C87" s="684" t="s">
        <v>466</v>
      </c>
      <c r="D87" s="765">
        <f>'Inputs&amp;PricesbyCrop'!L46</f>
        <v>1</v>
      </c>
      <c r="E87" s="771">
        <f>I4/500</f>
        <v>0</v>
      </c>
      <c r="F87" s="770" t="s">
        <v>301</v>
      </c>
      <c r="G87" s="756">
        <v>0</v>
      </c>
      <c r="H87" s="756">
        <v>0</v>
      </c>
      <c r="I87" s="756">
        <f>(D87*E87)+(D88*J4)</f>
        <v>0</v>
      </c>
      <c r="J87" s="756">
        <f>G87+H87+I87</f>
        <v>0</v>
      </c>
    </row>
    <row r="88" spans="3:10" s="611" customFormat="1" ht="21">
      <c r="C88" s="684"/>
      <c r="D88" s="821">
        <f>'Inputs&amp;PricesbyCrop'!L47</f>
        <v>5.0000000000000002E-5</v>
      </c>
      <c r="E88" s="771"/>
      <c r="F88" s="822" t="s">
        <v>463</v>
      </c>
      <c r="G88" s="756"/>
      <c r="H88" s="756"/>
      <c r="I88" s="756"/>
      <c r="J88" s="756"/>
    </row>
    <row r="89" spans="3:10" s="611" customFormat="1" ht="21">
      <c r="C89" s="660" t="s">
        <v>359</v>
      </c>
      <c r="D89" s="765">
        <f>'Inputs&amp;PricesbyCrop'!L48</f>
        <v>2.2999999999999998</v>
      </c>
      <c r="E89" s="771">
        <f>I4/500</f>
        <v>0</v>
      </c>
      <c r="F89" s="770" t="s">
        <v>301</v>
      </c>
      <c r="G89" s="756">
        <v>0</v>
      </c>
      <c r="H89" s="756">
        <v>0</v>
      </c>
      <c r="I89" s="756">
        <f>D89*E89</f>
        <v>0</v>
      </c>
      <c r="J89" s="756">
        <f>G89+H89+I89</f>
        <v>0</v>
      </c>
    </row>
    <row r="90" spans="3:10" s="611" customFormat="1" ht="21">
      <c r="C90" s="660" t="str">
        <f>TillageOperations!$B$30</f>
        <v>Combine</v>
      </c>
      <c r="D90" s="765"/>
      <c r="E90" s="771" t="e">
        <f>BASEBUDGETS!E1407/BASEBUDGETS!C1321</f>
        <v>#DIV/0!</v>
      </c>
      <c r="F90" s="770" t="str">
        <f>BASEBUDGETS!C1407</f>
        <v>acre</v>
      </c>
      <c r="G90" s="756" t="e">
        <f>IF(E90=0,0,BASEBUDGETS!D1408*E90)</f>
        <v>#DIV/0!</v>
      </c>
      <c r="H90" s="756" t="e">
        <f>IF(E90=0,0,BASEBUDGETS!D1407*E90)</f>
        <v>#DIV/0!</v>
      </c>
      <c r="I90" s="756">
        <v>0</v>
      </c>
      <c r="J90" s="756" t="e">
        <f t="shared" si="3"/>
        <v>#DIV/0!</v>
      </c>
    </row>
    <row r="91" spans="3:10" s="611" customFormat="1" ht="21">
      <c r="C91" s="660" t="str">
        <f>TillageOperations!$B$31</f>
        <v>Grain Cart</v>
      </c>
      <c r="D91" s="765"/>
      <c r="E91" s="771" t="e">
        <f>BASEBUDGETS!E1409/BASEBUDGETS!C1321</f>
        <v>#DIV/0!</v>
      </c>
      <c r="F91" s="770" t="str">
        <f>BASEBUDGETS!C1409</f>
        <v>acre</v>
      </c>
      <c r="G91" s="756" t="e">
        <f>IF(E91=0,0,BASEBUDGETS!D1410*E91)</f>
        <v>#DIV/0!</v>
      </c>
      <c r="H91" s="756" t="e">
        <f>IF(E91=0,0,BASEBUDGETS!D1409*E91)</f>
        <v>#DIV/0!</v>
      </c>
      <c r="I91" s="756">
        <v>0</v>
      </c>
      <c r="J91" s="756" t="e">
        <f t="shared" si="3"/>
        <v>#DIV/0!</v>
      </c>
    </row>
    <row r="92" spans="3:10" s="611" customFormat="1" ht="21">
      <c r="C92" s="660" t="str">
        <f>TillageOperations!$B$32</f>
        <v>Swather</v>
      </c>
      <c r="D92" s="765"/>
      <c r="E92" s="771" t="e">
        <f>BASEBUDGETS!E1411/BASEBUDGETS!C1321</f>
        <v>#DIV/0!</v>
      </c>
      <c r="F92" s="770" t="str">
        <f>BASEBUDGETS!C1411</f>
        <v>acre</v>
      </c>
      <c r="G92" s="756" t="e">
        <f>IF(E92=0,0,BASEBUDGETS!D1412*E92)</f>
        <v>#DIV/0!</v>
      </c>
      <c r="H92" s="756" t="e">
        <f>IF(E92=0,0,BASEBUDGETS!D1411*E92)</f>
        <v>#DIV/0!</v>
      </c>
      <c r="I92" s="756">
        <v>0</v>
      </c>
      <c r="J92" s="756" t="e">
        <f t="shared" si="3"/>
        <v>#DIV/0!</v>
      </c>
    </row>
    <row r="93" spans="3:10" s="611" customFormat="1" ht="21">
      <c r="C93" s="660" t="str">
        <f>TillageOperations!$B$33</f>
        <v>Baler</v>
      </c>
      <c r="D93" s="765"/>
      <c r="E93" s="771" t="e">
        <f>BASEBUDGETS!E1413/BASEBUDGETS!C1321</f>
        <v>#DIV/0!</v>
      </c>
      <c r="F93" s="770" t="str">
        <f>BASEBUDGETS!C1413</f>
        <v>acre</v>
      </c>
      <c r="G93" s="756" t="e">
        <f>IF(E93=0,0,BASEBUDGETS!D1414*E93)</f>
        <v>#DIV/0!</v>
      </c>
      <c r="H93" s="756" t="e">
        <f>IF(E93=0,0,BASEBUDGETS!D1413*E93)</f>
        <v>#DIV/0!</v>
      </c>
      <c r="I93" s="756" t="e">
        <f>IF(E93=0,0,D96*E96)</f>
        <v>#DIV/0!</v>
      </c>
      <c r="J93" s="756" t="e">
        <f t="shared" si="3"/>
        <v>#DIV/0!</v>
      </c>
    </row>
    <row r="94" spans="3:10" s="611" customFormat="1" ht="21">
      <c r="C94" s="660" t="str">
        <f>TillageOperations!$B$34</f>
        <v>Swather</v>
      </c>
      <c r="D94" s="765"/>
      <c r="E94" s="771" t="e">
        <f>BASEBUDGETS!E1415/BASEBUDGETS!C1321</f>
        <v>#DIV/0!</v>
      </c>
      <c r="F94" s="770" t="str">
        <f>BASEBUDGETS!C1415</f>
        <v>acre</v>
      </c>
      <c r="G94" s="756" t="e">
        <f>IF(E94=0,0,BASEBUDGETS!D1416*E94)</f>
        <v>#DIV/0!</v>
      </c>
      <c r="H94" s="756" t="e">
        <f>IF(E94=0,0,BASEBUDGETS!D1415*E94)</f>
        <v>#DIV/0!</v>
      </c>
      <c r="I94" s="756">
        <v>0</v>
      </c>
      <c r="J94" s="756" t="e">
        <f t="shared" si="3"/>
        <v>#DIV/0!</v>
      </c>
    </row>
    <row r="95" spans="3:10" s="611" customFormat="1" ht="21">
      <c r="C95" s="660" t="str">
        <f>TillageOperations!$B$35</f>
        <v>Baler</v>
      </c>
      <c r="D95" s="765"/>
      <c r="E95" s="771" t="e">
        <f>BASEBUDGETS!E1417/BASEBUDGETS!C1321</f>
        <v>#DIV/0!</v>
      </c>
      <c r="F95" s="770" t="str">
        <f>BASEBUDGETS!C1417</f>
        <v>acre</v>
      </c>
      <c r="G95" s="756" t="e">
        <f>IF(E95=0,0,BASEBUDGETS!D1418*E95)</f>
        <v>#DIV/0!</v>
      </c>
      <c r="H95" s="756" t="e">
        <f>IF(E95=0,0,BASEBUDGETS!D1417*E95)</f>
        <v>#DIV/0!</v>
      </c>
      <c r="I95" s="756" t="e">
        <f>IF(E95=0,0,D96*E96)</f>
        <v>#DIV/0!</v>
      </c>
      <c r="J95" s="756" t="e">
        <f t="shared" si="3"/>
        <v>#DIV/0!</v>
      </c>
    </row>
    <row r="96" spans="3:10" s="611" customFormat="1" ht="21">
      <c r="C96" s="660" t="str">
        <f>'Inputs&amp;PricesbyCrop'!$B$31</f>
        <v xml:space="preserve">   - Baling Twine</v>
      </c>
      <c r="D96" s="765">
        <f>BASEBUDGETS!D1419</f>
        <v>0</v>
      </c>
      <c r="E96" s="775" t="e">
        <f>BASEBUDGETS!E1419/BASEBUDGETS!C1321</f>
        <v>#DIV/0!</v>
      </c>
      <c r="F96" s="769" t="str">
        <f>'Inputs&amp;PricesbyCrop'!$C$31</f>
        <v>acre</v>
      </c>
      <c r="G96" s="756"/>
      <c r="H96" s="756"/>
      <c r="I96" s="756"/>
      <c r="J96" s="756"/>
    </row>
    <row r="97" spans="2:13" s="611" customFormat="1" ht="21">
      <c r="C97" s="660" t="str">
        <f>TillageOperations!$B$36</f>
        <v>Bale Wagon</v>
      </c>
      <c r="D97" s="765"/>
      <c r="E97" s="771" t="e">
        <f>BASEBUDGETS!E1420/BASEBUDGETS!C1321</f>
        <v>#DIV/0!</v>
      </c>
      <c r="F97" s="770" t="str">
        <f>BASEBUDGETS!C1420</f>
        <v>acre</v>
      </c>
      <c r="G97" s="756" t="e">
        <f>IF(E97=0,0,BASEBUDGETS!D1421*E97)</f>
        <v>#DIV/0!</v>
      </c>
      <c r="H97" s="756" t="e">
        <f>IF(E97=0,0,BASEBUDGETS!D1420*E97)</f>
        <v>#DIV/0!</v>
      </c>
      <c r="I97" s="756">
        <v>0</v>
      </c>
      <c r="J97" s="756" t="e">
        <f t="shared" ref="J97:J99" si="7">G97+H97+I97</f>
        <v>#DIV/0!</v>
      </c>
    </row>
    <row r="98" spans="2:13" s="611" customFormat="1" ht="21">
      <c r="C98" s="660" t="str">
        <f>BASEBUDGETS!B1434</f>
        <v>Additional Harvest Labor</v>
      </c>
      <c r="D98" s="765">
        <f>GeneralInputPrices!$D$32</f>
        <v>17.89</v>
      </c>
      <c r="E98" s="771" t="e">
        <f>BASEBUDGETS!E1434/BASEBUDGETS!C1321</f>
        <v>#DIV/0!</v>
      </c>
      <c r="F98" s="770" t="str">
        <f>BASEBUDGETS!C1434</f>
        <v>hour</v>
      </c>
      <c r="G98" s="756" t="e">
        <f>D98*E98</f>
        <v>#DIV/0!</v>
      </c>
      <c r="H98" s="756">
        <v>0</v>
      </c>
      <c r="I98" s="756">
        <v>0</v>
      </c>
      <c r="J98" s="765" t="e">
        <f t="shared" si="7"/>
        <v>#DIV/0!</v>
      </c>
    </row>
    <row r="99" spans="2:13" s="611" customFormat="1" ht="21">
      <c r="C99" s="660" t="str">
        <f>BASEBUDGETS!B1435</f>
        <v>Additional Harvest Labor</v>
      </c>
      <c r="D99" s="765">
        <f>GeneralInputPrices!$D$32</f>
        <v>17.89</v>
      </c>
      <c r="E99" s="771" t="e">
        <f>BASEBUDGETS!E1435/BASEBUDGETS!C1321</f>
        <v>#DIV/0!</v>
      </c>
      <c r="F99" s="770" t="str">
        <f>BASEBUDGETS!C1435</f>
        <v>hour</v>
      </c>
      <c r="G99" s="756" t="e">
        <f>D99*E99</f>
        <v>#DIV/0!</v>
      </c>
      <c r="H99" s="756">
        <v>0</v>
      </c>
      <c r="I99" s="756">
        <v>0</v>
      </c>
      <c r="J99" s="765" t="e">
        <f t="shared" si="7"/>
        <v>#DIV/0!</v>
      </c>
    </row>
    <row r="100" spans="2:13" s="611" customFormat="1" ht="21">
      <c r="B100" s="760" t="s">
        <v>184</v>
      </c>
      <c r="C100" s="760"/>
      <c r="D100" s="765"/>
      <c r="E100" s="771"/>
      <c r="F100" s="770"/>
      <c r="G100" s="756"/>
      <c r="H100" s="756"/>
      <c r="I100" s="756"/>
      <c r="J100" s="756"/>
    </row>
    <row r="101" spans="2:13" s="611" customFormat="1" ht="21">
      <c r="C101" s="660" t="str">
        <f>BASEBUDGETS!B1437</f>
        <v>Other Expenses</v>
      </c>
      <c r="D101" s="765"/>
      <c r="E101" s="783">
        <f>BASEBUDGETS!D1437</f>
        <v>0.05</v>
      </c>
      <c r="F101" s="780" t="s">
        <v>10</v>
      </c>
      <c r="G101" s="756">
        <v>0</v>
      </c>
      <c r="H101" s="756">
        <v>0</v>
      </c>
      <c r="I101" s="756" t="e">
        <f>SUM(J9:J99)*E101</f>
        <v>#DIV/0!</v>
      </c>
      <c r="J101" s="765" t="e">
        <f>G101+H101+I101</f>
        <v>#DIV/0!</v>
      </c>
    </row>
    <row r="102" spans="2:13" s="611" customFormat="1" ht="21">
      <c r="C102" s="660" t="str">
        <f>BASEBUDGETS!B1438</f>
        <v>Interest on Operating Capital</v>
      </c>
      <c r="D102" s="765"/>
      <c r="E102" s="783">
        <f>BASEBUDGETS!D1438</f>
        <v>0.06</v>
      </c>
      <c r="F102" s="780" t="s">
        <v>10</v>
      </c>
      <c r="G102" s="784">
        <v>0</v>
      </c>
      <c r="H102" s="784">
        <v>0</v>
      </c>
      <c r="I102" s="784" t="e">
        <f>SUM(J9:J101)*((E102/12)*GeneralInputPrices!$D$39)</f>
        <v>#DIV/0!</v>
      </c>
      <c r="J102" s="785" t="e">
        <f>G102+H102+I102</f>
        <v>#DIV/0!</v>
      </c>
    </row>
    <row r="103" spans="2:13" s="611" customFormat="1" ht="21">
      <c r="B103" s="760" t="s">
        <v>153</v>
      </c>
      <c r="C103" s="760"/>
      <c r="D103" s="760"/>
      <c r="E103" s="760"/>
      <c r="F103" s="760"/>
      <c r="G103" s="756" t="e">
        <f>SUM(G10:G102)</f>
        <v>#DIV/0!</v>
      </c>
      <c r="H103" s="756" t="e">
        <f>SUM(H10:H102)</f>
        <v>#DIV/0!</v>
      </c>
      <c r="I103" s="756" t="e">
        <f>SUM(I10:I102)</f>
        <v>#DIV/0!</v>
      </c>
      <c r="J103" s="756" t="e">
        <f>SUM(J9:J102)</f>
        <v>#DIV/0!</v>
      </c>
    </row>
    <row r="104" spans="2:13" s="611" customFormat="1">
      <c r="D104" s="786"/>
      <c r="E104" s="774"/>
      <c r="G104" s="757"/>
      <c r="H104" s="757"/>
      <c r="I104" s="757"/>
      <c r="J104" s="757"/>
    </row>
    <row r="105" spans="2:13" s="611" customFormat="1" ht="21">
      <c r="B105" s="787" t="s">
        <v>78</v>
      </c>
      <c r="C105" s="787"/>
      <c r="D105" s="788"/>
      <c r="E105" s="789"/>
      <c r="F105" s="790"/>
      <c r="G105" s="791"/>
      <c r="H105" s="792" t="s">
        <v>1</v>
      </c>
      <c r="I105" s="767" t="s">
        <v>24</v>
      </c>
      <c r="J105" s="767" t="s">
        <v>0</v>
      </c>
    </row>
    <row r="106" spans="2:13" s="611" customFormat="1" ht="21">
      <c r="B106" s="754" t="str">
        <f>BASEBUDGETS!B1473</f>
        <v>Crop Insurance</v>
      </c>
      <c r="C106" s="754"/>
      <c r="D106" s="660"/>
      <c r="E106" s="660"/>
      <c r="F106" s="660"/>
      <c r="G106" s="660"/>
      <c r="H106" s="823" t="str">
        <f>BASEBUDGETS!C1473</f>
        <v>acre</v>
      </c>
      <c r="I106" s="824" t="e">
        <f>BASEBUDGETS!F1473/BASEBUDGETS!C1321</f>
        <v>#DIV/0!</v>
      </c>
      <c r="J106" s="824" t="e">
        <f>I106</f>
        <v>#DIV/0!</v>
      </c>
    </row>
    <row r="107" spans="2:13" s="611" customFormat="1" ht="21">
      <c r="B107" s="760" t="str">
        <f>BASEBUDGETS!B1474</f>
        <v>Property Insurance</v>
      </c>
      <c r="C107" s="760"/>
      <c r="D107" s="660"/>
      <c r="E107" s="660"/>
      <c r="F107" s="660"/>
      <c r="G107" s="660"/>
      <c r="H107" s="770" t="str">
        <f>BASEBUDGETS!C1474</f>
        <v>acre</v>
      </c>
      <c r="I107" s="756" t="e">
        <f>BASEBUDGETS!F1474/BASEBUDGETS!C1321</f>
        <v>#DIV/0!</v>
      </c>
      <c r="J107" s="756" t="e">
        <f>I107</f>
        <v>#DIV/0!</v>
      </c>
    </row>
    <row r="108" spans="2:13" s="611" customFormat="1" ht="21">
      <c r="B108" s="760" t="str">
        <f>BASEBUDGETS!B1475</f>
        <v>Property Taxes</v>
      </c>
      <c r="C108" s="760"/>
      <c r="D108" s="760"/>
      <c r="E108" s="760"/>
      <c r="F108" s="760"/>
      <c r="G108" s="760"/>
      <c r="H108" s="770" t="str">
        <f>BASEBUDGETS!C1475</f>
        <v>acre</v>
      </c>
      <c r="I108" s="756" t="e">
        <f>BASEBUDGETS!F1475/BASEBUDGETS!C1321</f>
        <v>#DIV/0!</v>
      </c>
      <c r="J108" s="756" t="e">
        <f t="shared" ref="J108:J111" si="8">I108</f>
        <v>#DIV/0!</v>
      </c>
    </row>
    <row r="109" spans="2:13" s="611" customFormat="1" ht="21">
      <c r="B109" s="760" t="str">
        <f>BASEBUDGETS!B1478</f>
        <v>Licenses and Fees</v>
      </c>
      <c r="C109" s="760"/>
      <c r="D109" s="760"/>
      <c r="E109" s="760"/>
      <c r="F109" s="760"/>
      <c r="G109" s="760"/>
      <c r="H109" s="770" t="str">
        <f>BASEBUDGETS!C1478</f>
        <v>acre</v>
      </c>
      <c r="I109" s="756" t="e">
        <f>BASEBUDGETS!F1478/BASEBUDGETS!C1321</f>
        <v>#DIV/0!</v>
      </c>
      <c r="J109" s="756" t="e">
        <f t="shared" si="8"/>
        <v>#DIV/0!</v>
      </c>
    </row>
    <row r="110" spans="2:13" s="611" customFormat="1" ht="21">
      <c r="B110" s="794" t="s">
        <v>484</v>
      </c>
      <c r="C110" s="794"/>
      <c r="D110" s="794"/>
      <c r="E110" s="756"/>
      <c r="F110" s="756"/>
      <c r="G110" s="756"/>
      <c r="H110" s="770" t="s">
        <v>157</v>
      </c>
      <c r="I110" s="756">
        <f>IF('AcresYieldsPrices&amp;Water'!D9=0,0,((Fallow!L17*'AcresYieldsPrices&amp;Water'!T16)/'AcresYieldsPrices&amp;Water'!D10)*-1)</f>
        <v>0</v>
      </c>
      <c r="J110" s="765">
        <f>I110</f>
        <v>0</v>
      </c>
      <c r="M110" s="757">
        <f>I110*'AcresYieldsPrices&amp;Water'!D10</f>
        <v>0</v>
      </c>
    </row>
    <row r="111" spans="2:13" s="611" customFormat="1" ht="21">
      <c r="B111" s="760" t="str">
        <f>BASEBUDGETS!B1476</f>
        <v>Annual Cash Rent Payment</v>
      </c>
      <c r="C111" s="760"/>
      <c r="D111" s="660"/>
      <c r="E111" s="660"/>
      <c r="F111" s="660"/>
      <c r="G111" s="660"/>
      <c r="H111" s="770" t="str">
        <f>BASEBUDGETS!C1476</f>
        <v>acre</v>
      </c>
      <c r="I111" s="756" t="e">
        <f>BASEBUDGETS!F1476/BASEBUDGETS!C1321</f>
        <v>#DIV/0!</v>
      </c>
      <c r="J111" s="784" t="e">
        <f t="shared" si="8"/>
        <v>#DIV/0!</v>
      </c>
    </row>
    <row r="112" spans="2:13" s="611" customFormat="1" ht="21">
      <c r="B112" s="760" t="s">
        <v>79</v>
      </c>
      <c r="C112" s="760"/>
      <c r="D112" s="660"/>
      <c r="E112" s="660"/>
      <c r="F112" s="660"/>
      <c r="G112" s="660"/>
      <c r="H112" s="756"/>
      <c r="I112" s="756"/>
      <c r="J112" s="765" t="e">
        <f>SUM(J106:J111)</f>
        <v>#DIV/0!</v>
      </c>
    </row>
    <row r="113" spans="2:14" ht="20.100000000000001" customHeight="1">
      <c r="J113" s="786"/>
      <c r="L113" s="611"/>
      <c r="M113" s="611"/>
      <c r="N113" s="611"/>
    </row>
    <row r="114" spans="2:14" s="611" customFormat="1" ht="21">
      <c r="B114" s="787" t="s">
        <v>154</v>
      </c>
      <c r="C114" s="787"/>
      <c r="D114" s="788"/>
      <c r="E114" s="789"/>
      <c r="F114" s="790"/>
      <c r="G114" s="791"/>
      <c r="H114" s="792" t="s">
        <v>1</v>
      </c>
      <c r="I114" s="767" t="s">
        <v>24</v>
      </c>
      <c r="J114" s="767" t="s">
        <v>0</v>
      </c>
    </row>
    <row r="115" spans="2:14" s="611" customFormat="1" ht="21">
      <c r="B115" s="760" t="s">
        <v>534</v>
      </c>
      <c r="C115" s="760"/>
      <c r="D115" s="760"/>
      <c r="E115" s="760"/>
      <c r="F115" s="760"/>
      <c r="G115" s="760"/>
      <c r="H115" s="770" t="s">
        <v>157</v>
      </c>
      <c r="I115" s="756" t="e">
        <f>SUM(BASEBUDGETS!F1442:F1444)/BASEBUDGETS!C1321</f>
        <v>#DIV/0!</v>
      </c>
      <c r="J115" s="765" t="e">
        <f>I115</f>
        <v>#DIV/0!</v>
      </c>
      <c r="M115" s="757" t="e">
        <f>I115*'AcresYieldsPrices&amp;Water'!D10</f>
        <v>#DIV/0!</v>
      </c>
    </row>
    <row r="116" spans="2:14" s="611" customFormat="1" ht="21">
      <c r="B116" s="794" t="s">
        <v>156</v>
      </c>
      <c r="C116" s="794"/>
      <c r="D116" s="794"/>
      <c r="E116" s="794"/>
      <c r="F116" s="794"/>
      <c r="G116" s="794"/>
      <c r="H116" s="770" t="str">
        <f>BASEBUDGETS!C1442</f>
        <v>acre</v>
      </c>
      <c r="I116" s="758" t="e">
        <f>SUM(BASEBUDGETS!F1445:F1472)/BASEBUDGETS!C1321</f>
        <v>#DIV/0!</v>
      </c>
      <c r="J116" s="797" t="e">
        <f>I116</f>
        <v>#DIV/0!</v>
      </c>
    </row>
    <row r="117" spans="2:14" s="611" customFormat="1" ht="21">
      <c r="B117" s="807" t="s">
        <v>77</v>
      </c>
      <c r="C117" s="807"/>
      <c r="D117" s="807"/>
      <c r="E117" s="807"/>
      <c r="F117" s="807"/>
      <c r="G117" s="807"/>
      <c r="H117" s="756"/>
      <c r="I117" s="756"/>
      <c r="J117" s="765" t="e">
        <f>J116+J115</f>
        <v>#DIV/0!</v>
      </c>
    </row>
    <row r="118" spans="2:14" s="611" customFormat="1" ht="21">
      <c r="B118" s="660"/>
      <c r="C118" s="660"/>
      <c r="D118" s="765"/>
      <c r="E118" s="758"/>
      <c r="F118" s="660"/>
      <c r="G118" s="756"/>
      <c r="H118" s="756"/>
      <c r="I118" s="756"/>
      <c r="J118" s="765"/>
    </row>
    <row r="119" spans="2:14" s="611" customFormat="1" ht="20.399999999999999">
      <c r="B119" s="808" t="s">
        <v>63</v>
      </c>
      <c r="C119" s="808"/>
      <c r="D119" s="808"/>
      <c r="E119" s="808"/>
      <c r="F119" s="808"/>
      <c r="G119" s="808"/>
      <c r="H119" s="764"/>
      <c r="I119" s="764"/>
      <c r="J119" s="801">
        <f>IF(I4=0,0,J103+J112+J117)</f>
        <v>0</v>
      </c>
    </row>
    <row r="120" spans="2:14" s="611" customFormat="1" ht="20.399999999999999">
      <c r="B120" s="805" t="s">
        <v>64</v>
      </c>
      <c r="C120" s="805"/>
      <c r="D120" s="805"/>
      <c r="E120" s="805"/>
      <c r="F120" s="805"/>
      <c r="G120" s="805"/>
      <c r="H120" s="803"/>
      <c r="I120" s="803"/>
      <c r="J120" s="788">
        <f>J6-J119</f>
        <v>0</v>
      </c>
    </row>
  </sheetData>
  <sheetProtection algorithmName="SHA-512" hashValue="E/cwUe5EozrHFMscOpPmkEzNyfUT5QwX/5attUAcxpJBQefBDAnA7QPXXui3ezC3sGmO6BK92SmwWeJVbrJTXw==" saltValue="Ib1VaquQ76wIPQbey4K1Wg==" spinCount="100000" sheet="1" objects="1" scenarios="1"/>
  <mergeCells count="22">
    <mergeCell ref="B3:C3"/>
    <mergeCell ref="B103:F103"/>
    <mergeCell ref="B2:F2"/>
    <mergeCell ref="G2:I2"/>
    <mergeCell ref="B4:E4"/>
    <mergeCell ref="B5:E5"/>
    <mergeCell ref="B108:G108"/>
    <mergeCell ref="B9:C9"/>
    <mergeCell ref="B32:C32"/>
    <mergeCell ref="B77:C77"/>
    <mergeCell ref="B100:C100"/>
    <mergeCell ref="B106:C106"/>
    <mergeCell ref="B107:C107"/>
    <mergeCell ref="B119:G119"/>
    <mergeCell ref="B120:G120"/>
    <mergeCell ref="B115:G115"/>
    <mergeCell ref="B109:G109"/>
    <mergeCell ref="B116:G116"/>
    <mergeCell ref="B117:G117"/>
    <mergeCell ref="B110:D110"/>
    <mergeCell ref="B111:C111"/>
    <mergeCell ref="B112:C112"/>
  </mergeCells>
  <pageMargins left="0.7" right="0.7" top="0.75" bottom="0.75" header="0.3" footer="0.3"/>
  <pageSetup scale="38" fitToHeight="2" orientation="portrait" horizontalDpi="0" verticalDpi="0"/>
  <ignoredErrors>
    <ignoredError sqref="G4:J5 G100:J100 B103 B106:B107 B108 B109 B111 B112 H111:J112 B116 B117 B120 B119 B100:F102 B118:J118 B114:J114 B104:F105 B6:E7 B5 B32:C32 C9:E9 B8:C8 F4:F18 C45 B77:C77 H119:J120 G101:H101 J101 B89:C99 B113:J113 G102:J105 B84 G89:J89 B10:C28 B75:C76 G46:J52 G53:H54 G56:J64 F38:F64 E89 G84:J84 E88:J88 F85:J87 E84:E87 H106:J109 I110:J110 H117:J117 G9:J28 C29:C31 C36:C37 J36 G39:H45 G2 E10:E18 B33:C35 B39:C44 B46:C54 B56:C66 E90:J99 E29:J35 E19:F28 E65:F65 E37:J37 E36:H36 E39:E54 E56:E64 D84:D99 D10:D66 I53:J55 I38:J45 B4 F66:J66 B70:B74 B67:B68 G70:J74 G67:J68 C67:F74 D75:J81 B78:C81 I82:J82 C82:F82 C83:J83 H116 I116:J116 I115:J115 I65:J65 G7:J7 G6 I6:J6" unlockedFormula="1"/>
  </ignoredErrors>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68FF2-71FB-BB4E-97A5-8AC656471275}">
  <sheetPr codeName="Sheet23">
    <pageSetUpPr fitToPage="1"/>
  </sheetPr>
  <dimension ref="A1:N118"/>
  <sheetViews>
    <sheetView zoomScale="110" zoomScaleNormal="110" workbookViewId="0">
      <selection activeCell="G4" sqref="G4"/>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5" width="14.88671875" style="653" customWidth="1"/>
    <col min="16" max="22" width="12.33203125" style="653" customWidth="1"/>
    <col min="23" max="16384" width="11.44140625" style="653"/>
  </cols>
  <sheetData>
    <row r="1" spans="2:14" s="611" customFormat="1"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'AcresYieldsPrices&amp;Water'!B11</f>
        <v>Corn Silage</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BASEBUDGETS!B1489</f>
        <v>Corn Silage</v>
      </c>
      <c r="C4" s="754"/>
      <c r="D4" s="754"/>
      <c r="E4" s="754"/>
      <c r="F4" s="755" t="str">
        <f>BASEBUDGETS!C1489</f>
        <v>ton</v>
      </c>
      <c r="G4" s="756">
        <f>BASEBUDGETS!D1489</f>
        <v>60</v>
      </c>
      <c r="H4" s="757"/>
      <c r="I4" s="758">
        <f>IF(BASEBUDGETS!E1489=0,0,BASEBUDGETS!E1489/BASEBUDGETS!C1485)</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BASEBUDGETS!B1524</f>
        <v>V Ripper, Custom</v>
      </c>
      <c r="D9" s="765">
        <f>CustomOperations!M5</f>
        <v>44.25</v>
      </c>
      <c r="E9" s="771" t="e">
        <f>BASEBUDGETS!E1524/BASEBUDGETS!C1485</f>
        <v>#DIV/0!</v>
      </c>
      <c r="F9" s="770" t="str">
        <f>BASEBUDGETS!C1524</f>
        <v>acre</v>
      </c>
      <c r="G9" s="756">
        <v>0</v>
      </c>
      <c r="H9" s="756">
        <v>0</v>
      </c>
      <c r="I9" s="756" t="e">
        <f>IF(E9=0,0,BASEBUDGETS!D1524*E9)</f>
        <v>#DIV/0!</v>
      </c>
      <c r="J9" s="765" t="e">
        <f>G9+H9+I9</f>
        <v>#DIV/0!</v>
      </c>
      <c r="L9" s="772">
        <f>N9*'AcresYieldsPrices&amp;Water'!D$11</f>
        <v>0</v>
      </c>
      <c r="M9" s="611" t="s">
        <v>394</v>
      </c>
      <c r="N9" s="653">
        <f>IFERROR(I37,0)</f>
        <v>0</v>
      </c>
    </row>
    <row r="10" spans="2:14" s="611" customFormat="1" ht="21">
      <c r="C10" s="660" t="str">
        <f>BASEBUDGETS!B1525</f>
        <v>Disk, Custom</v>
      </c>
      <c r="D10" s="765">
        <f>CustomOperations!M7</f>
        <v>0</v>
      </c>
      <c r="E10" s="771" t="e">
        <f>BASEBUDGETS!E1525/BASEBUDGETS!C1485</f>
        <v>#DIV/0!</v>
      </c>
      <c r="F10" s="770" t="str">
        <f>BASEBUDGETS!C1525</f>
        <v>acre</v>
      </c>
      <c r="G10" s="756">
        <v>0</v>
      </c>
      <c r="H10" s="756">
        <v>0</v>
      </c>
      <c r="I10" s="756" t="e">
        <f>IF(E10=0,0,BASEBUDGETS!D1525*E10)</f>
        <v>#DIV/0!</v>
      </c>
      <c r="J10" s="765" t="e">
        <f>G10+H10+I10</f>
        <v>#DIV/0!</v>
      </c>
      <c r="L10" s="772">
        <f>N10*'AcresYieldsPrices&amp;Water'!D$11</f>
        <v>0</v>
      </c>
      <c r="M10" s="611" t="s">
        <v>395</v>
      </c>
      <c r="N10" s="653">
        <f>IFERROR(I44,0)</f>
        <v>0</v>
      </c>
    </row>
    <row r="11" spans="2:14" s="611" customFormat="1" ht="21">
      <c r="C11" s="660" t="str">
        <f>BASEBUDGETS!B1526</f>
        <v>Drag, Custom</v>
      </c>
      <c r="D11" s="765">
        <f>CustomOperations!M9</f>
        <v>0</v>
      </c>
      <c r="E11" s="771" t="e">
        <f>BASEBUDGETS!E1526/BASEBUDGETS!C1485</f>
        <v>#DIV/0!</v>
      </c>
      <c r="F11" s="770" t="str">
        <f>BASEBUDGETS!C1526</f>
        <v>acre</v>
      </c>
      <c r="G11" s="756">
        <v>0</v>
      </c>
      <c r="H11" s="756">
        <v>0</v>
      </c>
      <c r="I11" s="756" t="e">
        <f>IF(E11=0,0,BASEBUDGETS!D1526*E11)</f>
        <v>#DIV/0!</v>
      </c>
      <c r="J11" s="765" t="e">
        <f t="shared" ref="J11:J30" si="0">G11+H11+I11</f>
        <v>#DIV/0!</v>
      </c>
      <c r="L11" s="772">
        <f>N11*'AcresYieldsPrices&amp;Water'!D$11</f>
        <v>0</v>
      </c>
      <c r="M11" s="611" t="s">
        <v>396</v>
      </c>
      <c r="N11" s="653">
        <f>IFERROR(I54,0)</f>
        <v>0</v>
      </c>
    </row>
    <row r="12" spans="2:14" s="611" customFormat="1" ht="21">
      <c r="C12" s="660" t="str">
        <f>BASEBUDGETS!B1527</f>
        <v>Chisel, Custom</v>
      </c>
      <c r="D12" s="765">
        <f>CustomOperations!M11</f>
        <v>0</v>
      </c>
      <c r="E12" s="771" t="e">
        <f>BASEBUDGETS!E1527/BASEBUDGETS!C1485</f>
        <v>#DIV/0!</v>
      </c>
      <c r="F12" s="770" t="str">
        <f>BASEBUDGETS!C1527</f>
        <v>acre</v>
      </c>
      <c r="G12" s="756">
        <v>0</v>
      </c>
      <c r="H12" s="756">
        <v>0</v>
      </c>
      <c r="I12" s="756" t="e">
        <f>IF(E12=0,0,BASEBUDGETS!D1527*E12)</f>
        <v>#DIV/0!</v>
      </c>
      <c r="J12" s="765" t="e">
        <f t="shared" si="0"/>
        <v>#DIV/0!</v>
      </c>
      <c r="L12" s="772">
        <f>N12*'AcresYieldsPrices&amp;Water'!D$11</f>
        <v>0</v>
      </c>
      <c r="M12" s="611" t="s">
        <v>392</v>
      </c>
      <c r="N12" s="653">
        <f>IFERROR(E29+E30+E74+E75+E91+E92+E72+E69+E66,0)</f>
        <v>0</v>
      </c>
    </row>
    <row r="13" spans="2:14" s="611" customFormat="1" ht="21">
      <c r="C13" s="660" t="str">
        <f>BASEBUDGETS!B1528</f>
        <v>Moldboard Plow, Custom</v>
      </c>
      <c r="D13" s="765">
        <f>CustomOperations!M13</f>
        <v>0</v>
      </c>
      <c r="E13" s="771" t="e">
        <f>BASEBUDGETS!E1528/BASEBUDGETS!C1485</f>
        <v>#DIV/0!</v>
      </c>
      <c r="F13" s="770" t="str">
        <f>BASEBUDGETS!C1528</f>
        <v>acre</v>
      </c>
      <c r="G13" s="756">
        <v>0</v>
      </c>
      <c r="H13" s="756">
        <v>0</v>
      </c>
      <c r="I13" s="756" t="e">
        <f>IF(E13=0,0,BASEBUDGETS!D1528*E13)</f>
        <v>#DIV/0!</v>
      </c>
      <c r="J13" s="765" t="e">
        <f t="shared" si="0"/>
        <v>#DIV/0!</v>
      </c>
      <c r="L13" s="772">
        <f>N13*'AcresYieldsPrices&amp;Water'!D$11</f>
        <v>0</v>
      </c>
      <c r="M13" s="611" t="s">
        <v>393</v>
      </c>
      <c r="N13" s="653">
        <f>IFERROR(((SUM(G18:G28)+G36+G34+G35+G43+G42+G53+G63+SUM(G80:G90))/[2]GeneralInputPrices!$D$20),0)</f>
        <v>0</v>
      </c>
    </row>
    <row r="14" spans="2:14" s="611" customFormat="1" ht="21">
      <c r="C14" s="660" t="str">
        <f>BASEBUDGETS!B1529</f>
        <v>Landplane, Custom</v>
      </c>
      <c r="D14" s="765">
        <f>CustomOperations!M15</f>
        <v>17.940000000000001</v>
      </c>
      <c r="E14" s="771" t="e">
        <f>BASEBUDGETS!E1529/BASEBUDGETS!C1485</f>
        <v>#DIV/0!</v>
      </c>
      <c r="F14" s="770" t="str">
        <f>BASEBUDGETS!C1529</f>
        <v>acre</v>
      </c>
      <c r="G14" s="756">
        <v>0</v>
      </c>
      <c r="H14" s="756">
        <v>0</v>
      </c>
      <c r="I14" s="756" t="e">
        <f>IF(E14=0,0,BASEBUDGETS!D1529*E14)</f>
        <v>#DIV/0!</v>
      </c>
      <c r="J14" s="765" t="e">
        <f t="shared" si="0"/>
        <v>#DIV/0!</v>
      </c>
      <c r="L14" s="772">
        <f>N14*'AcresYieldsPrices&amp;Water'!D$11</f>
        <v>0</v>
      </c>
      <c r="M14" s="611" t="s">
        <v>186</v>
      </c>
      <c r="N14" s="653">
        <f>IFERROR(H96,0)</f>
        <v>0</v>
      </c>
    </row>
    <row r="15" spans="2:14" s="611" customFormat="1" ht="21">
      <c r="C15" s="660" t="str">
        <f>BASEBUDGETS!B1530</f>
        <v>Float, Custom</v>
      </c>
      <c r="D15" s="765">
        <f>CustomOperations!M17</f>
        <v>17.940000000000001</v>
      </c>
      <c r="E15" s="771" t="e">
        <f>BASEBUDGETS!E1530/BASEBUDGETS!C1485</f>
        <v>#DIV/0!</v>
      </c>
      <c r="F15" s="770" t="str">
        <f>BASEBUDGETS!C1530</f>
        <v>acre</v>
      </c>
      <c r="G15" s="756">
        <v>0</v>
      </c>
      <c r="H15" s="756">
        <v>0</v>
      </c>
      <c r="I15" s="756" t="e">
        <f>IF(E15=0,0,BASEBUDGETS!D1530*E15)</f>
        <v>#DIV/0!</v>
      </c>
      <c r="J15" s="765" t="e">
        <f t="shared" si="0"/>
        <v>#DIV/0!</v>
      </c>
      <c r="L15" s="772">
        <f>N15*'AcresYieldsPrices&amp;Water'!D$11</f>
        <v>0</v>
      </c>
      <c r="M15" s="611" t="s">
        <v>401</v>
      </c>
      <c r="N15" s="653">
        <f>IFERROR(J109,0)</f>
        <v>0</v>
      </c>
    </row>
    <row r="16" spans="2:14" s="611" customFormat="1" ht="21">
      <c r="C16" s="660" t="str">
        <f>BASEBUDGETS!B1531</f>
        <v>Lister, Custom</v>
      </c>
      <c r="D16" s="765">
        <f>CustomOperations!M19</f>
        <v>20.38</v>
      </c>
      <c r="E16" s="771" t="e">
        <f>BASEBUDGETS!E1531/BASEBUDGETS!C1485</f>
        <v>#DIV/0!</v>
      </c>
      <c r="F16" s="770" t="str">
        <f>BASEBUDGETS!C1531</f>
        <v>acre</v>
      </c>
      <c r="G16" s="756">
        <v>0</v>
      </c>
      <c r="H16" s="756">
        <v>0</v>
      </c>
      <c r="I16" s="756" t="e">
        <f>IF(E16=0,0,BASEBUDGETS!D1531*E16)</f>
        <v>#DIV/0!</v>
      </c>
      <c r="J16" s="765" t="e">
        <f t="shared" si="0"/>
        <v>#DIV/0!</v>
      </c>
      <c r="L16" s="772">
        <f>N16*'AcresYieldsPrices&amp;Water'!D$11</f>
        <v>0</v>
      </c>
      <c r="M16" s="611" t="s">
        <v>405</v>
      </c>
      <c r="N16" s="653">
        <f>IFERROR((J79+J78+J77+J62+J52+J41+J40+J33+J32+SUM(J9:J17)),0)</f>
        <v>0</v>
      </c>
    </row>
    <row r="17" spans="2:10" s="611" customFormat="1" ht="21">
      <c r="C17" s="660" t="str">
        <f>BASEBUDGETS!B1532</f>
        <v>Bed Shape, Custom</v>
      </c>
      <c r="D17" s="765">
        <f>CustomOperations!M21</f>
        <v>13.69</v>
      </c>
      <c r="E17" s="771" t="e">
        <f>BASEBUDGETS!E1532/BASEBUDGETS!C1485</f>
        <v>#DIV/0!</v>
      </c>
      <c r="F17" s="770" t="str">
        <f>BASEBUDGETS!C1532</f>
        <v>acre</v>
      </c>
      <c r="G17" s="756">
        <v>0</v>
      </c>
      <c r="H17" s="756">
        <v>0</v>
      </c>
      <c r="I17" s="756" t="e">
        <f>IF(E17=0,0,BASEBUDGETS!D1532*E17)</f>
        <v>#DIV/0!</v>
      </c>
      <c r="J17" s="765" t="e">
        <f t="shared" si="0"/>
        <v>#DIV/0!</v>
      </c>
    </row>
    <row r="18" spans="2:10" s="611" customFormat="1" ht="21">
      <c r="C18" s="660" t="str">
        <f>TillageOperations!$B$7</f>
        <v>V-Ripper</v>
      </c>
      <c r="D18" s="765"/>
      <c r="E18" s="771" t="e">
        <f>BASEBUDGETS!E1536/BASEBUDGETS!C1485</f>
        <v>#DIV/0!</v>
      </c>
      <c r="F18" s="770" t="str">
        <f>BASEBUDGETS!C1536</f>
        <v>acre</v>
      </c>
      <c r="G18" s="756" t="e">
        <f>IF(E18=0,0,BASEBUDGETS!D1537*E18)</f>
        <v>#DIV/0!</v>
      </c>
      <c r="H18" s="756" t="e">
        <f>IF(E18=0,0,BASEBUDGETS!D1536*E18)</f>
        <v>#DIV/0!</v>
      </c>
      <c r="I18" s="756">
        <v>0</v>
      </c>
      <c r="J18" s="765" t="e">
        <f t="shared" si="0"/>
        <v>#DIV/0!</v>
      </c>
    </row>
    <row r="19" spans="2:10" s="611" customFormat="1" ht="21">
      <c r="C19" s="660" t="str">
        <f>TillageOperations!$B$8</f>
        <v>Offset Disk</v>
      </c>
      <c r="D19" s="765"/>
      <c r="E19" s="771" t="e">
        <f>BASEBUDGETS!E1538/BASEBUDGETS!C1485</f>
        <v>#DIV/0!</v>
      </c>
      <c r="F19" s="770" t="str">
        <f>BASEBUDGETS!C1538&amp;"s"</f>
        <v>acres</v>
      </c>
      <c r="G19" s="756" t="e">
        <f>IF(E19=0,0,BASEBUDGETS!D1539*E19)</f>
        <v>#DIV/0!</v>
      </c>
      <c r="H19" s="756" t="e">
        <f>IF(E19=0,0,BASEBUDGETS!D1538*E19)</f>
        <v>#DIV/0!</v>
      </c>
      <c r="I19" s="756">
        <v>0</v>
      </c>
      <c r="J19" s="765" t="e">
        <f t="shared" si="0"/>
        <v>#DIV/0!</v>
      </c>
    </row>
    <row r="20" spans="2:10" s="611" customFormat="1" ht="21">
      <c r="C20" s="660" t="str">
        <f>TillageOperations!$B$9</f>
        <v>Drag</v>
      </c>
      <c r="D20" s="765"/>
      <c r="E20" s="771" t="e">
        <f>BASEBUDGETS!E1540/BASEBUDGETS!C1485</f>
        <v>#DIV/0!</v>
      </c>
      <c r="F20" s="770" t="str">
        <f>BASEBUDGETS!C1540</f>
        <v>acre</v>
      </c>
      <c r="G20" s="756" t="e">
        <f>IF(E20=0,0,BASEBUDGETS!D1541*E20)</f>
        <v>#DIV/0!</v>
      </c>
      <c r="H20" s="756" t="e">
        <f>IF(E20=0,0,BASEBUDGETS!D1540*E20)</f>
        <v>#DIV/0!</v>
      </c>
      <c r="I20" s="756">
        <v>0</v>
      </c>
      <c r="J20" s="765" t="e">
        <f t="shared" si="0"/>
        <v>#DIV/0!</v>
      </c>
    </row>
    <row r="21" spans="2:10" s="611" customFormat="1" ht="21">
      <c r="C21" s="660" t="str">
        <f>TillageOperations!$B$10</f>
        <v>Chisel</v>
      </c>
      <c r="D21" s="765"/>
      <c r="E21" s="771" t="e">
        <f>BASEBUDGETS!E1542/BASEBUDGETS!C1485</f>
        <v>#DIV/0!</v>
      </c>
      <c r="F21" s="770" t="str">
        <f>BASEBUDGETS!C1542&amp;"s"</f>
        <v>acres</v>
      </c>
      <c r="G21" s="756" t="e">
        <f>IF(E21=0,0,BASEBUDGETS!D1543*E21)</f>
        <v>#DIV/0!</v>
      </c>
      <c r="H21" s="756" t="e">
        <f>IF(E21=0,0,BASEBUDGETS!D1542*E21)</f>
        <v>#DIV/0!</v>
      </c>
      <c r="I21" s="756">
        <v>0</v>
      </c>
      <c r="J21" s="765" t="e">
        <f t="shared" si="0"/>
        <v>#DIV/0!</v>
      </c>
    </row>
    <row r="22" spans="2:10" s="611" customFormat="1" ht="21">
      <c r="C22" s="660" t="str">
        <f>TillageOperations!$B$11</f>
        <v>Moldboard Plow</v>
      </c>
      <c r="D22" s="765"/>
      <c r="E22" s="771" t="e">
        <f>BASEBUDGETS!E1544/BASEBUDGETS!C1485</f>
        <v>#DIV/0!</v>
      </c>
      <c r="F22" s="770" t="str">
        <f>BASEBUDGETS!C1544</f>
        <v>acre</v>
      </c>
      <c r="G22" s="756" t="e">
        <f>IF(E22=0,0,BASEBUDGETS!D1545*E22)</f>
        <v>#DIV/0!</v>
      </c>
      <c r="H22" s="756" t="e">
        <f>IF(E22=0,0,BASEBUDGETS!D1544*E22)</f>
        <v>#DIV/0!</v>
      </c>
      <c r="I22" s="756">
        <v>0</v>
      </c>
      <c r="J22" s="765" t="e">
        <f t="shared" si="0"/>
        <v>#DIV/0!</v>
      </c>
    </row>
    <row r="23" spans="2:10" s="611" customFormat="1" ht="21">
      <c r="C23" s="660" t="str">
        <f>TillageOperations!$B$12</f>
        <v>Cultivator</v>
      </c>
      <c r="D23" s="765"/>
      <c r="E23" s="771" t="e">
        <f>BASEBUDGETS!E1546/BASEBUDGETS!C1485</f>
        <v>#DIV/0!</v>
      </c>
      <c r="F23" s="770" t="str">
        <f>BASEBUDGETS!C1546</f>
        <v>acre</v>
      </c>
      <c r="G23" s="756" t="e">
        <f>IF(E23=0,0,BASEBUDGETS!D1547*E23)</f>
        <v>#DIV/0!</v>
      </c>
      <c r="H23" s="756" t="e">
        <f>IF(E23=0,0,BASEBUDGETS!D1546*E23)</f>
        <v>#DIV/0!</v>
      </c>
      <c r="I23" s="756">
        <v>0</v>
      </c>
      <c r="J23" s="765" t="e">
        <f t="shared" si="0"/>
        <v>#DIV/0!</v>
      </c>
    </row>
    <row r="24" spans="2:10" s="611" customFormat="1" ht="21">
      <c r="C24" s="660" t="str">
        <f>TillageOperations!$B$13</f>
        <v>Landplane</v>
      </c>
      <c r="D24" s="765"/>
      <c r="E24" s="771" t="e">
        <f>BASEBUDGETS!E1548/BASEBUDGETS!C1485</f>
        <v>#DIV/0!</v>
      </c>
      <c r="F24" s="770" t="str">
        <f>BASEBUDGETS!C1548</f>
        <v>acre</v>
      </c>
      <c r="G24" s="756" t="e">
        <f>IF(E24=0,0,BASEBUDGETS!D1549*E24)</f>
        <v>#DIV/0!</v>
      </c>
      <c r="H24" s="756" t="e">
        <f>IF(E24=0,0,BASEBUDGETS!D1548*E24)</f>
        <v>#DIV/0!</v>
      </c>
      <c r="I24" s="756">
        <v>0</v>
      </c>
      <c r="J24" s="765" t="e">
        <f t="shared" si="0"/>
        <v>#DIV/0!</v>
      </c>
    </row>
    <row r="25" spans="2:10" s="611" customFormat="1" ht="21">
      <c r="C25" s="660" t="str">
        <f>TillageOperations!$B$14</f>
        <v>Float</v>
      </c>
      <c r="D25" s="765"/>
      <c r="E25" s="771" t="e">
        <f>BASEBUDGETS!E1550/BASEBUDGETS!C1485</f>
        <v>#DIV/0!</v>
      </c>
      <c r="F25" s="770" t="str">
        <f>BASEBUDGETS!C1550</f>
        <v>acre</v>
      </c>
      <c r="G25" s="756" t="e">
        <f>IF(E25=0,0,BASEBUDGETS!D1551*E25)</f>
        <v>#DIV/0!</v>
      </c>
      <c r="H25" s="756" t="e">
        <f>IF(E25=0,0,BASEBUDGETS!D1550*E25)</f>
        <v>#DIV/0!</v>
      </c>
      <c r="I25" s="756">
        <v>0</v>
      </c>
      <c r="J25" s="765" t="e">
        <f t="shared" si="0"/>
        <v>#DIV/0!</v>
      </c>
    </row>
    <row r="26" spans="2:10" s="611" customFormat="1" ht="21">
      <c r="C26" s="660" t="str">
        <f>TillageOperations!$B$15</f>
        <v>Lister</v>
      </c>
      <c r="D26" s="765"/>
      <c r="E26" s="771" t="e">
        <f>BASEBUDGETS!E1552/BASEBUDGETS!C1485</f>
        <v>#DIV/0!</v>
      </c>
      <c r="F26" s="770" t="str">
        <f>BASEBUDGETS!C1552</f>
        <v>acre</v>
      </c>
      <c r="G26" s="756" t="e">
        <f>IF(E26=0,0,BASEBUDGETS!D1553*E26)</f>
        <v>#DIV/0!</v>
      </c>
      <c r="H26" s="756" t="e">
        <f>IF(E26=0,0,BASEBUDGETS!D1552*E26)</f>
        <v>#DIV/0!</v>
      </c>
      <c r="I26" s="756">
        <v>0</v>
      </c>
      <c r="J26" s="765" t="e">
        <f t="shared" si="0"/>
        <v>#DIV/0!</v>
      </c>
    </row>
    <row r="27" spans="2:10" s="611" customFormat="1" ht="21">
      <c r="C27" s="660" t="str">
        <f>TillageOperations!$B$16</f>
        <v>Bed Shaper</v>
      </c>
      <c r="D27" s="765"/>
      <c r="E27" s="771" t="e">
        <f>BASEBUDGETS!E1554/BASEBUDGETS!C1485</f>
        <v>#DIV/0!</v>
      </c>
      <c r="F27" s="770" t="str">
        <f>BASEBUDGETS!C1554</f>
        <v>acre</v>
      </c>
      <c r="G27" s="756" t="e">
        <f>IF(E27=0,0,BASEBUDGETS!D1555*E27)</f>
        <v>#DIV/0!</v>
      </c>
      <c r="H27" s="756" t="e">
        <f>IF(E27=0,0,BASEBUDGETS!D1554*E27)</f>
        <v>#DIV/0!</v>
      </c>
      <c r="I27" s="756">
        <v>0</v>
      </c>
      <c r="J27" s="765" t="e">
        <f t="shared" si="0"/>
        <v>#DIV/0!</v>
      </c>
    </row>
    <row r="28" spans="2:10" s="611" customFormat="1" ht="21">
      <c r="C28" s="660" t="str">
        <f>TillageOperations!$B$17</f>
        <v>Cotton Shredder/Root Puller</v>
      </c>
      <c r="D28" s="765"/>
      <c r="E28" s="771" t="e">
        <f>BASEBUDGETS!E1568/BASEBUDGETS!C1485</f>
        <v>#DIV/0!</v>
      </c>
      <c r="F28" s="770" t="str">
        <f>BASEBUDGETS!C1568</f>
        <v>acre</v>
      </c>
      <c r="G28" s="756" t="e">
        <f>IF(E28=0,0,BASEBUDGETS!D1569*E28)</f>
        <v>#DIV/0!</v>
      </c>
      <c r="H28" s="756" t="e">
        <f>IF(E28=0,0,BASEBUDGETS!D1568*E28)</f>
        <v>#DIV/0!</v>
      </c>
      <c r="I28" s="756">
        <v>0</v>
      </c>
      <c r="J28" s="765" t="e">
        <f>G28+H28+I28</f>
        <v>#DIV/0!</v>
      </c>
    </row>
    <row r="29" spans="2:10" s="611" customFormat="1" ht="21">
      <c r="C29" s="660" t="str">
        <f>BASEBUDGETS!B1593</f>
        <v>Additional Land Prep. Labor</v>
      </c>
      <c r="D29" s="765">
        <f>GeneralInputPrices!$D$30</f>
        <v>14.55</v>
      </c>
      <c r="E29" s="758" t="e">
        <f>BASEBUDGETS!E1593/BASEBUDGETS!C1485</f>
        <v>#DIV/0!</v>
      </c>
      <c r="F29" s="773" t="str">
        <f>BASEBUDGETS!C1593</f>
        <v>hour</v>
      </c>
      <c r="G29" s="756" t="e">
        <f>D29*E29</f>
        <v>#DIV/0!</v>
      </c>
      <c r="H29" s="756">
        <v>0</v>
      </c>
      <c r="I29" s="756">
        <v>0</v>
      </c>
      <c r="J29" s="765" t="e">
        <f t="shared" si="0"/>
        <v>#DIV/0!</v>
      </c>
    </row>
    <row r="30" spans="2:10" s="611" customFormat="1" ht="21">
      <c r="C30" s="660" t="str">
        <f>BASEBUDGETS!B1594</f>
        <v>Additional Land Prep. Labor</v>
      </c>
      <c r="D30" s="765">
        <f>GeneralInputPrices!$D$30</f>
        <v>14.55</v>
      </c>
      <c r="E30" s="758" t="e">
        <f>BASEBUDGETS!E1594/BASEBUDGETS!C1485</f>
        <v>#DIV/0!</v>
      </c>
      <c r="F30" s="773" t="str">
        <f>BASEBUDGETS!C1594</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BASEBUDGETS!B1521</f>
        <v>Drill, Custom</v>
      </c>
      <c r="D32" s="765">
        <f>CustomOperations!M24</f>
        <v>0</v>
      </c>
      <c r="E32" s="771" t="e">
        <f>BASEBUDGETS!E1521/BASEBUDGETS!C1485</f>
        <v>#DIV/0!</v>
      </c>
      <c r="F32" s="770" t="str">
        <f>BASEBUDGETS!C1521</f>
        <v>acre</v>
      </c>
      <c r="G32" s="756">
        <v>0</v>
      </c>
      <c r="H32" s="756">
        <v>0</v>
      </c>
      <c r="I32" s="756" t="e">
        <f>IF(E32=0,0,(BASEBUDGETS!D1521*E32))</f>
        <v>#DIV/0!</v>
      </c>
      <c r="J32" s="765" t="e">
        <f t="shared" ref="J32:J34" si="1">G32+H32+I32</f>
        <v>#DIV/0!</v>
      </c>
    </row>
    <row r="33" spans="3:14" s="611" customFormat="1" ht="21">
      <c r="C33" s="660" t="str">
        <f>BASEBUDGETS!B1522</f>
        <v>Row Planter, Custom</v>
      </c>
      <c r="D33" s="765">
        <f>CustomOperations!M26</f>
        <v>0</v>
      </c>
      <c r="E33" s="771" t="e">
        <f>BASEBUDGETS!E1522/BASEBUDGETS!C1485</f>
        <v>#DIV/0!</v>
      </c>
      <c r="F33" s="770" t="str">
        <f>BASEBUDGETS!C1522</f>
        <v>acre</v>
      </c>
      <c r="G33" s="756">
        <v>0</v>
      </c>
      <c r="H33" s="756">
        <v>0</v>
      </c>
      <c r="I33" s="756" t="e">
        <f>IF(E33=0,0,(BASEBUDGETS!D1522*E33))</f>
        <v>#DIV/0!</v>
      </c>
      <c r="J33" s="765" t="e">
        <f t="shared" si="1"/>
        <v>#DIV/0!</v>
      </c>
    </row>
    <row r="34" spans="3:14" s="611" customFormat="1" ht="21">
      <c r="C34" s="660" t="str">
        <f>TillageOperations!$B$21</f>
        <v>Drill</v>
      </c>
      <c r="D34" s="765"/>
      <c r="E34" s="771" t="e">
        <f>BASEBUDGETS!E1560/BASEBUDGETS!C1485</f>
        <v>#DIV/0!</v>
      </c>
      <c r="F34" s="770" t="str">
        <f>BASEBUDGETS!C1560</f>
        <v>acre</v>
      </c>
      <c r="G34" s="756" t="e">
        <f>IF(E34=0,0,BASEBUDGETS!D1561*E34)</f>
        <v>#DIV/0!</v>
      </c>
      <c r="H34" s="756" t="e">
        <f>IF(E34=0,0,BASEBUDGETS!D1560*E34)</f>
        <v>#DIV/0!</v>
      </c>
      <c r="I34" s="756">
        <v>0</v>
      </c>
      <c r="J34" s="765" t="e">
        <f t="shared" si="1"/>
        <v>#DIV/0!</v>
      </c>
    </row>
    <row r="35" spans="3:14" s="611" customFormat="1" ht="21">
      <c r="C35" s="660" t="str">
        <f>TillageOperations!$B$19</f>
        <v>Row Planter</v>
      </c>
      <c r="D35" s="765"/>
      <c r="E35" s="771" t="e">
        <f>BASEBUDGETS!E1556/BASEBUDGETS!C1485</f>
        <v>#DIV/0!</v>
      </c>
      <c r="F35" s="770" t="str">
        <f>BASEBUDGETS!C1556</f>
        <v>acre</v>
      </c>
      <c r="G35" s="756" t="e">
        <f>IF(E35=0,0,BASEBUDGETS!D1557*E35)</f>
        <v>#DIV/0!</v>
      </c>
      <c r="H35" s="756" t="e">
        <f>IF(E35=0,0,BASEBUDGETS!D1556*E35)</f>
        <v>#DIV/0!</v>
      </c>
      <c r="I35" s="756">
        <v>0</v>
      </c>
      <c r="J35" s="765" t="e">
        <f>G35+H35+I35</f>
        <v>#DIV/0!</v>
      </c>
    </row>
    <row r="36" spans="3:14" s="611" customFormat="1" ht="21">
      <c r="C36" s="660" t="str">
        <f>TillageOperations!$B$22</f>
        <v>Transplanter</v>
      </c>
      <c r="D36" s="765"/>
      <c r="E36" s="771" t="e">
        <f>BASEBUDGETS!E1591/BASEBUDGETS!C1485</f>
        <v>#DIV/0!</v>
      </c>
      <c r="F36" s="770" t="str">
        <f>BASEBUDGETS!C1591</f>
        <v>acre</v>
      </c>
      <c r="G36" s="756" t="e">
        <f>IF(E36=0,0,BASEBUDGETS!D1592*E36)</f>
        <v>#DIV/0!</v>
      </c>
      <c r="H36" s="756" t="e">
        <f>IF(E36=0,0,BASEBUDGETS!D1591*E36)</f>
        <v>#DIV/0!</v>
      </c>
      <c r="I36" s="756">
        <v>0</v>
      </c>
      <c r="J36" s="765" t="e">
        <f>G36+H36+I36</f>
        <v>#DIV/0!</v>
      </c>
    </row>
    <row r="37" spans="3:14" s="611" customFormat="1" ht="21">
      <c r="C37" s="660" t="s">
        <v>439</v>
      </c>
      <c r="D37" s="765"/>
      <c r="E37" s="771"/>
      <c r="F37" s="770"/>
      <c r="G37" s="756">
        <v>0</v>
      </c>
      <c r="H37" s="756">
        <v>0</v>
      </c>
      <c r="I37" s="756" t="e">
        <f>(D38*E38)+(D39*E39)</f>
        <v>#DIV/0!</v>
      </c>
      <c r="J37" s="765" t="e">
        <f>G37+H37+I37</f>
        <v>#DIV/0!</v>
      </c>
    </row>
    <row r="38" spans="3:14" s="611" customFormat="1" ht="21">
      <c r="C38" s="660" t="str">
        <f>BASEBUDGETS!B1493</f>
        <v xml:space="preserve">   - Seed</v>
      </c>
      <c r="D38" s="765">
        <f>BASEBUDGETS!D1493</f>
        <v>50</v>
      </c>
      <c r="E38" s="775" t="e">
        <f>BASEBUDGETS!E1493/BASEBUDGETS!C1485</f>
        <v>#DIV/0!</v>
      </c>
      <c r="F38" s="769" t="str">
        <f>BASEBUDGETS!C1493</f>
        <v>acre</v>
      </c>
      <c r="G38" s="757"/>
      <c r="H38" s="757"/>
      <c r="I38" s="757"/>
      <c r="J38" s="757"/>
    </row>
    <row r="39" spans="3:14" s="611" customFormat="1" ht="21">
      <c r="C39" s="660" t="str">
        <f>BASEBUDGETS!B1494</f>
        <v xml:space="preserve">   - Inoculant</v>
      </c>
      <c r="D39" s="765">
        <f>BASEBUDGETS!D1494</f>
        <v>3</v>
      </c>
      <c r="E39" s="775" t="e">
        <f>BASEBUDGETS!E1494/BASEBUDGETS!C1485</f>
        <v>#DIV/0!</v>
      </c>
      <c r="F39" s="769" t="str">
        <f>BASEBUDGETS!C1494</f>
        <v>pounds</v>
      </c>
      <c r="G39" s="765"/>
      <c r="H39" s="765"/>
      <c r="I39" s="765"/>
      <c r="J39" s="765"/>
    </row>
    <row r="40" spans="3:14" s="611" customFormat="1" ht="21">
      <c r="C40" s="660" t="str">
        <f>BASEBUDGETS!B1533</f>
        <v>Fertilizer Spreader, Custom</v>
      </c>
      <c r="D40" s="765">
        <f>CustomOperations!M32</f>
        <v>10.08</v>
      </c>
      <c r="E40" s="771" t="e">
        <f>BASEBUDGETS!E1533/BASEBUDGETS!C1485</f>
        <v>#DIV/0!</v>
      </c>
      <c r="F40" s="770" t="str">
        <f>BASEBUDGETS!C1533</f>
        <v>acre</v>
      </c>
      <c r="G40" s="756">
        <v>0</v>
      </c>
      <c r="H40" s="756">
        <v>0</v>
      </c>
      <c r="I40" s="756" t="e">
        <f>IF(E40=0,0,(BASEBUDGETS!D1533*E40))</f>
        <v>#DIV/0!</v>
      </c>
      <c r="J40" s="765" t="e">
        <f t="shared" ref="J40:J44" si="2">G40+H40+I40</f>
        <v>#DIV/0!</v>
      </c>
    </row>
    <row r="41" spans="3:14" s="611" customFormat="1" ht="21">
      <c r="C41" s="660" t="str">
        <f>BASEBUDGETS!B1534</f>
        <v>Laser Landplaning, Custom</v>
      </c>
      <c r="D41" s="765">
        <f>CustomOperations!M34</f>
        <v>0</v>
      </c>
      <c r="E41" s="771" t="e">
        <f>BASEBUDGETS!E1534/BASEBUDGETS!C1485</f>
        <v>#DIV/0!</v>
      </c>
      <c r="F41" s="770" t="str">
        <f>BASEBUDGETS!C1534</f>
        <v>acre</v>
      </c>
      <c r="G41" s="756">
        <v>0</v>
      </c>
      <c r="H41" s="756">
        <v>0</v>
      </c>
      <c r="I41" s="756" t="e">
        <f>IF(E41=0,0,(BASEBUDGETS!D1534*E41))</f>
        <v>#DIV/0!</v>
      </c>
      <c r="J41" s="765" t="e">
        <f t="shared" si="2"/>
        <v>#DIV/0!</v>
      </c>
    </row>
    <row r="42" spans="3:14" s="611" customFormat="1" ht="21">
      <c r="C42" s="660" t="str">
        <f>TillageOperations!$B$23</f>
        <v>Fertilizer Spreader</v>
      </c>
      <c r="D42" s="765"/>
      <c r="E42" s="771" t="e">
        <f>BASEBUDGETS!E1585/BASEBUDGETS!C1485</f>
        <v>#DIV/0!</v>
      </c>
      <c r="F42" s="770" t="str">
        <f>BASEBUDGETS!C1585</f>
        <v>acre</v>
      </c>
      <c r="G42" s="756" t="e">
        <f>IF(E42=0,0,BASEBUDGETS!D1586*E42)</f>
        <v>#DIV/0!</v>
      </c>
      <c r="H42" s="756" t="e">
        <f>IF(E42=0,0,BASEBUDGETS!D1585*E42)</f>
        <v>#DIV/0!</v>
      </c>
      <c r="I42" s="756">
        <v>0</v>
      </c>
      <c r="J42" s="765" t="e">
        <f t="shared" si="2"/>
        <v>#DIV/0!</v>
      </c>
    </row>
    <row r="43" spans="3:14" s="611" customFormat="1" ht="21">
      <c r="C43" s="660" t="str">
        <f>TillageOperations!$B$24</f>
        <v>Fertilizer Injection System</v>
      </c>
      <c r="D43" s="765"/>
      <c r="E43" s="771" t="e">
        <f>BASEBUDGETS!E1587/BASEBUDGETS!C1485</f>
        <v>#DIV/0!</v>
      </c>
      <c r="F43" s="770" t="str">
        <f>BASEBUDGETS!C1587</f>
        <v>acre</v>
      </c>
      <c r="G43" s="756" t="e">
        <f>IF(E43=0,0,BASEBUDGETS!D1588*E43)</f>
        <v>#DIV/0!</v>
      </c>
      <c r="H43" s="756" t="e">
        <f>IF(E43=0,0,BASEBUDGETS!D1587*E43)</f>
        <v>#DIV/0!</v>
      </c>
      <c r="I43" s="756">
        <v>0</v>
      </c>
      <c r="J43" s="765" t="e">
        <f t="shared" si="2"/>
        <v>#DIV/0!</v>
      </c>
    </row>
    <row r="44" spans="3:14" ht="21">
      <c r="C44" s="660" t="s">
        <v>407</v>
      </c>
      <c r="D44" s="765"/>
      <c r="E44" s="771"/>
      <c r="F44" s="770"/>
      <c r="G44" s="756">
        <v>0</v>
      </c>
      <c r="H44" s="756">
        <v>0</v>
      </c>
      <c r="I44" s="756" t="e">
        <f>(D45*E45)+(D46*E46)+(D47*E47)+(D48*E48)+(D49*E49)+(D50*E50)+(D51*E51)</f>
        <v>#DIV/0!</v>
      </c>
      <c r="J44" s="765" t="e">
        <f t="shared" si="2"/>
        <v>#DIV/0!</v>
      </c>
      <c r="L44" s="611"/>
      <c r="M44" s="611"/>
      <c r="N44" s="611"/>
    </row>
    <row r="45" spans="3:14" s="611" customFormat="1" ht="21">
      <c r="C45" s="660" t="str">
        <f>BASEBUDGETS!B1495</f>
        <v xml:space="preserve">   - Nitrogen</v>
      </c>
      <c r="D45" s="765">
        <f>BASEBUDGETS!D1495</f>
        <v>0.46</v>
      </c>
      <c r="E45" s="775" t="e">
        <f>BASEBUDGETS!E1495/BASEBUDGETS!C1485</f>
        <v>#DIV/0!</v>
      </c>
      <c r="F45" s="769" t="str">
        <f>BASEBUDGETS!C1495</f>
        <v>pounds</v>
      </c>
      <c r="G45" s="765"/>
      <c r="H45" s="765"/>
      <c r="I45" s="765"/>
      <c r="J45" s="765"/>
    </row>
    <row r="46" spans="3:14" s="611" customFormat="1" ht="21">
      <c r="C46" s="660" t="str">
        <f>BASEBUDGETS!B1496</f>
        <v xml:space="preserve">   - Phosphorus</v>
      </c>
      <c r="D46" s="765">
        <f>BASEBUDGETS!D1496</f>
        <v>0.36</v>
      </c>
      <c r="E46" s="775" t="e">
        <f>BASEBUDGETS!E1496/BASEBUDGETS!C1485</f>
        <v>#DIV/0!</v>
      </c>
      <c r="F46" s="769" t="str">
        <f>BASEBUDGETS!C1496</f>
        <v>pounds</v>
      </c>
      <c r="G46" s="765"/>
      <c r="H46" s="765"/>
      <c r="I46" s="765"/>
      <c r="J46" s="765"/>
    </row>
    <row r="47" spans="3:14" s="611" customFormat="1" ht="21">
      <c r="C47" s="660" t="str">
        <f>BASEBUDGETS!B1497</f>
        <v xml:space="preserve">   - Anhydrous Ammonia</v>
      </c>
      <c r="D47" s="765">
        <f>BASEBUDGETS!D1497</f>
        <v>0.21</v>
      </c>
      <c r="E47" s="775" t="e">
        <f>BASEBUDGETS!E1497/BASEBUDGETS!C1485</f>
        <v>#DIV/0!</v>
      </c>
      <c r="F47" s="769" t="str">
        <f>BASEBUDGETS!C1497</f>
        <v>pounds</v>
      </c>
      <c r="G47" s="765"/>
      <c r="H47" s="765"/>
      <c r="I47" s="765"/>
      <c r="J47" s="765"/>
    </row>
    <row r="48" spans="3:14" s="611" customFormat="1" ht="21">
      <c r="C48" s="660" t="str">
        <f>BASEBUDGETS!B1498</f>
        <v xml:space="preserve">   - Trace Elements</v>
      </c>
      <c r="D48" s="765">
        <f>BASEBUDGETS!D1498</f>
        <v>0.24</v>
      </c>
      <c r="E48" s="775" t="e">
        <f>BASEBUDGETS!E1498/BASEBUDGETS!C1485</f>
        <v>#DIV/0!</v>
      </c>
      <c r="F48" s="769" t="str">
        <f>BASEBUDGETS!C1498</f>
        <v>pounds</v>
      </c>
      <c r="G48" s="765"/>
      <c r="H48" s="765"/>
      <c r="I48" s="765"/>
      <c r="J48" s="765"/>
    </row>
    <row r="49" spans="3:14" s="611" customFormat="1" ht="21">
      <c r="C49" s="660" t="str">
        <f>BASEBUDGETS!B1499</f>
        <v xml:space="preserve">   - Nitrogen</v>
      </c>
      <c r="D49" s="765">
        <f>BASEBUDGETS!D1499</f>
        <v>312</v>
      </c>
      <c r="E49" s="775" t="e">
        <f>BASEBUDGETS!E1499/BASEBUDGETS!C1485</f>
        <v>#DIV/0!</v>
      </c>
      <c r="F49" s="769" t="str">
        <f>BASEBUDGETS!C1499</f>
        <v>acre</v>
      </c>
      <c r="G49" s="765"/>
      <c r="H49" s="765"/>
      <c r="I49" s="765"/>
      <c r="J49" s="765"/>
    </row>
    <row r="50" spans="3:14" s="611" customFormat="1" ht="21">
      <c r="C50" s="660" t="str">
        <f>BASEBUDGETS!B1500</f>
        <v xml:space="preserve">   - Phosphorus</v>
      </c>
      <c r="D50" s="765">
        <f>BASEBUDGETS!D1500</f>
        <v>67.5</v>
      </c>
      <c r="E50" s="775" t="e">
        <f>BASEBUDGETS!E1500/BASEBUDGETS!C1485</f>
        <v>#DIV/0!</v>
      </c>
      <c r="F50" s="769" t="str">
        <f>BASEBUDGETS!C1500</f>
        <v>acre</v>
      </c>
      <c r="G50" s="765"/>
      <c r="H50" s="765"/>
      <c r="I50" s="765"/>
      <c r="J50" s="765"/>
    </row>
    <row r="51" spans="3:14" s="611" customFormat="1" ht="21">
      <c r="C51" s="660" t="str">
        <f>BASEBUDGETS!B1501</f>
        <v xml:space="preserve">   - Fertilizer - Anhydrous Applicator</v>
      </c>
      <c r="D51" s="765">
        <f>BASEBUDGETS!D1501</f>
        <v>0</v>
      </c>
      <c r="E51" s="775" t="e">
        <f>BASEBUDGETS!E1501/BASEBUDGETS!C1485</f>
        <v>#DIV/0!</v>
      </c>
      <c r="F51" s="769" t="str">
        <f>BASEBUDGETS!C1501</f>
        <v>acre</v>
      </c>
      <c r="G51" s="765"/>
      <c r="H51" s="765"/>
      <c r="I51" s="765"/>
      <c r="J51" s="765"/>
    </row>
    <row r="52" spans="3:14" s="611" customFormat="1" ht="21">
      <c r="C52" s="660" t="str">
        <f>BASEBUDGETS!B1535</f>
        <v>Boom Sprayer, Custom</v>
      </c>
      <c r="D52" s="765">
        <f>CustomOperations!M31</f>
        <v>0</v>
      </c>
      <c r="E52" s="771" t="e">
        <f>BASEBUDGETS!E1535/BASEBUDGETS!C1485</f>
        <v>#DIV/0!</v>
      </c>
      <c r="F52" s="770" t="str">
        <f>BASEBUDGETS!C1535</f>
        <v>acre</v>
      </c>
      <c r="G52" s="756">
        <v>0</v>
      </c>
      <c r="H52" s="756">
        <v>0</v>
      </c>
      <c r="I52" s="756" t="e">
        <f>IF(E52=0,0,(BASEBUDGETS!D1535*E52))</f>
        <v>#DIV/0!</v>
      </c>
      <c r="J52" s="765" t="e">
        <f>G52+H52+I52</f>
        <v>#DIV/0!</v>
      </c>
    </row>
    <row r="53" spans="3:14" s="611" customFormat="1" ht="21">
      <c r="C53" s="660" t="str">
        <f>TillageOperations!$B$25</f>
        <v>Boom Sprayer</v>
      </c>
      <c r="D53" s="765"/>
      <c r="E53" s="771" t="e">
        <f>BASEBUDGETS!E1589/BASEBUDGETS!C1485</f>
        <v>#DIV/0!</v>
      </c>
      <c r="F53" s="770" t="str">
        <f>BASEBUDGETS!C1589&amp;"s"</f>
        <v>acres</v>
      </c>
      <c r="G53" s="756" t="e">
        <f>IF(E53=0,0,BASEBUDGETS!D1590*E53)</f>
        <v>#DIV/0!</v>
      </c>
      <c r="H53" s="756" t="e">
        <f>IF(E53=0,0,BASEBUDGETS!D1589*E53)</f>
        <v>#DIV/0!</v>
      </c>
      <c r="I53" s="756">
        <v>0</v>
      </c>
      <c r="J53" s="765" t="e">
        <f>G53+H53+I53</f>
        <v>#DIV/0!</v>
      </c>
    </row>
    <row r="54" spans="3:14" ht="21">
      <c r="C54" s="660" t="s">
        <v>408</v>
      </c>
      <c r="D54" s="765"/>
      <c r="E54" s="771"/>
      <c r="F54" s="770"/>
      <c r="G54" s="756">
        <v>0</v>
      </c>
      <c r="H54" s="756">
        <v>0</v>
      </c>
      <c r="I54" s="756" t="e">
        <f>(D55*E55)+(D56*E56)+(D57*E57)+(D58*E58)+(D59*E59)+(D60*E60)+(D61*E61)</f>
        <v>#DIV/0!</v>
      </c>
      <c r="J54" s="765" t="e">
        <f>G54+H54+I54</f>
        <v>#DIV/0!</v>
      </c>
      <c r="L54" s="611"/>
      <c r="M54" s="611"/>
      <c r="N54" s="611"/>
    </row>
    <row r="55" spans="3:14" s="611" customFormat="1" ht="21">
      <c r="C55" s="660" t="str">
        <f>BASEBUDGETS!B1502</f>
        <v xml:space="preserve">   - Prowl</v>
      </c>
      <c r="D55" s="765">
        <f>BASEBUDGETS!D1502</f>
        <v>6.0625</v>
      </c>
      <c r="E55" s="775" t="e">
        <f>BASEBUDGETS!E1502/BASEBUDGETS!C1485</f>
        <v>#DIV/0!</v>
      </c>
      <c r="F55" s="769" t="str">
        <f>BASEBUDGETS!C1502</f>
        <v>pints</v>
      </c>
      <c r="G55" s="765"/>
      <c r="H55" s="765"/>
      <c r="I55" s="765"/>
      <c r="J55" s="765"/>
    </row>
    <row r="56" spans="3:14" s="611" customFormat="1" ht="21">
      <c r="C56" s="660" t="str">
        <f>BASEBUDGETS!B1503</f>
        <v xml:space="preserve">   - Aim</v>
      </c>
      <c r="D56" s="765">
        <f>BASEBUDGETS!D1503</f>
        <v>5.9375</v>
      </c>
      <c r="E56" s="775" t="e">
        <f>BASEBUDGETS!E1503/BASEBUDGETS!C1485</f>
        <v>#DIV/0!</v>
      </c>
      <c r="F56" s="769" t="str">
        <f>BASEBUDGETS!C1503</f>
        <v>ounces</v>
      </c>
      <c r="G56" s="765"/>
      <c r="H56" s="765"/>
      <c r="I56" s="765"/>
      <c r="J56" s="765"/>
    </row>
    <row r="57" spans="3:14" s="611" customFormat="1" ht="21">
      <c r="C57" s="660" t="str">
        <f>BASEBUDGETS!B1504</f>
        <v xml:space="preserve">   - Fusilade</v>
      </c>
      <c r="D57" s="765">
        <f>BASEBUDGETS!D1504</f>
        <v>1.25</v>
      </c>
      <c r="E57" s="775" t="e">
        <f>BASEBUDGETS!E1504/BASEBUDGETS!C1485</f>
        <v>#DIV/0!</v>
      </c>
      <c r="F57" s="769" t="str">
        <f>BASEBUDGETS!C1504</f>
        <v>ounces</v>
      </c>
      <c r="G57" s="765"/>
      <c r="H57" s="765"/>
      <c r="I57" s="765"/>
      <c r="J57" s="765"/>
    </row>
    <row r="58" spans="3:14" s="611" customFormat="1" ht="21">
      <c r="C58" s="660" t="str">
        <f>BASEBUDGETS!B1505</f>
        <v xml:space="preserve">   - Herbicides</v>
      </c>
      <c r="D58" s="765">
        <f>BASEBUDGETS!D1505</f>
        <v>90</v>
      </c>
      <c r="E58" s="775" t="e">
        <f>BASEBUDGETS!E1505/BASEBUDGETS!C1485</f>
        <v>#DIV/0!</v>
      </c>
      <c r="F58" s="769" t="str">
        <f>BASEBUDGETS!C1505</f>
        <v>acre</v>
      </c>
      <c r="G58" s="765"/>
      <c r="H58" s="765"/>
      <c r="I58" s="765"/>
      <c r="J58" s="765"/>
    </row>
    <row r="59" spans="3:14" s="611" customFormat="1" ht="21">
      <c r="C59" s="660" t="str">
        <f>BASEBUDGETS!B1506</f>
        <v xml:space="preserve">   - Herbicide - #2</v>
      </c>
      <c r="D59" s="765">
        <f>BASEBUDGETS!D1506</f>
        <v>0</v>
      </c>
      <c r="E59" s="775" t="e">
        <f>BASEBUDGETS!E1506/BASEBUDGETS!C1485</f>
        <v>#DIV/0!</v>
      </c>
      <c r="F59" s="769" t="str">
        <f>BASEBUDGETS!C1506</f>
        <v>acre</v>
      </c>
      <c r="G59" s="765"/>
      <c r="H59" s="765"/>
      <c r="I59" s="765"/>
      <c r="J59" s="765"/>
    </row>
    <row r="60" spans="3:14" s="611" customFormat="1" ht="21">
      <c r="C60" s="660" t="str">
        <f>BASEBUDGETS!B1507</f>
        <v xml:space="preserve">   - Insecticides</v>
      </c>
      <c r="D60" s="765">
        <f>BASEBUDGETS!D1507</f>
        <v>20</v>
      </c>
      <c r="E60" s="775" t="e">
        <f>BASEBUDGETS!E1507/BASEBUDGETS!C1485</f>
        <v>#DIV/0!</v>
      </c>
      <c r="F60" s="769" t="str">
        <f>BASEBUDGETS!C1507</f>
        <v>acre</v>
      </c>
      <c r="G60" s="765"/>
      <c r="H60" s="765"/>
      <c r="I60" s="765"/>
      <c r="J60" s="765"/>
    </row>
    <row r="61" spans="3:14" s="611" customFormat="1" ht="21">
      <c r="C61" s="660" t="str">
        <f>BASEBUDGETS!B1508</f>
        <v xml:space="preserve">   - Insecticide - #2</v>
      </c>
      <c r="D61" s="765">
        <f>BASEBUDGETS!D1508</f>
        <v>0</v>
      </c>
      <c r="E61" s="775" t="e">
        <f>BASEBUDGETS!E1508/BASEBUDGETS!C1485</f>
        <v>#DIV/0!</v>
      </c>
      <c r="F61" s="769" t="str">
        <f>BASEBUDGETS!C1508</f>
        <v>acre</v>
      </c>
      <c r="G61" s="765"/>
      <c r="H61" s="765"/>
      <c r="I61" s="765"/>
      <c r="J61" s="765"/>
    </row>
    <row r="62" spans="3:14" s="611" customFormat="1" ht="21">
      <c r="C62" s="660" t="str">
        <f>BASEBUDGETS!B1523</f>
        <v>Row Cultivator, Custom</v>
      </c>
      <c r="D62" s="765">
        <f>CustomOperations!M29</f>
        <v>0</v>
      </c>
      <c r="E62" s="771" t="e">
        <f>BASEBUDGETS!E1523/BASEBUDGETS!C1485</f>
        <v>#DIV/0!</v>
      </c>
      <c r="F62" s="770" t="str">
        <f>BASEBUDGETS!C1523</f>
        <v>acre</v>
      </c>
      <c r="G62" s="756">
        <v>0</v>
      </c>
      <c r="H62" s="756">
        <v>0</v>
      </c>
      <c r="I62" s="756" t="e">
        <f>IF(E62=0,0,BASEBUDGETS!D1523*E62)</f>
        <v>#DIV/0!</v>
      </c>
      <c r="J62" s="765" t="e">
        <f>G62+H62+I62</f>
        <v>#DIV/0!</v>
      </c>
    </row>
    <row r="63" spans="3:14" s="611" customFormat="1" ht="21">
      <c r="C63" s="660" t="str">
        <f>TillageOperations!$B$20</f>
        <v>Row Cultivator</v>
      </c>
      <c r="D63" s="765"/>
      <c r="E63" s="771" t="e">
        <f>BASEBUDGETS!E1558/BASEBUDGETS!C1485</f>
        <v>#DIV/0!</v>
      </c>
      <c r="F63" s="770" t="str">
        <f>BASEBUDGETS!C1558&amp;"s"</f>
        <v>acres</v>
      </c>
      <c r="G63" s="756" t="e">
        <f>IF(E63=0,0,BASEBUDGETS!D1559*E63)</f>
        <v>#DIV/0!</v>
      </c>
      <c r="H63" s="756" t="e">
        <f>IF(E63=0,0,BASEBUDGETS!D1558*E63)</f>
        <v>#DIV/0!</v>
      </c>
      <c r="I63" s="756">
        <v>0</v>
      </c>
      <c r="J63" s="765" t="e">
        <f>G63+H63+I63</f>
        <v>#DIV/0!</v>
      </c>
    </row>
    <row r="64" spans="3:14" s="611" customFormat="1" ht="21">
      <c r="C64" s="660" t="s">
        <v>151</v>
      </c>
      <c r="D64" s="765"/>
      <c r="E64" s="776" t="s">
        <v>10</v>
      </c>
      <c r="F64" s="777" t="s">
        <v>10</v>
      </c>
      <c r="G64" s="756" t="e">
        <f>(D66*E66)+(D69*E69)+(D72*E72)</f>
        <v>#DIV/0!</v>
      </c>
      <c r="H64" s="756">
        <v>0</v>
      </c>
      <c r="I64" s="765" t="e">
        <f>(D65*E65)+(D68*E68)+(D71*E71)+(D67*E67)+(D70*E70)+(D73*E73)</f>
        <v>#DIV/0!</v>
      </c>
      <c r="J64" s="765" t="e">
        <f>G64+H64+I64</f>
        <v>#DIV/0!</v>
      </c>
    </row>
    <row r="65" spans="2:10" s="611" customFormat="1" ht="21">
      <c r="B65" s="660"/>
      <c r="C65" s="660" t="str">
        <f>BASEBUDGETS!B1509</f>
        <v>Flood - Irrigation Water</v>
      </c>
      <c r="D65" s="765">
        <f>BASEBUDGETS!D1509</f>
        <v>55</v>
      </c>
      <c r="E65" s="775" t="e">
        <f>BASEBUDGETS!E1509/BASEBUDGETS!C$1485</f>
        <v>#DIV/0!</v>
      </c>
      <c r="F65" s="769" t="str">
        <f>BASEBUDGETS!C1509</f>
        <v>ac ft</v>
      </c>
      <c r="G65" s="756"/>
      <c r="H65" s="756"/>
      <c r="I65" s="765"/>
      <c r="J65" s="765"/>
    </row>
    <row r="66" spans="2:10" s="611" customFormat="1" ht="21">
      <c r="B66" s="660"/>
      <c r="C66" s="660" t="str">
        <f>BASEBUDGETS!B1510</f>
        <v>Flood - Irrigation Labor</v>
      </c>
      <c r="D66" s="765">
        <f>BASEBUDGETS!D1510</f>
        <v>14.55</v>
      </c>
      <c r="E66" s="775" t="e">
        <f>BASEBUDGETS!E1510/BASEBUDGETS!C$1485</f>
        <v>#DIV/0!</v>
      </c>
      <c r="F66" s="769" t="str">
        <f>BASEBUDGETS!C1510</f>
        <v>hour</v>
      </c>
      <c r="G66" s="756"/>
      <c r="H66" s="756"/>
      <c r="I66" s="765"/>
      <c r="J66" s="765"/>
    </row>
    <row r="67" spans="2:10" s="611" customFormat="1" ht="21">
      <c r="C67" s="660" t="str">
        <f>BASEBUDGETS!B1511</f>
        <v xml:space="preserve">   - Annual Repairs &amp; Maintenance</v>
      </c>
      <c r="D67" s="765">
        <f>BASEBUDGETS!D1511</f>
        <v>3</v>
      </c>
      <c r="E67" s="775" t="e">
        <f>BASEBUDGETS!E1511/BASEBUDGETS!C$1485</f>
        <v>#DIV/0!</v>
      </c>
      <c r="F67" s="769" t="str">
        <f>BASEBUDGETS!C1511</f>
        <v>acre</v>
      </c>
      <c r="G67" s="757"/>
      <c r="H67" s="757"/>
      <c r="I67" s="756"/>
      <c r="J67" s="778" t="s">
        <v>10</v>
      </c>
    </row>
    <row r="68" spans="2:10" s="611" customFormat="1" ht="21">
      <c r="C68" s="660" t="str">
        <f>BASEBUDGETS!B1512</f>
        <v>Drip-tape - Irrigation Water</v>
      </c>
      <c r="D68" s="765">
        <f>BASEBUDGETS!D1512</f>
        <v>55</v>
      </c>
      <c r="E68" s="775" t="e">
        <f>BASEBUDGETS!E1512/BASEBUDGETS!C$1485</f>
        <v>#DIV/0!</v>
      </c>
      <c r="F68" s="769" t="str">
        <f>BASEBUDGETS!C1512</f>
        <v>ac ft</v>
      </c>
      <c r="G68" s="756"/>
      <c r="H68" s="756"/>
      <c r="I68" s="756"/>
      <c r="J68" s="765"/>
    </row>
    <row r="69" spans="2:10" s="611" customFormat="1" ht="21">
      <c r="C69" s="660" t="str">
        <f>BASEBUDGETS!B1513</f>
        <v>Drip-tape - Irrigation Labor</v>
      </c>
      <c r="D69" s="765">
        <f>BASEBUDGETS!D1513</f>
        <v>14.55</v>
      </c>
      <c r="E69" s="775" t="e">
        <f>BASEBUDGETS!E1513/BASEBUDGETS!C$1485</f>
        <v>#DIV/0!</v>
      </c>
      <c r="F69" s="769" t="str">
        <f>BASEBUDGETS!C1513</f>
        <v>hour</v>
      </c>
      <c r="G69" s="756"/>
      <c r="H69" s="756"/>
      <c r="I69" s="756"/>
      <c r="J69" s="765"/>
    </row>
    <row r="70" spans="2:10" s="611" customFormat="1" ht="21">
      <c r="C70" s="660" t="str">
        <f>BASEBUDGETS!B1514</f>
        <v xml:space="preserve">   - Annual Repairs &amp; Maintenance</v>
      </c>
      <c r="D70" s="765">
        <f>BASEBUDGETS!D1514</f>
        <v>7.5</v>
      </c>
      <c r="E70" s="775" t="e">
        <f>BASEBUDGETS!E1514/BASEBUDGETS!C$1485</f>
        <v>#DIV/0!</v>
      </c>
      <c r="F70" s="769" t="str">
        <f>BASEBUDGETS!C1514</f>
        <v>acre</v>
      </c>
      <c r="G70" s="756"/>
      <c r="H70" s="756"/>
      <c r="I70" s="756"/>
      <c r="J70" s="765"/>
    </row>
    <row r="71" spans="2:10" s="611" customFormat="1" ht="21">
      <c r="C71" s="660" t="str">
        <f>BASEBUDGETS!B1515</f>
        <v>Sprinkler - Irrigation Water</v>
      </c>
      <c r="D71" s="765">
        <f>BASEBUDGETS!D1515</f>
        <v>55</v>
      </c>
      <c r="E71" s="775" t="e">
        <f>BASEBUDGETS!E1515/BASEBUDGETS!C$1485</f>
        <v>#DIV/0!</v>
      </c>
      <c r="F71" s="769" t="str">
        <f>BASEBUDGETS!C1515</f>
        <v>ac ft</v>
      </c>
      <c r="G71" s="756"/>
      <c r="H71" s="756"/>
      <c r="I71" s="756"/>
      <c r="J71" s="765"/>
    </row>
    <row r="72" spans="2:10" s="611" customFormat="1" ht="21">
      <c r="C72" s="660" t="str">
        <f>BASEBUDGETS!B1516</f>
        <v>Sprinkler - Irrigation Labor</v>
      </c>
      <c r="D72" s="765">
        <f>BASEBUDGETS!D1516</f>
        <v>14.55</v>
      </c>
      <c r="E72" s="775" t="e">
        <f>BASEBUDGETS!E1516/BASEBUDGETS!C$1485</f>
        <v>#DIV/0!</v>
      </c>
      <c r="F72" s="769" t="str">
        <f>BASEBUDGETS!C1516</f>
        <v>hour</v>
      </c>
      <c r="G72" s="756"/>
      <c r="H72" s="756"/>
      <c r="I72" s="756"/>
      <c r="J72" s="765"/>
    </row>
    <row r="73" spans="2:10" s="611" customFormat="1" ht="21">
      <c r="C73" s="660" t="str">
        <f>BASEBUDGETS!B1517</f>
        <v xml:space="preserve">   - Annual Repairs &amp; Maintenance</v>
      </c>
      <c r="D73" s="765">
        <f>BASEBUDGETS!D1517</f>
        <v>15</v>
      </c>
      <c r="E73" s="775" t="e">
        <f>BASEBUDGETS!E1517/BASEBUDGETS!C$1485</f>
        <v>#DIV/0!</v>
      </c>
      <c r="F73" s="769" t="str">
        <f>BASEBUDGETS!C1517</f>
        <v>acre</v>
      </c>
      <c r="G73" s="756"/>
      <c r="H73" s="756"/>
      <c r="I73" s="756"/>
      <c r="J73" s="765"/>
    </row>
    <row r="74" spans="2:10" s="611" customFormat="1" ht="21">
      <c r="C74" s="660" t="str">
        <f>BASEBUDGETS!B1595</f>
        <v>Additional Crop Prod. Labor</v>
      </c>
      <c r="D74" s="765">
        <f>GeneralInputPrices!$D$31</f>
        <v>14.55</v>
      </c>
      <c r="E74" s="771" t="e">
        <f>BASEBUDGETS!E1595/BASEBUDGETS!C1485</f>
        <v>#DIV/0!</v>
      </c>
      <c r="F74" s="770" t="str">
        <f>BASEBUDGETS!C1595</f>
        <v>hour</v>
      </c>
      <c r="G74" s="756" t="e">
        <f>D74*E74</f>
        <v>#DIV/0!</v>
      </c>
      <c r="H74" s="756">
        <v>0</v>
      </c>
      <c r="I74" s="756">
        <v>0</v>
      </c>
      <c r="J74" s="765" t="e">
        <f t="shared" ref="J74:J75" si="3">G74+H74+I74</f>
        <v>#DIV/0!</v>
      </c>
    </row>
    <row r="75" spans="2:10" s="611" customFormat="1" ht="21">
      <c r="C75" s="660" t="str">
        <f>BASEBUDGETS!B1596</f>
        <v>Additional Crop Prod. Labor</v>
      </c>
      <c r="D75" s="765">
        <f>GeneralInputPrices!$D$31</f>
        <v>14.55</v>
      </c>
      <c r="E75" s="771" t="e">
        <f>BASEBUDGETS!E1596/BASEBUDGETS!C1485</f>
        <v>#DIV/0!</v>
      </c>
      <c r="F75" s="770" t="str">
        <f>BASEBUDGETS!C1596</f>
        <v>hour</v>
      </c>
      <c r="G75" s="756" t="e">
        <f>D75*E75</f>
        <v>#DIV/0!</v>
      </c>
      <c r="H75" s="756">
        <v>0</v>
      </c>
      <c r="I75" s="756">
        <v>0</v>
      </c>
      <c r="J75" s="765" t="e">
        <f t="shared" si="3"/>
        <v>#DIV/0!</v>
      </c>
    </row>
    <row r="76" spans="2:10" s="611" customFormat="1" ht="21">
      <c r="B76" s="804" t="s">
        <v>44</v>
      </c>
      <c r="C76" s="804"/>
      <c r="D76" s="778"/>
      <c r="E76" s="758"/>
      <c r="F76" s="780" t="s">
        <v>10</v>
      </c>
      <c r="G76" s="777" t="s">
        <v>10</v>
      </c>
      <c r="H76" s="777" t="s">
        <v>10</v>
      </c>
      <c r="I76" s="777" t="s">
        <v>10</v>
      </c>
      <c r="J76" s="777" t="s">
        <v>10</v>
      </c>
    </row>
    <row r="77" spans="2:10" s="611" customFormat="1" ht="21">
      <c r="B77" s="779"/>
      <c r="C77" s="660" t="str">
        <f>BASEBUDGETS!B1518</f>
        <v>Harvest, Custom</v>
      </c>
      <c r="D77" s="765">
        <f>CustomOperations!M37</f>
        <v>25</v>
      </c>
      <c r="E77" s="771" t="e">
        <f>BASEBUDGETS!E1518/BASEBUDGETS!C1485</f>
        <v>#DIV/0!</v>
      </c>
      <c r="F77" s="770" t="str">
        <f>BASEBUDGETS!C1518</f>
        <v>acre</v>
      </c>
      <c r="G77" s="756">
        <v>0</v>
      </c>
      <c r="H77" s="756">
        <v>0</v>
      </c>
      <c r="I77" s="756" t="e">
        <f>IF(E77=0,0,BASEBUDGETS!D1518*E77)</f>
        <v>#DIV/0!</v>
      </c>
      <c r="J77" s="765" t="e">
        <f t="shared" ref="J77" si="4">G77+H77+I77</f>
        <v>#DIV/0!</v>
      </c>
    </row>
    <row r="78" spans="2:10" s="611" customFormat="1" ht="21">
      <c r="C78" s="660" t="str">
        <f>BASEBUDGETS!B1519</f>
        <v>Hauling, Custom</v>
      </c>
      <c r="D78" s="765">
        <f>CustomOperations!M39</f>
        <v>0</v>
      </c>
      <c r="E78" s="771" t="e">
        <f>BASEBUDGETS!E1519/BASEBUDGETS!C1485</f>
        <v>#DIV/0!</v>
      </c>
      <c r="F78" s="770" t="str">
        <f>BASEBUDGETS!C1519</f>
        <v>mile</v>
      </c>
      <c r="G78" s="756">
        <v>0</v>
      </c>
      <c r="H78" s="756">
        <v>0</v>
      </c>
      <c r="I78" s="756" t="e">
        <f>IF(E78=0,0,BASEBUDGETS!D1519*E78)</f>
        <v>#DIV/0!</v>
      </c>
      <c r="J78" s="765" t="e">
        <f t="shared" ref="J78:J88" si="5">G78+H78+I78</f>
        <v>#DIV/0!</v>
      </c>
    </row>
    <row r="79" spans="2:10" s="611" customFormat="1" ht="21">
      <c r="C79" s="660" t="str">
        <f>BASEBUDGETS!B1520</f>
        <v>Gin Cotton/Drying/Swathing, Custom</v>
      </c>
      <c r="D79" s="765">
        <f>CustomOperations!M41</f>
        <v>0</v>
      </c>
      <c r="E79" s="771" t="e">
        <f>BASEBUDGETS!E1520/BASEBUDGETS!C1485</f>
        <v>#DIV/0!</v>
      </c>
      <c r="F79" s="770" t="str">
        <f>BASEBUDGETS!C1520</f>
        <v>bale</v>
      </c>
      <c r="G79" s="756">
        <v>0</v>
      </c>
      <c r="H79" s="756">
        <v>0</v>
      </c>
      <c r="I79" s="756" t="e">
        <f>IF(E79=0,0,BASEBUDGETS!D1520*E79)</f>
        <v>#DIV/0!</v>
      </c>
      <c r="J79" s="765" t="e">
        <f t="shared" si="5"/>
        <v>#DIV/0!</v>
      </c>
    </row>
    <row r="80" spans="2:10" s="611" customFormat="1" ht="21">
      <c r="C80" s="660" t="str">
        <f>TillageOperations!$B$27</f>
        <v>Cotton Picker</v>
      </c>
      <c r="D80" s="765"/>
      <c r="E80" s="771" t="e">
        <f>BASEBUDGETS!E1562/BASEBUDGETS!C1485</f>
        <v>#DIV/0!</v>
      </c>
      <c r="F80" s="770" t="str">
        <f>BASEBUDGETS!C1562</f>
        <v>acre</v>
      </c>
      <c r="G80" s="756" t="e">
        <f>IF(E80=0,0,BASEBUDGETS!D1563*E80)</f>
        <v>#DIV/0!</v>
      </c>
      <c r="H80" s="756" t="e">
        <f>IF(E80=0,0,BASEBUDGETS!D1562*E80)</f>
        <v>#DIV/0!</v>
      </c>
      <c r="I80" s="756">
        <v>0</v>
      </c>
      <c r="J80" s="765" t="e">
        <f t="shared" si="5"/>
        <v>#DIV/0!</v>
      </c>
    </row>
    <row r="81" spans="2:10" s="611" customFormat="1" ht="21">
      <c r="C81" s="781" t="s">
        <v>287</v>
      </c>
      <c r="D81" s="765"/>
      <c r="E81" s="771" t="e">
        <f>BASEBUDGETS!E1564/BASEBUDGETS!C1485</f>
        <v>#DIV/0!</v>
      </c>
      <c r="F81" s="770" t="str">
        <f>BASEBUDGETS!C1564</f>
        <v>acre</v>
      </c>
      <c r="G81" s="756" t="e">
        <f>IF(E81=0,0,BASEBUDGETS!D1565*E81)</f>
        <v>#DIV/0!</v>
      </c>
      <c r="H81" s="756" t="e">
        <f>IF(E81=0,0,BASEBUDGETS!D1564*E81)</f>
        <v>#DIV/0!</v>
      </c>
      <c r="I81" s="756">
        <v>0</v>
      </c>
      <c r="J81" s="765" t="e">
        <f t="shared" ref="J81" si="6">G81+H81+I81</f>
        <v>#DIV/0!</v>
      </c>
    </row>
    <row r="82" spans="2:10" s="611" customFormat="1" ht="21">
      <c r="C82" s="660" t="str">
        <f>TillageOperations!$B$29</f>
        <v>Haul Cotton</v>
      </c>
      <c r="D82" s="765"/>
      <c r="E82" s="771" t="e">
        <f>BASEBUDGETS!E1566/BASEBUDGETS!C1485</f>
        <v>#DIV/0!</v>
      </c>
      <c r="F82" s="770" t="str">
        <f>BASEBUDGETS!C1566</f>
        <v>acre</v>
      </c>
      <c r="G82" s="756" t="e">
        <f>IF(E82=0,0,BASEBUDGETS!D1567*E82)</f>
        <v>#DIV/0!</v>
      </c>
      <c r="H82" s="756" t="e">
        <f>IF(E82=0,0,BASEBUDGETS!D1566*E82)</f>
        <v>#DIV/0!</v>
      </c>
      <c r="I82" s="756">
        <v>0</v>
      </c>
      <c r="J82" s="765" t="e">
        <f t="shared" si="5"/>
        <v>#DIV/0!</v>
      </c>
    </row>
    <row r="83" spans="2:10" s="611" customFormat="1" ht="21">
      <c r="C83" s="660" t="str">
        <f>TillageOperations!$B$30</f>
        <v>Combine</v>
      </c>
      <c r="D83" s="765"/>
      <c r="E83" s="771" t="e">
        <f>BASEBUDGETS!E1570/BASEBUDGETS!C1485</f>
        <v>#DIV/0!</v>
      </c>
      <c r="F83" s="770" t="str">
        <f>BASEBUDGETS!C1570</f>
        <v>acre</v>
      </c>
      <c r="G83" s="756" t="e">
        <f>IF(E83=0,0,BASEBUDGETS!D1571*E83)</f>
        <v>#DIV/0!</v>
      </c>
      <c r="H83" s="756" t="e">
        <f>IF(E83=0,0,BASEBUDGETS!D1570*E83)</f>
        <v>#DIV/0!</v>
      </c>
      <c r="I83" s="756">
        <v>0</v>
      </c>
      <c r="J83" s="765" t="e">
        <f t="shared" si="5"/>
        <v>#DIV/0!</v>
      </c>
    </row>
    <row r="84" spans="2:10" s="611" customFormat="1" ht="21">
      <c r="C84" s="660" t="str">
        <f>TillageOperations!$B$31</f>
        <v>Grain Cart</v>
      </c>
      <c r="D84" s="765"/>
      <c r="E84" s="771" t="e">
        <f>BASEBUDGETS!E1572/BASEBUDGETS!C1485</f>
        <v>#DIV/0!</v>
      </c>
      <c r="F84" s="770" t="str">
        <f>BASEBUDGETS!C1572</f>
        <v>acre</v>
      </c>
      <c r="G84" s="756" t="e">
        <f>IF(E84=0,0,BASEBUDGETS!D1573*E84)</f>
        <v>#DIV/0!</v>
      </c>
      <c r="H84" s="756" t="e">
        <f>IF(E84=0,0,BASEBUDGETS!D1572*E84)</f>
        <v>#DIV/0!</v>
      </c>
      <c r="I84" s="756">
        <v>0</v>
      </c>
      <c r="J84" s="765" t="e">
        <f t="shared" si="5"/>
        <v>#DIV/0!</v>
      </c>
    </row>
    <row r="85" spans="2:10" s="611" customFormat="1" ht="21">
      <c r="C85" s="660" t="str">
        <f>TillageOperations!$B$32</f>
        <v>Swather</v>
      </c>
      <c r="D85" s="765"/>
      <c r="E85" s="771" t="e">
        <f>BASEBUDGETS!E1574/BASEBUDGETS!C1485</f>
        <v>#DIV/0!</v>
      </c>
      <c r="F85" s="770" t="str">
        <f>BASEBUDGETS!C1574</f>
        <v>acre</v>
      </c>
      <c r="G85" s="756" t="e">
        <f>IF(E85=0,0,BASEBUDGETS!D1575*E85)</f>
        <v>#DIV/0!</v>
      </c>
      <c r="H85" s="756" t="e">
        <f>IF(E85=0,0,BASEBUDGETS!D1574*E85)</f>
        <v>#DIV/0!</v>
      </c>
      <c r="I85" s="756">
        <v>0</v>
      </c>
      <c r="J85" s="765" t="e">
        <f t="shared" si="5"/>
        <v>#DIV/0!</v>
      </c>
    </row>
    <row r="86" spans="2:10" s="611" customFormat="1" ht="21">
      <c r="C86" s="660" t="str">
        <f>TillageOperations!$B$33</f>
        <v>Baler</v>
      </c>
      <c r="D86" s="765"/>
      <c r="E86" s="771" t="e">
        <f>BASEBUDGETS!E1576/BASEBUDGETS!C1485</f>
        <v>#DIV/0!</v>
      </c>
      <c r="F86" s="770" t="str">
        <f>BASEBUDGETS!C1576</f>
        <v>acre</v>
      </c>
      <c r="G86" s="756" t="e">
        <f>IF(E86=0,0,BASEBUDGETS!D1577*E86)</f>
        <v>#DIV/0!</v>
      </c>
      <c r="H86" s="756" t="e">
        <f>IF(E86=0,0,BASEBUDGETS!D1576*E86)</f>
        <v>#DIV/0!</v>
      </c>
      <c r="I86" s="756" t="e">
        <f>IF(E86=0,0,D89*E89)</f>
        <v>#DIV/0!</v>
      </c>
      <c r="J86" s="765" t="e">
        <f t="shared" si="5"/>
        <v>#DIV/0!</v>
      </c>
    </row>
    <row r="87" spans="2:10" s="611" customFormat="1" ht="21">
      <c r="C87" s="660" t="str">
        <f>TillageOperations!$B$34</f>
        <v>Swather</v>
      </c>
      <c r="D87" s="765"/>
      <c r="E87" s="771" t="e">
        <f>BASEBUDGETS!E1578/BASEBUDGETS!C1485</f>
        <v>#DIV/0!</v>
      </c>
      <c r="F87" s="770" t="str">
        <f>BASEBUDGETS!C1578</f>
        <v>acre</v>
      </c>
      <c r="G87" s="756" t="e">
        <f>IF(E87=0,0,BASEBUDGETS!D1579*E87)</f>
        <v>#DIV/0!</v>
      </c>
      <c r="H87" s="756" t="e">
        <f>IF(E87=0,0,BASEBUDGETS!D1578*E87)</f>
        <v>#DIV/0!</v>
      </c>
      <c r="I87" s="756">
        <v>0</v>
      </c>
      <c r="J87" s="765" t="e">
        <f t="shared" si="5"/>
        <v>#DIV/0!</v>
      </c>
    </row>
    <row r="88" spans="2:10" s="611" customFormat="1" ht="21">
      <c r="C88" s="660" t="str">
        <f>TillageOperations!$B$35</f>
        <v>Baler</v>
      </c>
      <c r="D88" s="765"/>
      <c r="E88" s="771" t="e">
        <f>BASEBUDGETS!E1580/BASEBUDGETS!C1485</f>
        <v>#DIV/0!</v>
      </c>
      <c r="F88" s="770" t="str">
        <f>BASEBUDGETS!C1580</f>
        <v>acre</v>
      </c>
      <c r="G88" s="756" t="e">
        <f>IF(E88=0,0,BASEBUDGETS!D1581*E88)</f>
        <v>#DIV/0!</v>
      </c>
      <c r="H88" s="756" t="e">
        <f>IF(E88=0,0,BASEBUDGETS!D1580*E88)</f>
        <v>#DIV/0!</v>
      </c>
      <c r="I88" s="756" t="e">
        <f>IF(E88=0,0,D89*E89)</f>
        <v>#DIV/0!</v>
      </c>
      <c r="J88" s="765" t="e">
        <f t="shared" si="5"/>
        <v>#DIV/0!</v>
      </c>
    </row>
    <row r="89" spans="2:10" s="611" customFormat="1" ht="21">
      <c r="C89" s="660" t="str">
        <f>'Inputs&amp;PricesbyCrop'!$B$31</f>
        <v xml:space="preserve">   - Baling Twine</v>
      </c>
      <c r="D89" s="765">
        <f>BASEBUDGETS!D1582</f>
        <v>0</v>
      </c>
      <c r="E89" s="775" t="e">
        <f>BASEBUDGETS!E1582/BASEBUDGETS!C1485</f>
        <v>#DIV/0!</v>
      </c>
      <c r="F89" s="769" t="str">
        <f>'Inputs&amp;PricesbyCrop'!$C$31</f>
        <v>acre</v>
      </c>
      <c r="G89" s="756"/>
      <c r="H89" s="756"/>
      <c r="I89" s="756"/>
      <c r="J89" s="765"/>
    </row>
    <row r="90" spans="2:10" s="611" customFormat="1" ht="21">
      <c r="C90" s="660" t="str">
        <f>TillageOperations!$B$36</f>
        <v>Bale Wagon</v>
      </c>
      <c r="D90" s="765"/>
      <c r="E90" s="771" t="e">
        <f>BASEBUDGETS!E1583/BASEBUDGETS!C1485</f>
        <v>#DIV/0!</v>
      </c>
      <c r="F90" s="770" t="str">
        <f>BASEBUDGETS!C1583</f>
        <v>acre</v>
      </c>
      <c r="G90" s="756" t="e">
        <f>IF(E90=0,0,BASEBUDGETS!D1584*E90)</f>
        <v>#DIV/0!</v>
      </c>
      <c r="H90" s="756" t="e">
        <f>IF(E90=0,0,BASEBUDGETS!D1583*E90)</f>
        <v>#DIV/0!</v>
      </c>
      <c r="I90" s="756">
        <v>0</v>
      </c>
      <c r="J90" s="765" t="e">
        <f t="shared" ref="J90:J92" si="7">G90+H90+I90</f>
        <v>#DIV/0!</v>
      </c>
    </row>
    <row r="91" spans="2:10" s="611" customFormat="1" ht="21">
      <c r="C91" s="660" t="str">
        <f>BASEBUDGETS!B1597</f>
        <v>Additional Harvest Labor</v>
      </c>
      <c r="D91" s="765">
        <f>GeneralInputPrices!$D$32</f>
        <v>17.89</v>
      </c>
      <c r="E91" s="771" t="e">
        <f>BASEBUDGETS!E1597/BASEBUDGETS!C1485</f>
        <v>#DIV/0!</v>
      </c>
      <c r="F91" s="770" t="str">
        <f>BASEBUDGETS!C1597</f>
        <v>hour</v>
      </c>
      <c r="G91" s="756" t="e">
        <f>D91*E91</f>
        <v>#DIV/0!</v>
      </c>
      <c r="H91" s="756">
        <v>0</v>
      </c>
      <c r="I91" s="756">
        <v>0</v>
      </c>
      <c r="J91" s="765" t="e">
        <f t="shared" si="7"/>
        <v>#DIV/0!</v>
      </c>
    </row>
    <row r="92" spans="2:10" s="611" customFormat="1" ht="21">
      <c r="C92" s="660" t="str">
        <f>BASEBUDGETS!B1598</f>
        <v>Additional Harvest Labor</v>
      </c>
      <c r="D92" s="765">
        <f>GeneralInputPrices!$D$32</f>
        <v>17.89</v>
      </c>
      <c r="E92" s="771" t="e">
        <f>BASEBUDGETS!E1598/BASEBUDGETS!C1485</f>
        <v>#DIV/0!</v>
      </c>
      <c r="F92" s="770" t="str">
        <f>BASEBUDGETS!C1598</f>
        <v>hour</v>
      </c>
      <c r="G92" s="756" t="e">
        <f>D92*E92</f>
        <v>#DIV/0!</v>
      </c>
      <c r="H92" s="756">
        <v>0</v>
      </c>
      <c r="I92" s="756">
        <v>0</v>
      </c>
      <c r="J92" s="765" t="e">
        <f t="shared" si="7"/>
        <v>#DIV/0!</v>
      </c>
    </row>
    <row r="93" spans="2:10" s="611" customFormat="1" ht="21">
      <c r="B93" s="760" t="s">
        <v>184</v>
      </c>
      <c r="C93" s="760"/>
      <c r="D93" s="765"/>
      <c r="E93" s="771"/>
      <c r="F93" s="770"/>
      <c r="G93" s="756"/>
      <c r="H93" s="756"/>
      <c r="I93" s="756"/>
      <c r="J93" s="765"/>
    </row>
    <row r="94" spans="2:10" s="611" customFormat="1" ht="21">
      <c r="C94" s="660" t="str">
        <f>BASEBUDGETS!B1599</f>
        <v>Other Expenses</v>
      </c>
      <c r="D94" s="765"/>
      <c r="E94" s="783">
        <f>BASEBUDGETS!D1599</f>
        <v>0.05</v>
      </c>
      <c r="F94" s="780" t="s">
        <v>10</v>
      </c>
      <c r="G94" s="756">
        <v>0</v>
      </c>
      <c r="H94" s="756">
        <v>0</v>
      </c>
      <c r="I94" s="756" t="e">
        <f>SUM(J9:J92)*E94</f>
        <v>#DIV/0!</v>
      </c>
      <c r="J94" s="765" t="e">
        <f>G94+H94+I94</f>
        <v>#DIV/0!</v>
      </c>
    </row>
    <row r="95" spans="2:10" s="611" customFormat="1" ht="21">
      <c r="C95" s="660" t="str">
        <f>BASEBUDGETS!B1600</f>
        <v>Interest on Operating Capital</v>
      </c>
      <c r="D95" s="765"/>
      <c r="E95" s="783">
        <f>BASEBUDGETS!D1600</f>
        <v>0.06</v>
      </c>
      <c r="F95" s="780" t="s">
        <v>10</v>
      </c>
      <c r="G95" s="784">
        <v>0</v>
      </c>
      <c r="H95" s="784">
        <v>0</v>
      </c>
      <c r="I95" s="784" t="e">
        <f>SUM(J9:J94)*((E95/12)*GeneralInputPrices!$D$39)</f>
        <v>#DIV/0!</v>
      </c>
      <c r="J95" s="785" t="e">
        <f>G95+H95+I95</f>
        <v>#DIV/0!</v>
      </c>
    </row>
    <row r="96" spans="2:10" s="611" customFormat="1" ht="21">
      <c r="B96" s="760" t="s">
        <v>153</v>
      </c>
      <c r="C96" s="760"/>
      <c r="D96" s="760"/>
      <c r="E96" s="760"/>
      <c r="F96" s="760"/>
      <c r="G96" s="756" t="e">
        <f>SUM(G9:G95)</f>
        <v>#DIV/0!</v>
      </c>
      <c r="H96" s="756" t="e">
        <f>SUM(H9:H95)</f>
        <v>#DIV/0!</v>
      </c>
      <c r="I96" s="756" t="e">
        <f>SUM(I9:I95)</f>
        <v>#DIV/0!</v>
      </c>
      <c r="J96" s="756" t="e">
        <f>SUM(J9:J95)</f>
        <v>#DIV/0!</v>
      </c>
    </row>
    <row r="97" spans="2:14" s="611" customFormat="1">
      <c r="D97" s="786"/>
      <c r="E97" s="774"/>
      <c r="G97" s="757"/>
      <c r="H97" s="757"/>
      <c r="I97" s="757"/>
      <c r="J97" s="757"/>
    </row>
    <row r="98" spans="2:14" s="611" customFormat="1" ht="21">
      <c r="B98" s="805" t="s">
        <v>78</v>
      </c>
      <c r="C98" s="805"/>
      <c r="D98" s="805"/>
      <c r="E98" s="805"/>
      <c r="F98" s="805"/>
      <c r="G98" s="791"/>
      <c r="H98" s="792" t="s">
        <v>1</v>
      </c>
      <c r="I98" s="767" t="s">
        <v>24</v>
      </c>
      <c r="J98" s="767" t="s">
        <v>0</v>
      </c>
    </row>
    <row r="99" spans="2:14" s="611" customFormat="1" ht="21">
      <c r="B99" s="760" t="str">
        <f>BASEBUDGETS!B1635</f>
        <v>Crop Insurance</v>
      </c>
      <c r="C99" s="760"/>
      <c r="D99" s="760"/>
      <c r="E99" s="760"/>
      <c r="F99" s="760"/>
      <c r="G99" s="757"/>
      <c r="H99" s="770" t="str">
        <f>BASEBUDGETS!C1635</f>
        <v>acre</v>
      </c>
      <c r="I99" s="756" t="e">
        <f>BASEBUDGETS!F1635/BASEBUDGETS!C1485</f>
        <v>#DIV/0!</v>
      </c>
      <c r="J99" s="756" t="e">
        <f>I99</f>
        <v>#DIV/0!</v>
      </c>
    </row>
    <row r="100" spans="2:14" s="611" customFormat="1" ht="21">
      <c r="B100" s="760" t="str">
        <f>BASEBUDGETS!B1636</f>
        <v>Property Insurance</v>
      </c>
      <c r="C100" s="760"/>
      <c r="D100" s="760"/>
      <c r="E100" s="760"/>
      <c r="F100" s="760"/>
      <c r="G100" s="757"/>
      <c r="H100" s="770" t="str">
        <f>BASEBUDGETS!C1636</f>
        <v>acre</v>
      </c>
      <c r="I100" s="756" t="e">
        <f>BASEBUDGETS!F1636/BASEBUDGETS!C1485</f>
        <v>#DIV/0!</v>
      </c>
      <c r="J100" s="756" t="e">
        <f>I100</f>
        <v>#DIV/0!</v>
      </c>
    </row>
    <row r="101" spans="2:14" s="611" customFormat="1" ht="21">
      <c r="B101" s="760" t="str">
        <f>BASEBUDGETS!B1637</f>
        <v>Property Taxes</v>
      </c>
      <c r="C101" s="760"/>
      <c r="D101" s="760"/>
      <c r="E101" s="760"/>
      <c r="F101" s="760"/>
      <c r="G101" s="757"/>
      <c r="H101" s="770" t="str">
        <f>BASEBUDGETS!C1637</f>
        <v>acre</v>
      </c>
      <c r="I101" s="756" t="e">
        <f>BASEBUDGETS!F1637/BASEBUDGETS!C1485</f>
        <v>#DIV/0!</v>
      </c>
      <c r="J101" s="756" t="e">
        <f t="shared" ref="J101:J104" si="8">I101</f>
        <v>#DIV/0!</v>
      </c>
    </row>
    <row r="102" spans="2:14" s="611" customFormat="1" ht="21">
      <c r="B102" s="760" t="str">
        <f>BASEBUDGETS!B1640</f>
        <v>Licenses and Fees</v>
      </c>
      <c r="C102" s="760"/>
      <c r="D102" s="760"/>
      <c r="E102" s="760"/>
      <c r="F102" s="760"/>
      <c r="G102" s="757"/>
      <c r="H102" s="770" t="str">
        <f>BASEBUDGETS!C1640</f>
        <v>acre</v>
      </c>
      <c r="I102" s="756" t="e">
        <f>BASEBUDGETS!F1640/BASEBUDGETS!C1485</f>
        <v>#DIV/0!</v>
      </c>
      <c r="J102" s="756" t="e">
        <f t="shared" si="8"/>
        <v>#DIV/0!</v>
      </c>
    </row>
    <row r="103" spans="2:14" s="611" customFormat="1" ht="21">
      <c r="B103" s="794" t="s">
        <v>484</v>
      </c>
      <c r="C103" s="794"/>
      <c r="D103" s="794"/>
      <c r="E103" s="794"/>
      <c r="F103" s="756"/>
      <c r="G103" s="756"/>
      <c r="H103" s="770" t="s">
        <v>157</v>
      </c>
      <c r="I103" s="756">
        <f>IF('AcresYieldsPrices&amp;Water'!D9=0,0,((Fallow!$L$17*'AcresYieldsPrices&amp;Water'!T17)/'AcresYieldsPrices&amp;Water'!D11)*-1)</f>
        <v>0</v>
      </c>
      <c r="J103" s="765">
        <f>I103</f>
        <v>0</v>
      </c>
      <c r="M103" s="757">
        <f>I103*'AcresYieldsPrices&amp;Water'!D11</f>
        <v>0</v>
      </c>
    </row>
    <row r="104" spans="2:14" s="611" customFormat="1" ht="21">
      <c r="B104" s="760" t="str">
        <f>BASEBUDGETS!B1638</f>
        <v>Annual Cash Rent Payment</v>
      </c>
      <c r="C104" s="760"/>
      <c r="D104" s="760"/>
      <c r="E104" s="760"/>
      <c r="F104" s="760"/>
      <c r="G104" s="757"/>
      <c r="H104" s="770" t="str">
        <f>BASEBUDGETS!C1638</f>
        <v>acre</v>
      </c>
      <c r="I104" s="756" t="e">
        <f>BASEBUDGETS!F1638/BASEBUDGETS!C1485</f>
        <v>#DIV/0!</v>
      </c>
      <c r="J104" s="784" t="e">
        <f t="shared" si="8"/>
        <v>#DIV/0!</v>
      </c>
    </row>
    <row r="105" spans="2:14" s="611" customFormat="1" ht="21">
      <c r="B105" s="760" t="s">
        <v>79</v>
      </c>
      <c r="C105" s="760"/>
      <c r="D105" s="760"/>
      <c r="E105" s="760"/>
      <c r="F105" s="760"/>
      <c r="G105" s="756"/>
      <c r="H105" s="756"/>
      <c r="I105" s="756"/>
      <c r="J105" s="765" t="e">
        <f>SUM(J99:J104)</f>
        <v>#DIV/0!</v>
      </c>
    </row>
    <row r="106" spans="2:14" ht="20.100000000000001" customHeight="1">
      <c r="J106" s="786"/>
      <c r="L106" s="611"/>
      <c r="M106" s="611"/>
      <c r="N106" s="611"/>
    </row>
    <row r="107" spans="2:14" s="611" customFormat="1" ht="21">
      <c r="B107" s="787" t="s">
        <v>154</v>
      </c>
      <c r="C107" s="787"/>
      <c r="D107" s="788"/>
      <c r="E107" s="789"/>
      <c r="F107" s="790"/>
      <c r="G107" s="791"/>
      <c r="H107" s="792" t="s">
        <v>1</v>
      </c>
      <c r="I107" s="767" t="s">
        <v>24</v>
      </c>
      <c r="J107" s="767" t="s">
        <v>0</v>
      </c>
    </row>
    <row r="108" spans="2:14" s="611" customFormat="1" ht="21">
      <c r="B108" s="760" t="s">
        <v>534</v>
      </c>
      <c r="C108" s="760"/>
      <c r="D108" s="760"/>
      <c r="E108" s="760"/>
      <c r="F108" s="760"/>
      <c r="G108" s="760"/>
      <c r="H108" s="770" t="s">
        <v>157</v>
      </c>
      <c r="I108" s="756" t="e">
        <f>SUM(BASEBUDGETS!F1604:F1606)/BASEBUDGETS!C1485</f>
        <v>#DIV/0!</v>
      </c>
      <c r="J108" s="765" t="e">
        <f>I108</f>
        <v>#DIV/0!</v>
      </c>
      <c r="M108" s="757" t="e">
        <f>I108*'AcresYieldsPrices&amp;Water'!D11</f>
        <v>#DIV/0!</v>
      </c>
    </row>
    <row r="109" spans="2:14" s="611" customFormat="1" ht="21">
      <c r="B109" s="794" t="s">
        <v>156</v>
      </c>
      <c r="C109" s="794"/>
      <c r="D109" s="794"/>
      <c r="E109" s="794"/>
      <c r="F109" s="794"/>
      <c r="G109" s="756"/>
      <c r="H109" s="770" t="str">
        <f>BASEBUDGETS!C1604</f>
        <v>acre</v>
      </c>
      <c r="I109" s="758" t="e">
        <f>SUM(BASEBUDGETS!F1607:F1634)/BASEBUDGETS!C1485</f>
        <v>#DIV/0!</v>
      </c>
      <c r="J109" s="797" t="e">
        <f>I109</f>
        <v>#DIV/0!</v>
      </c>
    </row>
    <row r="110" spans="2:14" s="611" customFormat="1" ht="21">
      <c r="B110" s="807" t="s">
        <v>77</v>
      </c>
      <c r="C110" s="807"/>
      <c r="D110" s="807"/>
      <c r="E110" s="807"/>
      <c r="F110" s="807"/>
      <c r="G110" s="756"/>
      <c r="H110" s="756"/>
      <c r="I110" s="756"/>
      <c r="J110" s="765" t="e">
        <f>J109+J108</f>
        <v>#DIV/0!</v>
      </c>
    </row>
    <row r="111" spans="2:14" s="611" customFormat="1" ht="21">
      <c r="B111" s="660"/>
      <c r="C111" s="660"/>
      <c r="D111" s="765"/>
      <c r="E111" s="758"/>
      <c r="F111" s="660"/>
      <c r="G111" s="756"/>
      <c r="H111" s="756"/>
      <c r="I111" s="756"/>
      <c r="J111" s="765"/>
    </row>
    <row r="112" spans="2:14" s="611" customFormat="1" ht="20.399999999999999">
      <c r="B112" s="808" t="s">
        <v>63</v>
      </c>
      <c r="C112" s="808"/>
      <c r="D112" s="808"/>
      <c r="E112" s="808"/>
      <c r="F112" s="808"/>
      <c r="G112" s="764"/>
      <c r="H112" s="764"/>
      <c r="I112" s="764"/>
      <c r="J112" s="801">
        <f>IF(I4=0,0,J96+J105+J110)</f>
        <v>0</v>
      </c>
    </row>
    <row r="113" spans="2:14" ht="20.399999999999999">
      <c r="B113" s="805" t="s">
        <v>64</v>
      </c>
      <c r="C113" s="805"/>
      <c r="D113" s="805"/>
      <c r="E113" s="805"/>
      <c r="F113" s="805"/>
      <c r="G113" s="803"/>
      <c r="H113" s="803"/>
      <c r="I113" s="803"/>
      <c r="J113" s="788">
        <f>J5-J112</f>
        <v>0</v>
      </c>
      <c r="L113" s="611"/>
      <c r="M113" s="611"/>
      <c r="N113" s="611"/>
    </row>
    <row r="114" spans="2:14">
      <c r="L114" s="611"/>
      <c r="M114" s="611"/>
      <c r="N114" s="611"/>
    </row>
    <row r="115" spans="2:14">
      <c r="L115" s="611"/>
      <c r="M115" s="611"/>
      <c r="N115" s="611"/>
    </row>
    <row r="116" spans="2:14">
      <c r="L116" s="611"/>
      <c r="M116" s="611"/>
      <c r="N116" s="611"/>
    </row>
    <row r="117" spans="2:14">
      <c r="L117" s="611"/>
      <c r="M117" s="611"/>
      <c r="N117" s="611"/>
    </row>
    <row r="118" spans="2:14">
      <c r="L118" s="611"/>
      <c r="M118" s="611"/>
      <c r="N118" s="611"/>
    </row>
  </sheetData>
  <sheetProtection algorithmName="SHA-512" hashValue="nEwVe0P/SxqDpPTqlR/geJ+bl1zwLzLTAr1ah1EGEwPDuPW/6yq1hmvyDLdy+++jEdrTTm5DfusGdb5yCwRYMQ==" saltValue="FaYntFnxOfpNyQm2nALM5w==" spinCount="100000" sheet="1" objects="1" scenarios="1"/>
  <mergeCells count="22">
    <mergeCell ref="B110:F110"/>
    <mergeCell ref="B93:C93"/>
    <mergeCell ref="B96:F96"/>
    <mergeCell ref="B98:F98"/>
    <mergeCell ref="B99:F99"/>
    <mergeCell ref="B100:F100"/>
    <mergeCell ref="G2:I2"/>
    <mergeCell ref="B4:E4"/>
    <mergeCell ref="B112:F112"/>
    <mergeCell ref="B113:F113"/>
    <mergeCell ref="B101:F101"/>
    <mergeCell ref="B102:F102"/>
    <mergeCell ref="B104:F104"/>
    <mergeCell ref="B105:F105"/>
    <mergeCell ref="B109:F109"/>
    <mergeCell ref="B103:E103"/>
    <mergeCell ref="B2:F2"/>
    <mergeCell ref="B3:C3"/>
    <mergeCell ref="B8:C8"/>
    <mergeCell ref="B31:C31"/>
    <mergeCell ref="B108:G108"/>
    <mergeCell ref="B76:C76"/>
  </mergeCells>
  <pageMargins left="0.7" right="0.7" top="0.75" bottom="0.75" header="0.3" footer="0.3"/>
  <pageSetup scale="32" fitToHeight="2" orientation="portrait" horizontalDpi="0" verticalDpi="0"/>
  <ignoredErrors>
    <ignoredError sqref="B5:E5 B31:C31 B109:H109 B4 B9:C17 G9:J17 B93:J93 G4:J5 F4:F17 C29:C30 B95:J97 B94:H94 J94 B34:C34 B55:C61 F45:J51 F53:H53 F52:H52 F76:J76 B76:C76 B112:J113 F31:J34 C36 B104:J105 G99:J99 B43:C43 B38:C39 B18:C27 B74:C75 B67 G67:J67 B107:J107 B111:J111 B101:J102 I103:J103 B110:J110 B80:C82 B45:C51 B42:C42 C35 J35 B40:C41 G2 E9:E17 B32:C33 E32:E33 E40:H41 B53:C53 B52:C52 E52 B63:C65 B62:C62 E62:J62 B78:C79 E78:J79 E31 E29:J30 E34 E55:J61 E76 E36:J36 E43:H43 E38:H39 E18:J27 E74:J75 E80:J82 E45:E51 E42:H42 E35:H35 E53 E63:J63 D63:D65 D53 D35 D42 D45:D51 D80:D82 D74:D75 D18:D27 D38:D39 D43 D36 D76 D55:D61 D34 D29:D30 D31 D9:D17 D32:D33 D62 D44 D37 D40:D41 D52 D54 B83:C92 E83:J92 D83:D92 C28:J28 I38:J39 J40:J41 J42 J43 J37 I37 I44:J44 I43 I42 I40:I41 C77 J52:J53 I54:J54 I52:I53 F65:J65 B68:B73 G68:J73 C66:F73 E64:F64 C100:J100 E77:J77 D77:D79 I109:J109 I108:J108 I64:J64" unlockedFormula="1"/>
  </ignoredErrors>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01BD-E2DC-4348-80C1-BE632C5824A9}">
  <sheetPr codeName="Sheet24">
    <pageSetUpPr fitToPage="1"/>
  </sheetPr>
  <dimension ref="A1:N115"/>
  <sheetViews>
    <sheetView zoomScale="110" zoomScaleNormal="110" workbookViewId="0">
      <selection activeCell="H12" sqref="H12"/>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14" style="611" hidden="1" customWidth="1"/>
    <col min="12" max="14" width="11.44140625" style="653" hidden="1" customWidth="1"/>
    <col min="15" max="16384" width="11.44140625" style="653"/>
  </cols>
  <sheetData>
    <row r="1" spans="2:14" s="611" customFormat="1" ht="15.9" customHeight="1" thickBot="1">
      <c r="B1" s="741"/>
      <c r="C1" s="741"/>
      <c r="D1" s="742"/>
      <c r="E1" s="743"/>
      <c r="F1" s="744"/>
      <c r="G1" s="745"/>
      <c r="H1" s="745"/>
      <c r="I1" s="745"/>
      <c r="J1" s="745"/>
    </row>
    <row r="2" spans="2:14" s="611" customFormat="1" ht="22.8">
      <c r="B2" s="746" t="s">
        <v>488</v>
      </c>
      <c r="C2" s="746"/>
      <c r="D2" s="746"/>
      <c r="E2" s="746"/>
      <c r="F2" s="746"/>
      <c r="G2" s="746" t="str">
        <f>'AcresYieldsPrices&amp;Water'!B12</f>
        <v>Sorghum</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BASEBUDGETS!B1651</f>
        <v>Sorghum</v>
      </c>
      <c r="C4" s="754"/>
      <c r="D4" s="754"/>
      <c r="E4" s="754"/>
      <c r="F4" s="755" t="str">
        <f>BASEBUDGETS!C1651</f>
        <v>bushel</v>
      </c>
      <c r="G4" s="756">
        <f>BASEBUDGETS!D1651</f>
        <v>7</v>
      </c>
      <c r="H4" s="757"/>
      <c r="I4" s="758">
        <f>IF(BASEBUDGETS!E1651=0,0,BASEBUDGETS!E1651/BASEBUDGETS!C1647)</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BASEBUDGETS!B1686</f>
        <v>V Ripper, Custom</v>
      </c>
      <c r="D9" s="765">
        <f>CustomOperations!N5</f>
        <v>44.25</v>
      </c>
      <c r="E9" s="771" t="e">
        <f>BASEBUDGETS!E1686/BASEBUDGETS!C1647</f>
        <v>#DIV/0!</v>
      </c>
      <c r="F9" s="770" t="str">
        <f>BASEBUDGETS!C1686</f>
        <v>acre</v>
      </c>
      <c r="G9" s="756">
        <v>0</v>
      </c>
      <c r="H9" s="756">
        <v>0</v>
      </c>
      <c r="I9" s="756" t="e">
        <f>IF(E9=0,0,BASEBUDGETS!D1686*E9)</f>
        <v>#DIV/0!</v>
      </c>
      <c r="J9" s="765" t="e">
        <f>G9+H9+I9</f>
        <v>#DIV/0!</v>
      </c>
      <c r="L9" s="772">
        <f>N9*'AcresYieldsPrices&amp;Water'!D$12</f>
        <v>0</v>
      </c>
      <c r="M9" s="611" t="s">
        <v>394</v>
      </c>
      <c r="N9" s="653">
        <f>IFERROR(I37,0)</f>
        <v>0</v>
      </c>
    </row>
    <row r="10" spans="2:14" s="611" customFormat="1" ht="21">
      <c r="C10" s="660" t="str">
        <f>BASEBUDGETS!B1687</f>
        <v>Disk, Custom</v>
      </c>
      <c r="D10" s="765">
        <f>CustomOperations!N7</f>
        <v>0</v>
      </c>
      <c r="E10" s="771" t="e">
        <f>BASEBUDGETS!E1687/BASEBUDGETS!C1647</f>
        <v>#DIV/0!</v>
      </c>
      <c r="F10" s="770" t="str">
        <f>BASEBUDGETS!C1687</f>
        <v>acre</v>
      </c>
      <c r="G10" s="756">
        <v>0</v>
      </c>
      <c r="H10" s="756">
        <v>0</v>
      </c>
      <c r="I10" s="756" t="e">
        <f>IF(E10=0,0,BASEBUDGETS!D1687*E10)</f>
        <v>#DIV/0!</v>
      </c>
      <c r="J10" s="765" t="e">
        <f>G10+H10+I10</f>
        <v>#DIV/0!</v>
      </c>
      <c r="L10" s="772">
        <f>N10*'AcresYieldsPrices&amp;Water'!D$12</f>
        <v>0</v>
      </c>
      <c r="M10" s="611" t="s">
        <v>395</v>
      </c>
      <c r="N10" s="653">
        <f>IFERROR(I44,0)</f>
        <v>0</v>
      </c>
    </row>
    <row r="11" spans="2:14" s="611" customFormat="1" ht="21">
      <c r="C11" s="660" t="str">
        <f>BASEBUDGETS!B1688</f>
        <v>Drag, Custom</v>
      </c>
      <c r="D11" s="765">
        <f>CustomOperations!N9</f>
        <v>0</v>
      </c>
      <c r="E11" s="771" t="e">
        <f>BASEBUDGETS!E1688/BASEBUDGETS!C1647</f>
        <v>#DIV/0!</v>
      </c>
      <c r="F11" s="770" t="str">
        <f>BASEBUDGETS!C1688</f>
        <v>acre</v>
      </c>
      <c r="G11" s="756">
        <v>0</v>
      </c>
      <c r="H11" s="756">
        <v>0</v>
      </c>
      <c r="I11" s="756" t="e">
        <f>IF(E11=0,0,BASEBUDGETS!D1688*E11)</f>
        <v>#DIV/0!</v>
      </c>
      <c r="J11" s="765" t="e">
        <f t="shared" ref="J11:J30" si="0">G11+H11+I11</f>
        <v>#DIV/0!</v>
      </c>
      <c r="L11" s="772">
        <f>N11*'AcresYieldsPrices&amp;Water'!D$12</f>
        <v>0</v>
      </c>
      <c r="M11" s="611" t="s">
        <v>396</v>
      </c>
      <c r="N11" s="653">
        <f>IFERROR(I54,0)</f>
        <v>0</v>
      </c>
    </row>
    <row r="12" spans="2:14" s="611" customFormat="1" ht="21">
      <c r="C12" s="660" t="str">
        <f>BASEBUDGETS!B1689</f>
        <v>Chisel, Custom</v>
      </c>
      <c r="D12" s="765">
        <f>CustomOperations!N11</f>
        <v>0</v>
      </c>
      <c r="E12" s="771" t="e">
        <f>BASEBUDGETS!E1689/BASEBUDGETS!C1647</f>
        <v>#DIV/0!</v>
      </c>
      <c r="F12" s="770" t="str">
        <f>BASEBUDGETS!C1689</f>
        <v>acre</v>
      </c>
      <c r="G12" s="756">
        <v>0</v>
      </c>
      <c r="H12" s="756">
        <v>0</v>
      </c>
      <c r="I12" s="756" t="e">
        <f>IF(E12=0,0,BASEBUDGETS!D1689*E12)</f>
        <v>#DIV/0!</v>
      </c>
      <c r="J12" s="765" t="e">
        <f t="shared" si="0"/>
        <v>#DIV/0!</v>
      </c>
      <c r="L12" s="772">
        <f>N12*'AcresYieldsPrices&amp;Water'!D$12</f>
        <v>0</v>
      </c>
      <c r="M12" s="611" t="s">
        <v>392</v>
      </c>
      <c r="N12" s="653">
        <f>IFERROR(E29+E30+E74+E75+E91+E92+E72+E69+E66,0)</f>
        <v>0</v>
      </c>
    </row>
    <row r="13" spans="2:14" s="611" customFormat="1" ht="21">
      <c r="C13" s="660" t="str">
        <f>BASEBUDGETS!B1690</f>
        <v>Moldboard Plow, Custom</v>
      </c>
      <c r="D13" s="765">
        <f>CustomOperations!N13</f>
        <v>0</v>
      </c>
      <c r="E13" s="771" t="e">
        <f>BASEBUDGETS!E1690/BASEBUDGETS!C1647</f>
        <v>#DIV/0!</v>
      </c>
      <c r="F13" s="770" t="str">
        <f>BASEBUDGETS!C1690</f>
        <v>acre</v>
      </c>
      <c r="G13" s="756">
        <v>0</v>
      </c>
      <c r="H13" s="756">
        <v>0</v>
      </c>
      <c r="I13" s="756" t="e">
        <f>IF(E13=0,0,BASEBUDGETS!D1690*E13)</f>
        <v>#DIV/0!</v>
      </c>
      <c r="J13" s="765" t="e">
        <f t="shared" si="0"/>
        <v>#DIV/0!</v>
      </c>
      <c r="L13" s="772">
        <f>N13*'AcresYieldsPrices&amp;Water'!D$12</f>
        <v>0</v>
      </c>
      <c r="M13" s="611" t="s">
        <v>393</v>
      </c>
      <c r="N13" s="653">
        <f>IFERROR(((SUM(G18:G28)+G36+G34+G35+G43+G42+G53+G63+SUM(G80:G90))/[2]GeneralInputPrices!$D$20),0)</f>
        <v>0</v>
      </c>
    </row>
    <row r="14" spans="2:14" s="611" customFormat="1" ht="21">
      <c r="C14" s="660" t="str">
        <f>BASEBUDGETS!B1691</f>
        <v>Landplane, Custom</v>
      </c>
      <c r="D14" s="765">
        <f>CustomOperations!N15</f>
        <v>17.940000000000001</v>
      </c>
      <c r="E14" s="771" t="e">
        <f>BASEBUDGETS!E1691/BASEBUDGETS!C1647</f>
        <v>#DIV/0!</v>
      </c>
      <c r="F14" s="770" t="str">
        <f>BASEBUDGETS!C1691</f>
        <v>acre</v>
      </c>
      <c r="G14" s="756">
        <v>0</v>
      </c>
      <c r="H14" s="756">
        <v>0</v>
      </c>
      <c r="I14" s="756" t="e">
        <f>IF(E14=0,0,BASEBUDGETS!D1691*E14)</f>
        <v>#DIV/0!</v>
      </c>
      <c r="J14" s="765" t="e">
        <f t="shared" si="0"/>
        <v>#DIV/0!</v>
      </c>
      <c r="L14" s="772">
        <f>N14*'AcresYieldsPrices&amp;Water'!D$12</f>
        <v>0</v>
      </c>
      <c r="M14" s="611" t="s">
        <v>186</v>
      </c>
      <c r="N14" s="653">
        <f>IFERROR(H96,0)</f>
        <v>0</v>
      </c>
    </row>
    <row r="15" spans="2:14" s="611" customFormat="1" ht="21">
      <c r="C15" s="660" t="str">
        <f>BASEBUDGETS!B1692</f>
        <v>Float, Custom</v>
      </c>
      <c r="D15" s="765">
        <f>CustomOperations!N17</f>
        <v>17.940000000000001</v>
      </c>
      <c r="E15" s="771" t="e">
        <f>BASEBUDGETS!E1692/BASEBUDGETS!C1647</f>
        <v>#DIV/0!</v>
      </c>
      <c r="F15" s="770" t="str">
        <f>BASEBUDGETS!C1692</f>
        <v>acre</v>
      </c>
      <c r="G15" s="756">
        <v>0</v>
      </c>
      <c r="H15" s="756">
        <v>0</v>
      </c>
      <c r="I15" s="756" t="e">
        <f>IF(E15=0,0,BASEBUDGETS!D1692*E15)</f>
        <v>#DIV/0!</v>
      </c>
      <c r="J15" s="765" t="e">
        <f t="shared" si="0"/>
        <v>#DIV/0!</v>
      </c>
      <c r="L15" s="772">
        <f>N15*'AcresYieldsPrices&amp;Water'!D$12</f>
        <v>0</v>
      </c>
      <c r="M15" s="611" t="s">
        <v>401</v>
      </c>
      <c r="N15" s="653">
        <f>IFERROR(J111,0)</f>
        <v>0</v>
      </c>
    </row>
    <row r="16" spans="2:14" s="611" customFormat="1" ht="21">
      <c r="C16" s="660" t="str">
        <f>BASEBUDGETS!B1693</f>
        <v>Lister, Custom</v>
      </c>
      <c r="D16" s="765">
        <f>CustomOperations!N19</f>
        <v>20.38</v>
      </c>
      <c r="E16" s="771" t="e">
        <f>BASEBUDGETS!E1693/BASEBUDGETS!C1647</f>
        <v>#DIV/0!</v>
      </c>
      <c r="F16" s="770" t="str">
        <f>BASEBUDGETS!C1693</f>
        <v>acre</v>
      </c>
      <c r="G16" s="756">
        <v>0</v>
      </c>
      <c r="H16" s="756">
        <v>0</v>
      </c>
      <c r="I16" s="756" t="e">
        <f>IF(E16=0,0,BASEBUDGETS!D1693*E16)</f>
        <v>#DIV/0!</v>
      </c>
      <c r="J16" s="765" t="e">
        <f t="shared" si="0"/>
        <v>#DIV/0!</v>
      </c>
      <c r="L16" s="772">
        <f>N16*'AcresYieldsPrices&amp;Water'!D$12</f>
        <v>0</v>
      </c>
      <c r="M16" s="611" t="s">
        <v>405</v>
      </c>
      <c r="N16" s="653">
        <f>IFERROR((J79+J78+J77+J62+J52+J41+J40+J33+J32+SUM(J9:J17)),0)</f>
        <v>0</v>
      </c>
    </row>
    <row r="17" spans="2:10" s="611" customFormat="1" ht="21">
      <c r="C17" s="660" t="str">
        <f>BASEBUDGETS!B1694</f>
        <v>Bed Shape, Custom</v>
      </c>
      <c r="D17" s="765">
        <f>CustomOperations!N21</f>
        <v>13.69</v>
      </c>
      <c r="E17" s="771" t="e">
        <f>BASEBUDGETS!E1694/BASEBUDGETS!C1647</f>
        <v>#DIV/0!</v>
      </c>
      <c r="F17" s="770" t="str">
        <f>BASEBUDGETS!C1694</f>
        <v>acre</v>
      </c>
      <c r="G17" s="756">
        <v>0</v>
      </c>
      <c r="H17" s="756">
        <v>0</v>
      </c>
      <c r="I17" s="756" t="e">
        <f>IF(E17=0,0,BASEBUDGETS!D1694*E17)</f>
        <v>#DIV/0!</v>
      </c>
      <c r="J17" s="765" t="e">
        <f t="shared" si="0"/>
        <v>#DIV/0!</v>
      </c>
    </row>
    <row r="18" spans="2:10" s="611" customFormat="1" ht="21">
      <c r="C18" s="660" t="str">
        <f>TillageOperations!$B$7</f>
        <v>V-Ripper</v>
      </c>
      <c r="D18" s="765"/>
      <c r="E18" s="771" t="e">
        <f>BASEBUDGETS!E1698/BASEBUDGETS!C1647</f>
        <v>#DIV/0!</v>
      </c>
      <c r="F18" s="770" t="str">
        <f>BASEBUDGETS!C1698</f>
        <v>acre</v>
      </c>
      <c r="G18" s="756" t="e">
        <f>IF(E18=0,0,BASEBUDGETS!D1699*E18)</f>
        <v>#DIV/0!</v>
      </c>
      <c r="H18" s="756" t="e">
        <f>IF(E18=0,0,BASEBUDGETS!D1698*E18)</f>
        <v>#DIV/0!</v>
      </c>
      <c r="I18" s="756">
        <v>0</v>
      </c>
      <c r="J18" s="765" t="e">
        <f t="shared" si="0"/>
        <v>#DIV/0!</v>
      </c>
    </row>
    <row r="19" spans="2:10" s="611" customFormat="1" ht="21">
      <c r="C19" s="660" t="str">
        <f>TillageOperations!$B$8</f>
        <v>Offset Disk</v>
      </c>
      <c r="D19" s="765"/>
      <c r="E19" s="771" t="e">
        <f>BASEBUDGETS!E1700/BASEBUDGETS!C1647</f>
        <v>#DIV/0!</v>
      </c>
      <c r="F19" s="770" t="str">
        <f>BASEBUDGETS!C1700</f>
        <v>acre</v>
      </c>
      <c r="G19" s="756" t="e">
        <f>IF(E19=0,0,BASEBUDGETS!D1701*E19)</f>
        <v>#DIV/0!</v>
      </c>
      <c r="H19" s="756" t="e">
        <f>IF(E19=0,0,BASEBUDGETS!D1700*E19)</f>
        <v>#DIV/0!</v>
      </c>
      <c r="I19" s="756">
        <v>0</v>
      </c>
      <c r="J19" s="765" t="e">
        <f t="shared" si="0"/>
        <v>#DIV/0!</v>
      </c>
    </row>
    <row r="20" spans="2:10" s="611" customFormat="1" ht="21">
      <c r="C20" s="660" t="str">
        <f>TillageOperations!$B$9</f>
        <v>Drag</v>
      </c>
      <c r="D20" s="765"/>
      <c r="E20" s="771" t="e">
        <f>BASEBUDGETS!E1702/BASEBUDGETS!C1647</f>
        <v>#DIV/0!</v>
      </c>
      <c r="F20" s="770" t="str">
        <f>BASEBUDGETS!C1702</f>
        <v>acre</v>
      </c>
      <c r="G20" s="756" t="e">
        <f>IF(E20=0,0,BASEBUDGETS!D1703*E20)</f>
        <v>#DIV/0!</v>
      </c>
      <c r="H20" s="756" t="e">
        <f>IF(E20=0,0,BASEBUDGETS!D1702*E20)</f>
        <v>#DIV/0!</v>
      </c>
      <c r="I20" s="756">
        <v>0</v>
      </c>
      <c r="J20" s="765" t="e">
        <f t="shared" si="0"/>
        <v>#DIV/0!</v>
      </c>
    </row>
    <row r="21" spans="2:10" s="611" customFormat="1" ht="21">
      <c r="C21" s="660" t="str">
        <f>TillageOperations!$B$10</f>
        <v>Chisel</v>
      </c>
      <c r="D21" s="765"/>
      <c r="E21" s="771" t="e">
        <f>BASEBUDGETS!E1704/BASEBUDGETS!C1647</f>
        <v>#DIV/0!</v>
      </c>
      <c r="F21" s="770" t="str">
        <f>BASEBUDGETS!C1704</f>
        <v>acre</v>
      </c>
      <c r="G21" s="756" t="e">
        <f>IF(E21=0,0,BASEBUDGETS!D1705*E21)</f>
        <v>#DIV/0!</v>
      </c>
      <c r="H21" s="756" t="e">
        <f>IF(E21=0,0,BASEBUDGETS!D1704*E21)</f>
        <v>#DIV/0!</v>
      </c>
      <c r="I21" s="756">
        <v>0</v>
      </c>
      <c r="J21" s="765" t="e">
        <f t="shared" si="0"/>
        <v>#DIV/0!</v>
      </c>
    </row>
    <row r="22" spans="2:10" s="611" customFormat="1" ht="21">
      <c r="C22" s="660" t="str">
        <f>TillageOperations!$B$11</f>
        <v>Moldboard Plow</v>
      </c>
      <c r="D22" s="765"/>
      <c r="E22" s="771" t="e">
        <f>BASEBUDGETS!E1706/BASEBUDGETS!C1647</f>
        <v>#DIV/0!</v>
      </c>
      <c r="F22" s="770" t="str">
        <f>BASEBUDGETS!C1706</f>
        <v>acre</v>
      </c>
      <c r="G22" s="756" t="e">
        <f>IF(E22=0,0,BASEBUDGETS!D1707*E22)</f>
        <v>#DIV/0!</v>
      </c>
      <c r="H22" s="756" t="e">
        <f>IF(E22=0,0,BASEBUDGETS!D1706*E22)</f>
        <v>#DIV/0!</v>
      </c>
      <c r="I22" s="756">
        <v>0</v>
      </c>
      <c r="J22" s="765" t="e">
        <f t="shared" si="0"/>
        <v>#DIV/0!</v>
      </c>
    </row>
    <row r="23" spans="2:10" s="611" customFormat="1" ht="21">
      <c r="C23" s="660" t="str">
        <f>TillageOperations!$B$12</f>
        <v>Cultivator</v>
      </c>
      <c r="D23" s="765"/>
      <c r="E23" s="771" t="e">
        <f>BASEBUDGETS!E1708/BASEBUDGETS!C1647</f>
        <v>#DIV/0!</v>
      </c>
      <c r="F23" s="770" t="str">
        <f>BASEBUDGETS!C1708</f>
        <v>acre</v>
      </c>
      <c r="G23" s="756" t="e">
        <f>IF(E23=0,0,BASEBUDGETS!D1709*E23)</f>
        <v>#DIV/0!</v>
      </c>
      <c r="H23" s="756" t="e">
        <f>IF(E23=0,0,BASEBUDGETS!D1708*E23)</f>
        <v>#DIV/0!</v>
      </c>
      <c r="I23" s="756">
        <v>0</v>
      </c>
      <c r="J23" s="765" t="e">
        <f t="shared" si="0"/>
        <v>#DIV/0!</v>
      </c>
    </row>
    <row r="24" spans="2:10" s="611" customFormat="1" ht="21">
      <c r="C24" s="660" t="str">
        <f>TillageOperations!$B$13</f>
        <v>Landplane</v>
      </c>
      <c r="D24" s="765"/>
      <c r="E24" s="771" t="e">
        <f>BASEBUDGETS!E1710/BASEBUDGETS!C1647</f>
        <v>#DIV/0!</v>
      </c>
      <c r="F24" s="770" t="str">
        <f>BASEBUDGETS!C1710</f>
        <v>acre</v>
      </c>
      <c r="G24" s="756" t="e">
        <f>IF(E24=0,0,BASEBUDGETS!D1711*E24)</f>
        <v>#DIV/0!</v>
      </c>
      <c r="H24" s="756" t="e">
        <f>IF(E24=0,0,BASEBUDGETS!D1710*E24)</f>
        <v>#DIV/0!</v>
      </c>
      <c r="I24" s="756">
        <v>0</v>
      </c>
      <c r="J24" s="765" t="e">
        <f t="shared" si="0"/>
        <v>#DIV/0!</v>
      </c>
    </row>
    <row r="25" spans="2:10" s="611" customFormat="1" ht="21">
      <c r="C25" s="660" t="str">
        <f>TillageOperations!$B$14</f>
        <v>Float</v>
      </c>
      <c r="D25" s="765"/>
      <c r="E25" s="771" t="e">
        <f>BASEBUDGETS!E1712/BASEBUDGETS!C1647</f>
        <v>#DIV/0!</v>
      </c>
      <c r="F25" s="770" t="str">
        <f>BASEBUDGETS!C1712</f>
        <v>acre</v>
      </c>
      <c r="G25" s="756" t="e">
        <f>IF(E25=0,0,BASEBUDGETS!D1713*E25)</f>
        <v>#DIV/0!</v>
      </c>
      <c r="H25" s="756" t="e">
        <f>IF(E25=0,0,BASEBUDGETS!D1712*E25)</f>
        <v>#DIV/0!</v>
      </c>
      <c r="I25" s="756">
        <v>0</v>
      </c>
      <c r="J25" s="765" t="e">
        <f t="shared" si="0"/>
        <v>#DIV/0!</v>
      </c>
    </row>
    <row r="26" spans="2:10" s="611" customFormat="1" ht="21">
      <c r="C26" s="660" t="str">
        <f>TillageOperations!$B$15</f>
        <v>Lister</v>
      </c>
      <c r="D26" s="765"/>
      <c r="E26" s="771" t="e">
        <f>BASEBUDGETS!E1714/BASEBUDGETS!C1647</f>
        <v>#DIV/0!</v>
      </c>
      <c r="F26" s="770" t="str">
        <f>BASEBUDGETS!C1714</f>
        <v>acre</v>
      </c>
      <c r="G26" s="756" t="e">
        <f>IF(E26=0,0,BASEBUDGETS!D1715*E26)</f>
        <v>#DIV/0!</v>
      </c>
      <c r="H26" s="756" t="e">
        <f>IF(E26=0,0,BASEBUDGETS!D1714*E26)</f>
        <v>#DIV/0!</v>
      </c>
      <c r="I26" s="756">
        <v>0</v>
      </c>
      <c r="J26" s="765" t="e">
        <f t="shared" si="0"/>
        <v>#DIV/0!</v>
      </c>
    </row>
    <row r="27" spans="2:10" s="611" customFormat="1" ht="21">
      <c r="C27" s="660" t="str">
        <f>TillageOperations!$B$16</f>
        <v>Bed Shaper</v>
      </c>
      <c r="D27" s="765"/>
      <c r="E27" s="771" t="e">
        <f>BASEBUDGETS!E1716/BASEBUDGETS!C1647</f>
        <v>#DIV/0!</v>
      </c>
      <c r="F27" s="770" t="str">
        <f>BASEBUDGETS!C1716</f>
        <v>acre</v>
      </c>
      <c r="G27" s="756" t="e">
        <f>IF(E27=0,0,BASEBUDGETS!D1717*E27)</f>
        <v>#DIV/0!</v>
      </c>
      <c r="H27" s="756" t="e">
        <f>IF(E27=0,0,BASEBUDGETS!D1716*E27)</f>
        <v>#DIV/0!</v>
      </c>
      <c r="I27" s="756">
        <v>0</v>
      </c>
      <c r="J27" s="765" t="e">
        <f t="shared" si="0"/>
        <v>#DIV/0!</v>
      </c>
    </row>
    <row r="28" spans="2:10" s="611" customFormat="1" ht="21">
      <c r="C28" s="660" t="str">
        <f>TillageOperations!$B$17</f>
        <v>Cotton Shredder/Root Puller</v>
      </c>
      <c r="D28" s="765"/>
      <c r="E28" s="771" t="e">
        <f>BASEBUDGETS!E1730/BASEBUDGETS!C1647</f>
        <v>#DIV/0!</v>
      </c>
      <c r="F28" s="770" t="str">
        <f>BASEBUDGETS!C1730</f>
        <v>acre</v>
      </c>
      <c r="G28" s="756" t="e">
        <f>IF(E28=0,0,BASEBUDGETS!D1731*E28)</f>
        <v>#DIV/0!</v>
      </c>
      <c r="H28" s="756" t="e">
        <f>IF(E28=0,0,BASEBUDGETS!D1730*E28)</f>
        <v>#DIV/0!</v>
      </c>
      <c r="I28" s="756">
        <v>0</v>
      </c>
      <c r="J28" s="765" t="e">
        <f>G28+H28+I28</f>
        <v>#DIV/0!</v>
      </c>
    </row>
    <row r="29" spans="2:10" s="611" customFormat="1" ht="21">
      <c r="C29" s="660" t="str">
        <f>BASEBUDGETS!B1755</f>
        <v>Additional Land Prep. Labor</v>
      </c>
      <c r="D29" s="765">
        <f>GeneralInputPrices!$D$30</f>
        <v>14.55</v>
      </c>
      <c r="E29" s="758" t="e">
        <f>BASEBUDGETS!E1755/BASEBUDGETS!C1647</f>
        <v>#DIV/0!</v>
      </c>
      <c r="F29" s="773" t="str">
        <f>BASEBUDGETS!C1755</f>
        <v>hour</v>
      </c>
      <c r="G29" s="756" t="e">
        <f>D29*E29</f>
        <v>#DIV/0!</v>
      </c>
      <c r="H29" s="756">
        <v>0</v>
      </c>
      <c r="I29" s="756">
        <v>0</v>
      </c>
      <c r="J29" s="765" t="e">
        <f t="shared" si="0"/>
        <v>#DIV/0!</v>
      </c>
    </row>
    <row r="30" spans="2:10" s="611" customFormat="1" ht="21">
      <c r="C30" s="660" t="str">
        <f>BASEBUDGETS!B1756</f>
        <v>Additional Land Prep. Labor</v>
      </c>
      <c r="D30" s="765">
        <f>GeneralInputPrices!$D$30</f>
        <v>14.55</v>
      </c>
      <c r="E30" s="758" t="e">
        <f>BASEBUDGETS!E1756/BASEBUDGETS!C1647</f>
        <v>#DIV/0!</v>
      </c>
      <c r="F30" s="773" t="str">
        <f>BASEBUDGETS!C1756</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BASEBUDGETS!B1683</f>
        <v>Drill, Custom</v>
      </c>
      <c r="D32" s="765">
        <f>CustomOperations!N24</f>
        <v>0</v>
      </c>
      <c r="E32" s="771" t="e">
        <f>BASEBUDGETS!E1683/BASEBUDGETS!C1647</f>
        <v>#DIV/0!</v>
      </c>
      <c r="F32" s="770" t="str">
        <f>BASEBUDGETS!C1683</f>
        <v>acre</v>
      </c>
      <c r="G32" s="756">
        <v>0</v>
      </c>
      <c r="H32" s="756">
        <v>0</v>
      </c>
      <c r="I32" s="756" t="e">
        <f>IF(E32=0,0,(BASEBUDGETS!D1683*E32))</f>
        <v>#DIV/0!</v>
      </c>
      <c r="J32" s="765" t="e">
        <f t="shared" ref="J32:J34" si="1">G32+H32+I32</f>
        <v>#DIV/0!</v>
      </c>
    </row>
    <row r="33" spans="3:10" s="611" customFormat="1" ht="21">
      <c r="C33" s="660" t="str">
        <f>BASEBUDGETS!B1684</f>
        <v>Row Planter, Custom</v>
      </c>
      <c r="D33" s="765">
        <f>CustomOperations!N26</f>
        <v>0</v>
      </c>
      <c r="E33" s="771" t="e">
        <f>BASEBUDGETS!E1684/BASEBUDGETS!C1647</f>
        <v>#DIV/0!</v>
      </c>
      <c r="F33" s="770" t="str">
        <f>BASEBUDGETS!C1684</f>
        <v>acre</v>
      </c>
      <c r="G33" s="756">
        <v>0</v>
      </c>
      <c r="H33" s="756">
        <v>0</v>
      </c>
      <c r="I33" s="756" t="e">
        <f>IF(E33=0,0,(BASEBUDGETS!D1684*E33))</f>
        <v>#DIV/0!</v>
      </c>
      <c r="J33" s="765" t="e">
        <f t="shared" si="1"/>
        <v>#DIV/0!</v>
      </c>
    </row>
    <row r="34" spans="3:10" s="611" customFormat="1" ht="21">
      <c r="C34" s="660" t="str">
        <f>TillageOperations!$B$21</f>
        <v>Drill</v>
      </c>
      <c r="D34" s="765"/>
      <c r="E34" s="771" t="e">
        <f>BASEBUDGETS!E1722/BASEBUDGETS!C1647</f>
        <v>#DIV/0!</v>
      </c>
      <c r="F34" s="770" t="str">
        <f>BASEBUDGETS!C1722</f>
        <v>acre</v>
      </c>
      <c r="G34" s="756" t="e">
        <f>IF(E34=0,0,BASEBUDGETS!D1723*E34)</f>
        <v>#DIV/0!</v>
      </c>
      <c r="H34" s="756" t="e">
        <f>IF(E34=0,0,BASEBUDGETS!D1722*E34)</f>
        <v>#DIV/0!</v>
      </c>
      <c r="I34" s="756">
        <v>0</v>
      </c>
      <c r="J34" s="765" t="e">
        <f t="shared" si="1"/>
        <v>#DIV/0!</v>
      </c>
    </row>
    <row r="35" spans="3:10" s="611" customFormat="1" ht="21">
      <c r="C35" s="660" t="str">
        <f>TillageOperations!$B$19</f>
        <v>Row Planter</v>
      </c>
      <c r="D35" s="765"/>
      <c r="E35" s="771" t="e">
        <f>BASEBUDGETS!E1718/BASEBUDGETS!C1647</f>
        <v>#DIV/0!</v>
      </c>
      <c r="F35" s="770" t="str">
        <f>BASEBUDGETS!C1718</f>
        <v>acre</v>
      </c>
      <c r="G35" s="756" t="e">
        <f>IF(E35=0,0,BASEBUDGETS!D1719*E35)</f>
        <v>#DIV/0!</v>
      </c>
      <c r="H35" s="756" t="e">
        <f>IF(E35=0,0,BASEBUDGETS!D1718*E35)</f>
        <v>#DIV/0!</v>
      </c>
      <c r="I35" s="756">
        <v>0</v>
      </c>
      <c r="J35" s="765" t="e">
        <f>G35+H35+I35</f>
        <v>#DIV/0!</v>
      </c>
    </row>
    <row r="36" spans="3:10" s="611" customFormat="1" ht="21">
      <c r="C36" s="660" t="str">
        <f>TillageOperations!$B$22</f>
        <v>Transplanter</v>
      </c>
      <c r="D36" s="765"/>
      <c r="E36" s="771" t="e">
        <f>BASEBUDGETS!E1753/BASEBUDGETS!C1647</f>
        <v>#DIV/0!</v>
      </c>
      <c r="F36" s="770" t="str">
        <f>BASEBUDGETS!C1753</f>
        <v>acre</v>
      </c>
      <c r="G36" s="756" t="e">
        <f>IF(E36=0,0,BASEBUDGETS!D1754*E36)</f>
        <v>#DIV/0!</v>
      </c>
      <c r="H36" s="756" t="e">
        <f>IF(E36=0,0,BASEBUDGETS!D1753*E36)</f>
        <v>#DIV/0!</v>
      </c>
      <c r="I36" s="756">
        <v>0</v>
      </c>
      <c r="J36" s="765" t="e">
        <f>G36+H36+I36</f>
        <v>#DIV/0!</v>
      </c>
    </row>
    <row r="37" spans="3:10" s="611" customFormat="1" ht="21">
      <c r="C37" s="660" t="s">
        <v>439</v>
      </c>
      <c r="D37" s="765"/>
      <c r="E37" s="771"/>
      <c r="F37" s="770"/>
      <c r="G37" s="756">
        <v>0</v>
      </c>
      <c r="H37" s="756">
        <v>0</v>
      </c>
      <c r="I37" s="756" t="e">
        <f>(D38*E38)+(D39*E39)</f>
        <v>#DIV/0!</v>
      </c>
      <c r="J37" s="765" t="e">
        <f>G37+H37+I37</f>
        <v>#DIV/0!</v>
      </c>
    </row>
    <row r="38" spans="3:10" s="611" customFormat="1" ht="21">
      <c r="C38" s="660" t="str">
        <f>BASEBUDGETS!B1655</f>
        <v xml:space="preserve">   - Seed</v>
      </c>
      <c r="D38" s="765">
        <f>BASEBUDGETS!D1655</f>
        <v>1.04</v>
      </c>
      <c r="E38" s="775" t="e">
        <f>BASEBUDGETS!E1655/BASEBUDGETS!C1647</f>
        <v>#DIV/0!</v>
      </c>
      <c r="F38" s="769" t="str">
        <f>BASEBUDGETS!C1655</f>
        <v>pounds</v>
      </c>
      <c r="G38" s="757"/>
      <c r="H38" s="757"/>
      <c r="I38" s="757"/>
      <c r="J38" s="757"/>
    </row>
    <row r="39" spans="3:10" s="611" customFormat="1" ht="21">
      <c r="C39" s="660" t="str">
        <f>BASEBUDGETS!B1656</f>
        <v xml:space="preserve">   - Inoculant</v>
      </c>
      <c r="D39" s="765">
        <f>BASEBUDGETS!D1656</f>
        <v>3</v>
      </c>
      <c r="E39" s="775" t="e">
        <f>BASEBUDGETS!E1656/BASEBUDGETS!C1647</f>
        <v>#DIV/0!</v>
      </c>
      <c r="F39" s="769" t="str">
        <f>BASEBUDGETS!C1656</f>
        <v>pounds</v>
      </c>
      <c r="G39" s="765"/>
      <c r="H39" s="765"/>
      <c r="I39" s="765"/>
      <c r="J39" s="765"/>
    </row>
    <row r="40" spans="3:10" s="611" customFormat="1" ht="21">
      <c r="C40" s="660" t="str">
        <f>BASEBUDGETS!B1695</f>
        <v>Fertilizer Spreader, Custom</v>
      </c>
      <c r="D40" s="765">
        <f>CustomOperations!N32</f>
        <v>10.08</v>
      </c>
      <c r="E40" s="771" t="e">
        <f>BASEBUDGETS!E1695/BASEBUDGETS!C1647</f>
        <v>#DIV/0!</v>
      </c>
      <c r="F40" s="770" t="str">
        <f>BASEBUDGETS!C1695</f>
        <v>acre</v>
      </c>
      <c r="G40" s="756">
        <v>0</v>
      </c>
      <c r="H40" s="756">
        <v>0</v>
      </c>
      <c r="I40" s="756" t="e">
        <f>IF(E40=0,0,BASEBUDGETS!D1695*E40)</f>
        <v>#DIV/0!</v>
      </c>
      <c r="J40" s="765" t="e">
        <f>G40+H40+I40</f>
        <v>#DIV/0!</v>
      </c>
    </row>
    <row r="41" spans="3:10" s="611" customFormat="1" ht="21">
      <c r="C41" s="660" t="str">
        <f>BASEBUDGETS!B1696</f>
        <v>Laser Landplaning, Custom</v>
      </c>
      <c r="D41" s="765">
        <f>CustomOperations!N34</f>
        <v>0</v>
      </c>
      <c r="E41" s="771" t="e">
        <f>BASEBUDGETS!E1696/BASEBUDGETS!C1647</f>
        <v>#DIV/0!</v>
      </c>
      <c r="F41" s="770" t="str">
        <f>BASEBUDGETS!C1696</f>
        <v>acre</v>
      </c>
      <c r="G41" s="756">
        <v>0</v>
      </c>
      <c r="H41" s="756">
        <v>0</v>
      </c>
      <c r="I41" s="756" t="e">
        <f>IF(E41=0,0,BASEBUDGETS!D1696*E41)</f>
        <v>#DIV/0!</v>
      </c>
      <c r="J41" s="765" t="e">
        <f>G41+H41+I41</f>
        <v>#DIV/0!</v>
      </c>
    </row>
    <row r="42" spans="3:10" s="611" customFormat="1" ht="21">
      <c r="C42" s="660" t="str">
        <f>TillageOperations!$B$23</f>
        <v>Fertilizer Spreader</v>
      </c>
      <c r="D42" s="765"/>
      <c r="E42" s="771" t="e">
        <f>BASEBUDGETS!E1747/BASEBUDGETS!C1647</f>
        <v>#DIV/0!</v>
      </c>
      <c r="F42" s="770" t="str">
        <f>BASEBUDGETS!C1747</f>
        <v>acre</v>
      </c>
      <c r="G42" s="756" t="e">
        <f>IF(E42=0,0,BASEBUDGETS!D1748*E42)</f>
        <v>#DIV/0!</v>
      </c>
      <c r="H42" s="756" t="e">
        <f>IF(E42=0,0,BASEBUDGETS!D1747*E42)</f>
        <v>#DIV/0!</v>
      </c>
      <c r="I42" s="756">
        <v>0</v>
      </c>
      <c r="J42" s="765" t="e">
        <f>G42+H42+I42</f>
        <v>#DIV/0!</v>
      </c>
    </row>
    <row r="43" spans="3:10" s="611" customFormat="1" ht="21">
      <c r="C43" s="660" t="str">
        <f>TillageOperations!$B$24</f>
        <v>Fertilizer Injection System</v>
      </c>
      <c r="D43" s="765"/>
      <c r="E43" s="771" t="e">
        <f>BASEBUDGETS!E1749/BASEBUDGETS!C1647</f>
        <v>#DIV/0!</v>
      </c>
      <c r="F43" s="770" t="str">
        <f>BASEBUDGETS!C1749</f>
        <v>acre</v>
      </c>
      <c r="G43" s="756" t="e">
        <f>IF(E43=0,0,BASEBUDGETS!D1750*E43)</f>
        <v>#DIV/0!</v>
      </c>
      <c r="H43" s="756" t="e">
        <f>IF(E43=0,0,BASEBUDGETS!D1749*E43)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BASEBUDGETS!B1657</f>
        <v xml:space="preserve">   - Nitrogen</v>
      </c>
      <c r="D45" s="765">
        <f>BASEBUDGETS!D1657</f>
        <v>0.46</v>
      </c>
      <c r="E45" s="775" t="e">
        <f>BASEBUDGETS!E1657/BASEBUDGETS!C1647</f>
        <v>#DIV/0!</v>
      </c>
      <c r="F45" s="769" t="str">
        <f>BASEBUDGETS!C1657</f>
        <v>pounds</v>
      </c>
      <c r="G45" s="765"/>
      <c r="H45" s="765"/>
      <c r="I45" s="765"/>
      <c r="J45" s="765"/>
    </row>
    <row r="46" spans="3:10" s="611" customFormat="1" ht="21">
      <c r="C46" s="660" t="str">
        <f>BASEBUDGETS!B1658</f>
        <v xml:space="preserve">   - Phosphorus</v>
      </c>
      <c r="D46" s="765">
        <f>BASEBUDGETS!D1658</f>
        <v>0.36</v>
      </c>
      <c r="E46" s="775" t="e">
        <f>BASEBUDGETS!E1658/BASEBUDGETS!C1647</f>
        <v>#DIV/0!</v>
      </c>
      <c r="F46" s="769" t="str">
        <f>BASEBUDGETS!C1658</f>
        <v>pounds</v>
      </c>
      <c r="G46" s="765"/>
      <c r="H46" s="765"/>
      <c r="I46" s="765"/>
      <c r="J46" s="765"/>
    </row>
    <row r="47" spans="3:10" s="611" customFormat="1" ht="21">
      <c r="C47" s="660" t="str">
        <f>BASEBUDGETS!B1659</f>
        <v xml:space="preserve">   - Anhydrous Ammonia</v>
      </c>
      <c r="D47" s="765">
        <f>BASEBUDGETS!D1659</f>
        <v>0.21</v>
      </c>
      <c r="E47" s="775" t="e">
        <f>BASEBUDGETS!E1659/BASEBUDGETS!C1647</f>
        <v>#DIV/0!</v>
      </c>
      <c r="F47" s="769" t="str">
        <f>BASEBUDGETS!C1659</f>
        <v>pounds</v>
      </c>
      <c r="G47" s="765"/>
      <c r="H47" s="765"/>
      <c r="I47" s="765"/>
      <c r="J47" s="765"/>
    </row>
    <row r="48" spans="3:10" s="611" customFormat="1" ht="21">
      <c r="C48" s="660" t="str">
        <f>BASEBUDGETS!B1660</f>
        <v xml:space="preserve">   - Trace Elements</v>
      </c>
      <c r="D48" s="765">
        <f>BASEBUDGETS!D1660</f>
        <v>0.24</v>
      </c>
      <c r="E48" s="775" t="e">
        <f>BASEBUDGETS!E1660/BASEBUDGETS!C1647</f>
        <v>#DIV/0!</v>
      </c>
      <c r="F48" s="769" t="str">
        <f>BASEBUDGETS!C1660</f>
        <v>pounds</v>
      </c>
      <c r="G48" s="765"/>
      <c r="H48" s="765"/>
      <c r="I48" s="765"/>
      <c r="J48" s="765"/>
    </row>
    <row r="49" spans="3:10" s="611" customFormat="1" ht="21">
      <c r="C49" s="660" t="str">
        <f>BASEBUDGETS!B1661</f>
        <v xml:space="preserve">   - Nitrogen</v>
      </c>
      <c r="D49" s="765">
        <f>BASEBUDGETS!D1661</f>
        <v>0</v>
      </c>
      <c r="E49" s="775" t="e">
        <f>BASEBUDGETS!E1661/BASEBUDGETS!C1647</f>
        <v>#DIV/0!</v>
      </c>
      <c r="F49" s="769" t="str">
        <f>BASEBUDGETS!C1661</f>
        <v>acre</v>
      </c>
      <c r="G49" s="765"/>
      <c r="H49" s="765"/>
      <c r="I49" s="765"/>
      <c r="J49" s="765"/>
    </row>
    <row r="50" spans="3:10" s="611" customFormat="1" ht="21">
      <c r="C50" s="660" t="str">
        <f>BASEBUDGETS!B1662</f>
        <v xml:space="preserve">   - Phosphorus</v>
      </c>
      <c r="D50" s="765">
        <f>BASEBUDGETS!D1662</f>
        <v>0</v>
      </c>
      <c r="E50" s="775" t="e">
        <f>BASEBUDGETS!E1662/BASEBUDGETS!C1647</f>
        <v>#DIV/0!</v>
      </c>
      <c r="F50" s="769" t="str">
        <f>BASEBUDGETS!C1662</f>
        <v>acre</v>
      </c>
      <c r="G50" s="765"/>
      <c r="H50" s="765"/>
      <c r="I50" s="765"/>
      <c r="J50" s="765"/>
    </row>
    <row r="51" spans="3:10" s="611" customFormat="1" ht="21">
      <c r="C51" s="660" t="str">
        <f>BASEBUDGETS!B1663</f>
        <v xml:space="preserve">   - Fertilizer - Anhydrous Applicator</v>
      </c>
      <c r="D51" s="765">
        <f>BASEBUDGETS!D1663</f>
        <v>0</v>
      </c>
      <c r="E51" s="775" t="e">
        <f>BASEBUDGETS!E1663/BASEBUDGETS!C1647</f>
        <v>#DIV/0!</v>
      </c>
      <c r="F51" s="769" t="str">
        <f>BASEBUDGETS!C1663</f>
        <v>acre</v>
      </c>
      <c r="G51" s="765"/>
      <c r="H51" s="765"/>
      <c r="I51" s="765"/>
      <c r="J51" s="765"/>
    </row>
    <row r="52" spans="3:10" s="611" customFormat="1" ht="21">
      <c r="C52" s="660" t="str">
        <f>BASEBUDGETS!B1697</f>
        <v>Boom Sprayer, Custom</v>
      </c>
      <c r="D52" s="765">
        <f>CustomOperations!N30</f>
        <v>10.050000000000001</v>
      </c>
      <c r="E52" s="771" t="e">
        <f>BASEBUDGETS!E1697/BASEBUDGETS!C1647</f>
        <v>#DIV/0!</v>
      </c>
      <c r="F52" s="770" t="str">
        <f>BASEBUDGETS!C1697</f>
        <v>acre</v>
      </c>
      <c r="G52" s="756">
        <v>0</v>
      </c>
      <c r="H52" s="756">
        <v>0</v>
      </c>
      <c r="I52" s="756" t="e">
        <f>IF(E52=0,0,BASEBUDGETS!D1697*E52)</f>
        <v>#DIV/0!</v>
      </c>
      <c r="J52" s="765" t="e">
        <f>G52+H52+I52</f>
        <v>#DIV/0!</v>
      </c>
    </row>
    <row r="53" spans="3:10" s="611" customFormat="1" ht="21">
      <c r="C53" s="660" t="str">
        <f>TillageOperations!$B$25</f>
        <v>Boom Sprayer</v>
      </c>
      <c r="D53" s="765"/>
      <c r="E53" s="771" t="e">
        <f>BASEBUDGETS!E1751/BASEBUDGETS!C1647</f>
        <v>#DIV/0!</v>
      </c>
      <c r="F53" s="770" t="str">
        <f>BASEBUDGETS!C1751</f>
        <v>acre</v>
      </c>
      <c r="G53" s="756" t="e">
        <f>IF(E53=0,0,BASEBUDGETS!D1752*E53)</f>
        <v>#DIV/0!</v>
      </c>
      <c r="H53" s="756" t="e">
        <f>IF(E53=0,0,BASEBUDGETS!D1751*E53)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BASEBUDGETS!B1664</f>
        <v xml:space="preserve">   - Prowl</v>
      </c>
      <c r="D55" s="765">
        <f>BASEBUDGETS!D1664</f>
        <v>6.0625</v>
      </c>
      <c r="E55" s="775" t="e">
        <f>BASEBUDGETS!E1664/BASEBUDGETS!C1647</f>
        <v>#DIV/0!</v>
      </c>
      <c r="F55" s="769" t="str">
        <f>BASEBUDGETS!C1664</f>
        <v>pints</v>
      </c>
      <c r="G55" s="765"/>
      <c r="H55" s="765"/>
      <c r="I55" s="765"/>
      <c r="J55" s="765"/>
    </row>
    <row r="56" spans="3:10" s="611" customFormat="1" ht="21">
      <c r="C56" s="660" t="str">
        <f>BASEBUDGETS!B1665</f>
        <v xml:space="preserve">   - Aim</v>
      </c>
      <c r="D56" s="765">
        <f>BASEBUDGETS!D1665</f>
        <v>5.9375</v>
      </c>
      <c r="E56" s="775" t="e">
        <f>BASEBUDGETS!E1665/BASEBUDGETS!C1647</f>
        <v>#DIV/0!</v>
      </c>
      <c r="F56" s="769" t="str">
        <f>BASEBUDGETS!C1665</f>
        <v>ounces</v>
      </c>
      <c r="G56" s="765"/>
      <c r="H56" s="765"/>
      <c r="I56" s="765"/>
      <c r="J56" s="765"/>
    </row>
    <row r="57" spans="3:10" s="611" customFormat="1" ht="21">
      <c r="C57" s="660" t="str">
        <f>BASEBUDGETS!B1666</f>
        <v xml:space="preserve">   - Fusilade</v>
      </c>
      <c r="D57" s="765">
        <f>BASEBUDGETS!D1666</f>
        <v>1.25</v>
      </c>
      <c r="E57" s="775" t="e">
        <f>BASEBUDGETS!E1666/BASEBUDGETS!C1647</f>
        <v>#DIV/0!</v>
      </c>
      <c r="F57" s="769" t="str">
        <f>BASEBUDGETS!C1666</f>
        <v>ounces</v>
      </c>
      <c r="G57" s="765"/>
      <c r="H57" s="765"/>
      <c r="I57" s="765"/>
      <c r="J57" s="765"/>
    </row>
    <row r="58" spans="3:10" s="611" customFormat="1" ht="21">
      <c r="C58" s="660" t="str">
        <f>BASEBUDGETS!B1667</f>
        <v xml:space="preserve">   - Herbicides</v>
      </c>
      <c r="D58" s="765">
        <f>BASEBUDGETS!D1667</f>
        <v>0</v>
      </c>
      <c r="E58" s="775" t="e">
        <f>BASEBUDGETS!E1667/BASEBUDGETS!C1647</f>
        <v>#DIV/0!</v>
      </c>
      <c r="F58" s="769" t="str">
        <f>BASEBUDGETS!C1667</f>
        <v>acre</v>
      </c>
      <c r="G58" s="765"/>
      <c r="H58" s="765"/>
      <c r="I58" s="765"/>
      <c r="J58" s="765"/>
    </row>
    <row r="59" spans="3:10" s="611" customFormat="1" ht="21">
      <c r="C59" s="660" t="str">
        <f>BASEBUDGETS!B1668</f>
        <v xml:space="preserve">   - Herbicide - #2</v>
      </c>
      <c r="D59" s="765">
        <f>BASEBUDGETS!D1668</f>
        <v>0</v>
      </c>
      <c r="E59" s="775" t="e">
        <f>BASEBUDGETS!E1668/BASEBUDGETS!C1647</f>
        <v>#DIV/0!</v>
      </c>
      <c r="F59" s="769" t="str">
        <f>BASEBUDGETS!C1668</f>
        <v>acre</v>
      </c>
      <c r="G59" s="765"/>
      <c r="H59" s="765"/>
      <c r="I59" s="765"/>
      <c r="J59" s="765"/>
    </row>
    <row r="60" spans="3:10" s="611" customFormat="1" ht="21">
      <c r="C60" s="660" t="str">
        <f>BASEBUDGETS!B1669</f>
        <v xml:space="preserve">   - Insecticides</v>
      </c>
      <c r="D60" s="765">
        <f>BASEBUDGETS!D1669</f>
        <v>0</v>
      </c>
      <c r="E60" s="775" t="e">
        <f>BASEBUDGETS!E1669/BASEBUDGETS!C1647</f>
        <v>#DIV/0!</v>
      </c>
      <c r="F60" s="769" t="str">
        <f>BASEBUDGETS!C1669</f>
        <v>acre</v>
      </c>
      <c r="G60" s="765"/>
      <c r="H60" s="765"/>
      <c r="I60" s="765"/>
      <c r="J60" s="765"/>
    </row>
    <row r="61" spans="3:10" s="611" customFormat="1" ht="21">
      <c r="C61" s="660" t="str">
        <f>BASEBUDGETS!B1670</f>
        <v xml:space="preserve">   - Insecticide - #2</v>
      </c>
      <c r="D61" s="765">
        <f>BASEBUDGETS!D1670</f>
        <v>0</v>
      </c>
      <c r="E61" s="775" t="e">
        <f>BASEBUDGETS!E1670/BASEBUDGETS!C1647</f>
        <v>#DIV/0!</v>
      </c>
      <c r="F61" s="769" t="str">
        <f>BASEBUDGETS!C1670</f>
        <v>acre</v>
      </c>
      <c r="G61" s="765"/>
      <c r="H61" s="765"/>
      <c r="I61" s="765"/>
      <c r="J61" s="765"/>
    </row>
    <row r="62" spans="3:10" s="611" customFormat="1" ht="21">
      <c r="C62" s="660" t="str">
        <f>BASEBUDGETS!B1685</f>
        <v>Row Cultivator, Custom</v>
      </c>
      <c r="D62" s="765">
        <f>CustomOperations!N28</f>
        <v>0</v>
      </c>
      <c r="E62" s="771" t="e">
        <f>BASEBUDGETS!E1685/BASEBUDGETS!C1647</f>
        <v>#DIV/0!</v>
      </c>
      <c r="F62" s="770" t="str">
        <f>BASEBUDGETS!C1685</f>
        <v>acre</v>
      </c>
      <c r="G62" s="756">
        <v>0</v>
      </c>
      <c r="H62" s="756">
        <v>0</v>
      </c>
      <c r="I62" s="756" t="e">
        <f>IF(E62=0,0,BASEBUDGETS!D1685*E62)</f>
        <v>#DIV/0!</v>
      </c>
      <c r="J62" s="765" t="e">
        <f>G62+H62+I62</f>
        <v>#DIV/0!</v>
      </c>
    </row>
    <row r="63" spans="3:10" s="611" customFormat="1" ht="21">
      <c r="C63" s="660" t="str">
        <f>TillageOperations!$B$20</f>
        <v>Row Cultivator</v>
      </c>
      <c r="D63" s="765"/>
      <c r="E63" s="771" t="e">
        <f>BASEBUDGETS!E1720/BASEBUDGETS!C1647</f>
        <v>#DIV/0!</v>
      </c>
      <c r="F63" s="770" t="str">
        <f>BASEBUDGETS!C1720</f>
        <v>acre</v>
      </c>
      <c r="G63" s="756" t="e">
        <f>IF(E63=0,0,BASEBUDGETS!D1721*E63)</f>
        <v>#DIV/0!</v>
      </c>
      <c r="H63" s="756" t="e">
        <f>IF(E63=0,0,BASEBUDGETS!D1720*E63)</f>
        <v>#DIV/0!</v>
      </c>
      <c r="I63" s="756">
        <v>0</v>
      </c>
      <c r="J63" s="765" t="e">
        <f>G63+H63+I63</f>
        <v>#DIV/0!</v>
      </c>
    </row>
    <row r="64" spans="3:10" s="611" customFormat="1" ht="21">
      <c r="C64" s="660" t="s">
        <v>151</v>
      </c>
      <c r="D64" s="765"/>
      <c r="E64" s="776" t="s">
        <v>10</v>
      </c>
      <c r="F64" s="777" t="s">
        <v>10</v>
      </c>
      <c r="G64" s="756" t="e">
        <f>(D66*E66)+(D69*E69)+(D72*E72)</f>
        <v>#DIV/0!</v>
      </c>
      <c r="H64" s="756">
        <v>0</v>
      </c>
      <c r="I64" s="678" t="e">
        <f>(D65*E65)+(D68*E68)+(D71*E71)+(D67*E67)+(D70*E70)+(D73*E73)</f>
        <v>#DIV/0!</v>
      </c>
      <c r="J64" s="765" t="e">
        <f>G64+H64+I64</f>
        <v>#DIV/0!</v>
      </c>
    </row>
    <row r="65" spans="2:10" s="611" customFormat="1" ht="21">
      <c r="B65" s="660"/>
      <c r="C65" s="660" t="str">
        <f>BASEBUDGETS!B1671</f>
        <v>Flood - Irrigation Water</v>
      </c>
      <c r="D65" s="765">
        <f>BASEBUDGETS!D1671</f>
        <v>55</v>
      </c>
      <c r="E65" s="775" t="e">
        <f>BASEBUDGETS!E1671/BASEBUDGETS!C$1647</f>
        <v>#DIV/0!</v>
      </c>
      <c r="F65" s="769" t="str">
        <f>BASEBUDGETS!C1671</f>
        <v>ac ft</v>
      </c>
      <c r="G65" s="756"/>
      <c r="H65" s="756"/>
      <c r="I65" s="765"/>
      <c r="J65" s="765"/>
    </row>
    <row r="66" spans="2:10" s="611" customFormat="1" ht="21">
      <c r="B66" s="660"/>
      <c r="C66" s="660" t="str">
        <f>BASEBUDGETS!B1672</f>
        <v>Flood - Irrigation Labor</v>
      </c>
      <c r="D66" s="765">
        <f>BASEBUDGETS!D1672</f>
        <v>14.55</v>
      </c>
      <c r="E66" s="775" t="e">
        <f>BASEBUDGETS!E1672/BASEBUDGETS!C$1647</f>
        <v>#DIV/0!</v>
      </c>
      <c r="F66" s="769" t="str">
        <f>BASEBUDGETS!C1672</f>
        <v>hour</v>
      </c>
      <c r="G66" s="756"/>
      <c r="H66" s="756"/>
      <c r="I66" s="765"/>
      <c r="J66" s="765"/>
    </row>
    <row r="67" spans="2:10" s="611" customFormat="1" ht="21">
      <c r="C67" s="660" t="str">
        <f>BASEBUDGETS!B1673</f>
        <v xml:space="preserve">   - Annual Repairs &amp; Maintenance</v>
      </c>
      <c r="D67" s="765">
        <f>BASEBUDGETS!D1673</f>
        <v>3</v>
      </c>
      <c r="E67" s="775" t="e">
        <f>BASEBUDGETS!E1673/BASEBUDGETS!C$1647</f>
        <v>#DIV/0!</v>
      </c>
      <c r="F67" s="769" t="str">
        <f>BASEBUDGETS!C1673</f>
        <v>acre</v>
      </c>
      <c r="G67" s="757"/>
      <c r="H67" s="757"/>
      <c r="I67" s="756"/>
      <c r="J67" s="778" t="s">
        <v>10</v>
      </c>
    </row>
    <row r="68" spans="2:10" s="611" customFormat="1" ht="21">
      <c r="C68" s="660" t="str">
        <f>BASEBUDGETS!B1674</f>
        <v>Drip-tape - Irrigation Water</v>
      </c>
      <c r="D68" s="765">
        <f>BASEBUDGETS!D1674</f>
        <v>55</v>
      </c>
      <c r="E68" s="775" t="e">
        <f>BASEBUDGETS!E1674/BASEBUDGETS!C$1647</f>
        <v>#DIV/0!</v>
      </c>
      <c r="F68" s="769" t="str">
        <f>BASEBUDGETS!C1674</f>
        <v>ac ft</v>
      </c>
      <c r="G68" s="756"/>
      <c r="H68" s="756"/>
      <c r="I68" s="756"/>
      <c r="J68" s="765"/>
    </row>
    <row r="69" spans="2:10" s="611" customFormat="1" ht="21">
      <c r="C69" s="660" t="str">
        <f>BASEBUDGETS!B1675</f>
        <v>Drip-tape - Irrigation Labor</v>
      </c>
      <c r="D69" s="765">
        <f>BASEBUDGETS!D1675</f>
        <v>14.55</v>
      </c>
      <c r="E69" s="775" t="e">
        <f>BASEBUDGETS!E1675/BASEBUDGETS!C$1647</f>
        <v>#DIV/0!</v>
      </c>
      <c r="F69" s="769" t="str">
        <f>BASEBUDGETS!C1675</f>
        <v>hour</v>
      </c>
      <c r="G69" s="756"/>
      <c r="H69" s="756"/>
      <c r="I69" s="756"/>
      <c r="J69" s="765"/>
    </row>
    <row r="70" spans="2:10" s="611" customFormat="1" ht="21">
      <c r="C70" s="660" t="str">
        <f>BASEBUDGETS!B1676</f>
        <v xml:space="preserve">   - Annual Repairs &amp; Maintenance</v>
      </c>
      <c r="D70" s="765">
        <f>BASEBUDGETS!D1676</f>
        <v>7.5</v>
      </c>
      <c r="E70" s="775" t="e">
        <f>BASEBUDGETS!E1676/BASEBUDGETS!C$1647</f>
        <v>#DIV/0!</v>
      </c>
      <c r="F70" s="769" t="str">
        <f>BASEBUDGETS!C1676</f>
        <v>acre</v>
      </c>
      <c r="G70" s="756"/>
      <c r="H70" s="756"/>
      <c r="I70" s="756"/>
      <c r="J70" s="765"/>
    </row>
    <row r="71" spans="2:10" s="611" customFormat="1" ht="21">
      <c r="C71" s="660" t="str">
        <f>BASEBUDGETS!B1677</f>
        <v>Sprinkler - Irrigation Water</v>
      </c>
      <c r="D71" s="765">
        <f>BASEBUDGETS!D1677</f>
        <v>55</v>
      </c>
      <c r="E71" s="775" t="e">
        <f>BASEBUDGETS!E1677/BASEBUDGETS!C$1647</f>
        <v>#DIV/0!</v>
      </c>
      <c r="F71" s="769" t="str">
        <f>BASEBUDGETS!C1677</f>
        <v>ac ft</v>
      </c>
      <c r="G71" s="756"/>
      <c r="H71" s="756"/>
      <c r="I71" s="756"/>
      <c r="J71" s="765"/>
    </row>
    <row r="72" spans="2:10" s="611" customFormat="1" ht="21">
      <c r="C72" s="660" t="str">
        <f>BASEBUDGETS!B1678</f>
        <v>Sprinkler - Irrigation Labor</v>
      </c>
      <c r="D72" s="765">
        <f>BASEBUDGETS!D1678</f>
        <v>14.55</v>
      </c>
      <c r="E72" s="775" t="e">
        <f>BASEBUDGETS!E1678/BASEBUDGETS!C$1647</f>
        <v>#DIV/0!</v>
      </c>
      <c r="F72" s="769" t="str">
        <f>BASEBUDGETS!C1678</f>
        <v>hour</v>
      </c>
      <c r="G72" s="756"/>
      <c r="H72" s="756"/>
      <c r="I72" s="756"/>
      <c r="J72" s="765"/>
    </row>
    <row r="73" spans="2:10" s="611" customFormat="1" ht="21">
      <c r="C73" s="660" t="str">
        <f>BASEBUDGETS!B1679</f>
        <v xml:space="preserve">   - Annual Repairs &amp; Maintenance</v>
      </c>
      <c r="D73" s="765">
        <f>BASEBUDGETS!D1679</f>
        <v>15</v>
      </c>
      <c r="E73" s="775" t="e">
        <f>BASEBUDGETS!E1679/BASEBUDGETS!C$1647</f>
        <v>#DIV/0!</v>
      </c>
      <c r="F73" s="769" t="str">
        <f>BASEBUDGETS!C1679</f>
        <v>acre</v>
      </c>
      <c r="G73" s="756"/>
      <c r="H73" s="756"/>
      <c r="I73" s="756"/>
      <c r="J73" s="765"/>
    </row>
    <row r="74" spans="2:10" s="611" customFormat="1" ht="21">
      <c r="C74" s="660" t="str">
        <f>BASEBUDGETS!B1757</f>
        <v>Additional Crop Prod. Labor</v>
      </c>
      <c r="D74" s="765">
        <f>GeneralInputPrices!$D$31</f>
        <v>14.55</v>
      </c>
      <c r="E74" s="771" t="e">
        <f>BASEBUDGETS!E1757/BASEBUDGETS!C1647</f>
        <v>#DIV/0!</v>
      </c>
      <c r="F74" s="770" t="str">
        <f>BASEBUDGETS!C1757</f>
        <v>hour</v>
      </c>
      <c r="G74" s="756" t="e">
        <f>D74*E74</f>
        <v>#DIV/0!</v>
      </c>
      <c r="H74" s="756">
        <v>0</v>
      </c>
      <c r="I74" s="756">
        <v>0</v>
      </c>
      <c r="J74" s="765" t="e">
        <f t="shared" ref="J74:J75" si="2">G74+H74+I74</f>
        <v>#DIV/0!</v>
      </c>
    </row>
    <row r="75" spans="2:10" s="611" customFormat="1" ht="21">
      <c r="C75" s="660" t="str">
        <f>BASEBUDGETS!B1758</f>
        <v>Additional Crop Prod. Labor</v>
      </c>
      <c r="D75" s="765">
        <f>GeneralInputPrices!$D$31</f>
        <v>14.55</v>
      </c>
      <c r="E75" s="771" t="e">
        <f>BASEBUDGETS!E1758/BASEBUDGETS!C1647</f>
        <v>#DIV/0!</v>
      </c>
      <c r="F75" s="770" t="str">
        <f>BASEBUDGETS!C1758</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BASEBUDGETS!B1680</f>
        <v>Harvest, Custom</v>
      </c>
      <c r="D77" s="765">
        <f>CustomOperations!N37</f>
        <v>25</v>
      </c>
      <c r="E77" s="771" t="e">
        <f>BASEBUDGETS!E1680/BASEBUDGETS!C1647</f>
        <v>#DIV/0!</v>
      </c>
      <c r="F77" s="770" t="str">
        <f>BASEBUDGETS!C1680</f>
        <v>acre</v>
      </c>
      <c r="G77" s="756">
        <v>0</v>
      </c>
      <c r="H77" s="756">
        <v>0</v>
      </c>
      <c r="I77" s="756" t="e">
        <f>IF(E77=0,0,BASEBUDGETS!D1680*E77)</f>
        <v>#DIV/0!</v>
      </c>
      <c r="J77" s="765" t="e">
        <f t="shared" ref="J77:J88" si="3">G77+H77+I77</f>
        <v>#DIV/0!</v>
      </c>
    </row>
    <row r="78" spans="2:10" s="611" customFormat="1" ht="21">
      <c r="C78" s="660" t="str">
        <f>BASEBUDGETS!B1681</f>
        <v>Hauling, Custom</v>
      </c>
      <c r="D78" s="765">
        <f>CustomOperations!N39</f>
        <v>0</v>
      </c>
      <c r="E78" s="771" t="e">
        <f>BASEBUDGETS!E1681/BASEBUDGETS!C1647</f>
        <v>#DIV/0!</v>
      </c>
      <c r="F78" s="770" t="str">
        <f>BASEBUDGETS!C1681</f>
        <v>mile</v>
      </c>
      <c r="G78" s="756">
        <v>0</v>
      </c>
      <c r="H78" s="756">
        <v>0</v>
      </c>
      <c r="I78" s="756" t="e">
        <f>IF(E78=0,0,BASEBUDGETS!D1681*E78)</f>
        <v>#DIV/0!</v>
      </c>
      <c r="J78" s="765" t="e">
        <f t="shared" si="3"/>
        <v>#DIV/0!</v>
      </c>
    </row>
    <row r="79" spans="2:10" s="611" customFormat="1" ht="21">
      <c r="C79" s="660" t="str">
        <f>BASEBUDGETS!B1682</f>
        <v>Gin Cotton/Drying/Swathing, Custom</v>
      </c>
      <c r="D79" s="765">
        <f>CustomOperations!N41</f>
        <v>0</v>
      </c>
      <c r="E79" s="771" t="e">
        <f>BASEBUDGETS!E1682/BASEBUDGETS!C1647</f>
        <v>#DIV/0!</v>
      </c>
      <c r="F79" s="770" t="str">
        <f>BASEBUDGETS!C1682</f>
        <v>bale</v>
      </c>
      <c r="G79" s="756">
        <v>0</v>
      </c>
      <c r="H79" s="756">
        <v>0</v>
      </c>
      <c r="I79" s="756" t="e">
        <f>IF(E79=0,0,BASEBUDGETS!D1682*E79)</f>
        <v>#DIV/0!</v>
      </c>
      <c r="J79" s="765" t="e">
        <f t="shared" si="3"/>
        <v>#DIV/0!</v>
      </c>
    </row>
    <row r="80" spans="2:10" s="611" customFormat="1" ht="21">
      <c r="C80" s="660" t="str">
        <f>TillageOperations!$B$27</f>
        <v>Cotton Picker</v>
      </c>
      <c r="D80" s="765"/>
      <c r="E80" s="771" t="e">
        <f>BASEBUDGETS!E1724/BASEBUDGETS!C1647</f>
        <v>#DIV/0!</v>
      </c>
      <c r="F80" s="770" t="str">
        <f>BASEBUDGETS!C1724</f>
        <v>acre</v>
      </c>
      <c r="G80" s="756" t="e">
        <f>IF(E80=0,0,BASEBUDGETS!D1725*E80)</f>
        <v>#DIV/0!</v>
      </c>
      <c r="H80" s="756" t="e">
        <f>IF(E80=0,0,BASEBUDGETS!D1724*E80)</f>
        <v>#DIV/0!</v>
      </c>
      <c r="I80" s="756">
        <v>0</v>
      </c>
      <c r="J80" s="765" t="e">
        <f t="shared" si="3"/>
        <v>#DIV/0!</v>
      </c>
    </row>
    <row r="81" spans="2:10" s="611" customFormat="1" ht="21">
      <c r="C81" s="781" t="s">
        <v>287</v>
      </c>
      <c r="D81" s="765"/>
      <c r="E81" s="771" t="e">
        <f>BASEBUDGETS!E1726/BASEBUDGETS!C1647</f>
        <v>#DIV/0!</v>
      </c>
      <c r="F81" s="770" t="str">
        <f>BASEBUDGETS!C1726</f>
        <v>acre</v>
      </c>
      <c r="G81" s="756" t="e">
        <f>IF(E81=0,0,BASEBUDGETS!D1727*E81)</f>
        <v>#DIV/0!</v>
      </c>
      <c r="H81" s="756" t="e">
        <f>IF(E81=0,0,BASEBUDGETS!D1726*E81)</f>
        <v>#DIV/0!</v>
      </c>
      <c r="I81" s="756">
        <v>0</v>
      </c>
      <c r="J81" s="765" t="e">
        <f t="shared" ref="J81" si="4">G81+H81+I81</f>
        <v>#DIV/0!</v>
      </c>
    </row>
    <row r="82" spans="2:10" s="611" customFormat="1" ht="21">
      <c r="C82" s="660" t="str">
        <f>TillageOperations!$B$29</f>
        <v>Haul Cotton</v>
      </c>
      <c r="D82" s="765"/>
      <c r="E82" s="771" t="e">
        <f>BASEBUDGETS!E1728/BASEBUDGETS!C1647</f>
        <v>#DIV/0!</v>
      </c>
      <c r="F82" s="770" t="str">
        <f>BASEBUDGETS!C1728</f>
        <v>acre</v>
      </c>
      <c r="G82" s="756" t="e">
        <f>IF(E82=0,0,BASEBUDGETS!D1729*E82)</f>
        <v>#DIV/0!</v>
      </c>
      <c r="H82" s="756" t="e">
        <f>IF(E82=0,0,BASEBUDGETS!D1728*E82)</f>
        <v>#DIV/0!</v>
      </c>
      <c r="I82" s="756">
        <v>0</v>
      </c>
      <c r="J82" s="765" t="e">
        <f t="shared" si="3"/>
        <v>#DIV/0!</v>
      </c>
    </row>
    <row r="83" spans="2:10" s="611" customFormat="1" ht="21">
      <c r="C83" s="660" t="str">
        <f>TillageOperations!$B$30</f>
        <v>Combine</v>
      </c>
      <c r="D83" s="765"/>
      <c r="E83" s="771" t="e">
        <f>BASEBUDGETS!E1732/BASEBUDGETS!C1647</f>
        <v>#DIV/0!</v>
      </c>
      <c r="F83" s="770" t="str">
        <f>BASEBUDGETS!C1732</f>
        <v>acre</v>
      </c>
      <c r="G83" s="756" t="e">
        <f>IF(E83=0,0,BASEBUDGETS!D1733*E83)</f>
        <v>#DIV/0!</v>
      </c>
      <c r="H83" s="756" t="e">
        <f>IF(E83=0,0,BASEBUDGETS!D1732*E83)</f>
        <v>#DIV/0!</v>
      </c>
      <c r="I83" s="756">
        <v>0</v>
      </c>
      <c r="J83" s="765" t="e">
        <f t="shared" si="3"/>
        <v>#DIV/0!</v>
      </c>
    </row>
    <row r="84" spans="2:10" s="611" customFormat="1" ht="21">
      <c r="C84" s="660" t="str">
        <f>TillageOperations!$B$31</f>
        <v>Grain Cart</v>
      </c>
      <c r="D84" s="765"/>
      <c r="E84" s="771" t="e">
        <f>BASEBUDGETS!E1734/BASEBUDGETS!C1647</f>
        <v>#DIV/0!</v>
      </c>
      <c r="F84" s="770" t="str">
        <f>BASEBUDGETS!C1734</f>
        <v>acre</v>
      </c>
      <c r="G84" s="756" t="e">
        <f>IF(E84=0,0,BASEBUDGETS!D1735*E84)</f>
        <v>#DIV/0!</v>
      </c>
      <c r="H84" s="756" t="e">
        <f>IF(E84=0,0,BASEBUDGETS!D1734*E84)</f>
        <v>#DIV/0!</v>
      </c>
      <c r="I84" s="756">
        <v>0</v>
      </c>
      <c r="J84" s="765" t="e">
        <f t="shared" si="3"/>
        <v>#DIV/0!</v>
      </c>
    </row>
    <row r="85" spans="2:10" s="611" customFormat="1" ht="21">
      <c r="C85" s="660" t="str">
        <f>TillageOperations!$B$32</f>
        <v>Swather</v>
      </c>
      <c r="D85" s="765"/>
      <c r="E85" s="771" t="e">
        <f>BASEBUDGETS!E1736/BASEBUDGETS!C1647</f>
        <v>#DIV/0!</v>
      </c>
      <c r="F85" s="770" t="str">
        <f>BASEBUDGETS!C1736</f>
        <v>acre</v>
      </c>
      <c r="G85" s="756" t="e">
        <f>IF(E85=0,0,BASEBUDGETS!D1737*E85)</f>
        <v>#DIV/0!</v>
      </c>
      <c r="H85" s="756" t="e">
        <f>IF(E85=0,0,BASEBUDGETS!D1736*E85)</f>
        <v>#DIV/0!</v>
      </c>
      <c r="I85" s="756">
        <v>0</v>
      </c>
      <c r="J85" s="765" t="e">
        <f t="shared" si="3"/>
        <v>#DIV/0!</v>
      </c>
    </row>
    <row r="86" spans="2:10" s="611" customFormat="1" ht="21">
      <c r="C86" s="660" t="str">
        <f>TillageOperations!$B$33</f>
        <v>Baler</v>
      </c>
      <c r="D86" s="765"/>
      <c r="E86" s="771" t="e">
        <f>BASEBUDGETS!E1738/BASEBUDGETS!C1647</f>
        <v>#DIV/0!</v>
      </c>
      <c r="F86" s="770" t="str">
        <f>BASEBUDGETS!C1738</f>
        <v>acre</v>
      </c>
      <c r="G86" s="756" t="e">
        <f>IF(E86=0,0,BASEBUDGETS!D1739*E86)</f>
        <v>#DIV/0!</v>
      </c>
      <c r="H86" s="756" t="e">
        <f>IF(E86=0,0,BASEBUDGETS!D1738*E86)</f>
        <v>#DIV/0!</v>
      </c>
      <c r="I86" s="756" t="e">
        <f>IF(E86=0,0,D89*E89)</f>
        <v>#DIV/0!</v>
      </c>
      <c r="J86" s="765" t="e">
        <f t="shared" si="3"/>
        <v>#DIV/0!</v>
      </c>
    </row>
    <row r="87" spans="2:10" s="611" customFormat="1" ht="21">
      <c r="C87" s="660" t="str">
        <f>TillageOperations!$B$34</f>
        <v>Swather</v>
      </c>
      <c r="D87" s="765"/>
      <c r="E87" s="771" t="e">
        <f>BASEBUDGETS!E1740/BASEBUDGETS!C1647</f>
        <v>#DIV/0!</v>
      </c>
      <c r="F87" s="770" t="str">
        <f>BASEBUDGETS!C1740</f>
        <v>acre</v>
      </c>
      <c r="G87" s="756" t="e">
        <f>IF(E87=0,0,BASEBUDGETS!D1741*E87)</f>
        <v>#DIV/0!</v>
      </c>
      <c r="H87" s="756" t="e">
        <f>IF(E87=0,0,BASEBUDGETS!D1740*E87)</f>
        <v>#DIV/0!</v>
      </c>
      <c r="I87" s="756">
        <v>0</v>
      </c>
      <c r="J87" s="765" t="e">
        <f t="shared" si="3"/>
        <v>#DIV/0!</v>
      </c>
    </row>
    <row r="88" spans="2:10" s="611" customFormat="1" ht="21">
      <c r="C88" s="660" t="str">
        <f>TillageOperations!$B$35</f>
        <v>Baler</v>
      </c>
      <c r="D88" s="765"/>
      <c r="E88" s="771" t="e">
        <f>BASEBUDGETS!E1742/BASEBUDGETS!C1647</f>
        <v>#DIV/0!</v>
      </c>
      <c r="F88" s="770" t="str">
        <f>BASEBUDGETS!C1742</f>
        <v>acre</v>
      </c>
      <c r="G88" s="756" t="e">
        <f>IF(E88=0,0,BASEBUDGETS!D1743*E88)</f>
        <v>#DIV/0!</v>
      </c>
      <c r="H88" s="756" t="e">
        <f>IF(E88=0,0,BASEBUDGETS!D1742*E88)</f>
        <v>#DIV/0!</v>
      </c>
      <c r="I88" s="756" t="e">
        <f>IF(E88=0,0,D89*E89)</f>
        <v>#DIV/0!</v>
      </c>
      <c r="J88" s="765" t="e">
        <f t="shared" si="3"/>
        <v>#DIV/0!</v>
      </c>
    </row>
    <row r="89" spans="2:10" s="611" customFormat="1" ht="21">
      <c r="C89" s="660" t="str">
        <f>'Inputs&amp;PricesbyCrop'!$B$31</f>
        <v xml:space="preserve">   - Baling Twine</v>
      </c>
      <c r="D89" s="765">
        <f>BASEBUDGETS!D1744</f>
        <v>0</v>
      </c>
      <c r="E89" s="775" t="e">
        <f>BASEBUDGETS!E1744/BASEBUDGETS!C1647</f>
        <v>#DIV/0!</v>
      </c>
      <c r="F89" s="769" t="str">
        <f>'Inputs&amp;PricesbyCrop'!$C$31</f>
        <v>acre</v>
      </c>
      <c r="G89" s="756"/>
      <c r="H89" s="756"/>
      <c r="I89" s="756"/>
      <c r="J89" s="765"/>
    </row>
    <row r="90" spans="2:10" s="611" customFormat="1" ht="21">
      <c r="C90" s="660" t="str">
        <f>TillageOperations!$B$36</f>
        <v>Bale Wagon</v>
      </c>
      <c r="D90" s="765"/>
      <c r="E90" s="771" t="e">
        <f>BASEBUDGETS!E1745/BASEBUDGETS!C1647</f>
        <v>#DIV/0!</v>
      </c>
      <c r="F90" s="770" t="str">
        <f>BASEBUDGETS!C1745</f>
        <v>acre</v>
      </c>
      <c r="G90" s="756" t="e">
        <f>IF(E90=0,0,BASEBUDGETS!D1746*E90)</f>
        <v>#DIV/0!</v>
      </c>
      <c r="H90" s="756" t="e">
        <f>IF(E90=0,0,BASEBUDGETS!D1745*E90)</f>
        <v>#DIV/0!</v>
      </c>
      <c r="I90" s="756">
        <v>0</v>
      </c>
      <c r="J90" s="765" t="e">
        <f t="shared" ref="J90:J92" si="5">G90+H90+I90</f>
        <v>#DIV/0!</v>
      </c>
    </row>
    <row r="91" spans="2:10" s="611" customFormat="1" ht="21">
      <c r="C91" s="660" t="str">
        <f>BASEBUDGETS!B1759</f>
        <v>Additional Harvest Labor</v>
      </c>
      <c r="D91" s="765">
        <f>GeneralInputPrices!$D$32</f>
        <v>17.89</v>
      </c>
      <c r="E91" s="771" t="e">
        <f>BASEBUDGETS!E1759/BASEBUDGETS!C1647</f>
        <v>#DIV/0!</v>
      </c>
      <c r="F91" s="770" t="str">
        <f>BASEBUDGETS!C1759</f>
        <v>hour</v>
      </c>
      <c r="G91" s="756" t="e">
        <f>D91*E91</f>
        <v>#DIV/0!</v>
      </c>
      <c r="H91" s="756">
        <v>0</v>
      </c>
      <c r="I91" s="756">
        <v>0</v>
      </c>
      <c r="J91" s="765" t="e">
        <f t="shared" si="5"/>
        <v>#DIV/0!</v>
      </c>
    </row>
    <row r="92" spans="2:10" s="611" customFormat="1" ht="21">
      <c r="C92" s="660" t="str">
        <f>BASEBUDGETS!B1760</f>
        <v>Additional Harvest Labor</v>
      </c>
      <c r="D92" s="765">
        <f>GeneralInputPrices!$D$32</f>
        <v>17.89</v>
      </c>
      <c r="E92" s="771" t="e">
        <f>BASEBUDGETS!E1760/BASEBUDGETS!C1647</f>
        <v>#DIV/0!</v>
      </c>
      <c r="F92" s="770" t="str">
        <f>BASEBUDGETS!C1760</f>
        <v>hour</v>
      </c>
      <c r="G92" s="756" t="e">
        <f>D92*E92</f>
        <v>#DIV/0!</v>
      </c>
      <c r="H92" s="756">
        <v>0</v>
      </c>
      <c r="I92" s="756">
        <v>0</v>
      </c>
      <c r="J92" s="765" t="e">
        <f t="shared" si="5"/>
        <v>#DIV/0!</v>
      </c>
    </row>
    <row r="93" spans="2:10" s="611" customFormat="1" ht="21">
      <c r="B93" s="760" t="s">
        <v>184</v>
      </c>
      <c r="C93" s="760"/>
      <c r="D93" s="765"/>
      <c r="E93" s="771"/>
      <c r="F93" s="770"/>
      <c r="G93" s="756"/>
      <c r="H93" s="756"/>
      <c r="I93" s="756"/>
      <c r="J93" s="765"/>
    </row>
    <row r="94" spans="2:10" s="611" customFormat="1" ht="21">
      <c r="C94" s="660" t="str">
        <f>BASEBUDGETS!B1761</f>
        <v>Other Expenses</v>
      </c>
      <c r="D94" s="765"/>
      <c r="E94" s="783">
        <f>BASEBUDGETS!D1761</f>
        <v>0.05</v>
      </c>
      <c r="F94" s="780" t="s">
        <v>10</v>
      </c>
      <c r="G94" s="756">
        <v>0</v>
      </c>
      <c r="H94" s="756">
        <v>0</v>
      </c>
      <c r="I94" s="756" t="e">
        <f>SUM(J9:J92)*E94</f>
        <v>#DIV/0!</v>
      </c>
      <c r="J94" s="765" t="e">
        <f>G94+H94+I94</f>
        <v>#DIV/0!</v>
      </c>
    </row>
    <row r="95" spans="2:10" s="611" customFormat="1" ht="21">
      <c r="C95" s="660" t="str">
        <f>BASEBUDGETS!B1762</f>
        <v>Interest on Operating Capital</v>
      </c>
      <c r="D95" s="765"/>
      <c r="E95" s="783">
        <f>BASEBUDGETS!D1762</f>
        <v>0.06</v>
      </c>
      <c r="F95" s="780" t="s">
        <v>10</v>
      </c>
      <c r="G95" s="784">
        <v>0</v>
      </c>
      <c r="H95" s="784">
        <v>0</v>
      </c>
      <c r="I95" s="784" t="e">
        <f>SUM(J9:J94)*((E95/12)*GeneralInputPrices!$D$39)</f>
        <v>#DIV/0!</v>
      </c>
      <c r="J95" s="785" t="e">
        <f>G95+H95+I95</f>
        <v>#DIV/0!</v>
      </c>
    </row>
    <row r="96" spans="2:10" s="611" customFormat="1" ht="21">
      <c r="B96" s="760" t="s">
        <v>153</v>
      </c>
      <c r="C96" s="760"/>
      <c r="D96" s="760"/>
      <c r="E96" s="760"/>
      <c r="F96" s="760"/>
      <c r="G96" s="756" t="e">
        <f>SUM(G9:G95)</f>
        <v>#DIV/0!</v>
      </c>
      <c r="H96" s="756" t="e">
        <f>SUM(H9:H95)</f>
        <v>#DIV/0!</v>
      </c>
      <c r="I96" s="756" t="e">
        <f>SUM(I9:I95)</f>
        <v>#DIV/0!</v>
      </c>
      <c r="J96" s="756" t="e">
        <f>SUM(J9:J95)</f>
        <v>#DIV/0!</v>
      </c>
    </row>
    <row r="97" spans="2:10" s="611" customFormat="1">
      <c r="D97" s="786"/>
      <c r="E97" s="774"/>
      <c r="G97" s="757"/>
      <c r="H97" s="757"/>
      <c r="I97" s="757"/>
      <c r="J97" s="757"/>
    </row>
    <row r="98" spans="2:10" s="611" customFormat="1" ht="21">
      <c r="B98" s="760" t="s">
        <v>155</v>
      </c>
      <c r="C98" s="760"/>
      <c r="D98" s="760"/>
      <c r="E98" s="760"/>
      <c r="F98" s="760"/>
      <c r="G98" s="756"/>
      <c r="H98" s="756"/>
      <c r="I98" s="756"/>
      <c r="J98" s="756" t="e">
        <f>J5-J96</f>
        <v>#DIV/0!</v>
      </c>
    </row>
    <row r="99" spans="2:10" s="611" customFormat="1">
      <c r="D99" s="786"/>
      <c r="E99" s="774"/>
      <c r="G99" s="757"/>
      <c r="H99" s="757"/>
      <c r="I99" s="757"/>
      <c r="J99" s="757"/>
    </row>
    <row r="100" spans="2:10" s="611" customFormat="1" ht="21">
      <c r="B100" s="787" t="s">
        <v>78</v>
      </c>
      <c r="C100" s="787"/>
      <c r="D100" s="787"/>
      <c r="E100" s="787"/>
      <c r="F100" s="787"/>
      <c r="G100" s="791"/>
      <c r="H100" s="792" t="s">
        <v>1</v>
      </c>
      <c r="I100" s="767" t="s">
        <v>24</v>
      </c>
      <c r="J100" s="767" t="s">
        <v>0</v>
      </c>
    </row>
    <row r="101" spans="2:10" s="611" customFormat="1" ht="21">
      <c r="B101" s="754" t="str">
        <f>BASEBUDGETS!B1797</f>
        <v>Crop Insurance</v>
      </c>
      <c r="C101" s="754"/>
      <c r="D101" s="754"/>
      <c r="E101" s="754"/>
      <c r="F101" s="754"/>
      <c r="G101" s="757"/>
      <c r="H101" s="770" t="str">
        <f>BASEBUDGETS!C1797</f>
        <v>acre</v>
      </c>
      <c r="I101" s="756" t="e">
        <f>BASEBUDGETS!F1797/BASEBUDGETS!C1647</f>
        <v>#DIV/0!</v>
      </c>
      <c r="J101" s="756" t="e">
        <f>I101</f>
        <v>#DIV/0!</v>
      </c>
    </row>
    <row r="102" spans="2:10" s="611" customFormat="1" ht="21">
      <c r="B102" s="760" t="str">
        <f>BASEBUDGETS!B1798</f>
        <v>Property Insurance</v>
      </c>
      <c r="C102" s="760"/>
      <c r="D102" s="760"/>
      <c r="E102" s="760"/>
      <c r="F102" s="760"/>
      <c r="G102" s="757"/>
      <c r="H102" s="770" t="str">
        <f>BASEBUDGETS!C1798</f>
        <v>acre</v>
      </c>
      <c r="I102" s="756" t="e">
        <f>BASEBUDGETS!F1798/BASEBUDGETS!C1647</f>
        <v>#DIV/0!</v>
      </c>
      <c r="J102" s="756" t="e">
        <f>I102</f>
        <v>#DIV/0!</v>
      </c>
    </row>
    <row r="103" spans="2:10" s="611" customFormat="1" ht="21">
      <c r="B103" s="760" t="str">
        <f>BASEBUDGETS!B1799</f>
        <v>Property Taxes</v>
      </c>
      <c r="C103" s="760"/>
      <c r="D103" s="760"/>
      <c r="E103" s="760"/>
      <c r="F103" s="760"/>
      <c r="G103" s="757"/>
      <c r="H103" s="770" t="str">
        <f>BASEBUDGETS!C1799</f>
        <v>acre</v>
      </c>
      <c r="I103" s="756" t="e">
        <f>BASEBUDGETS!F1799/BASEBUDGETS!C1647</f>
        <v>#DIV/0!</v>
      </c>
      <c r="J103" s="756" t="e">
        <f t="shared" ref="J103:J106" si="6">I103</f>
        <v>#DIV/0!</v>
      </c>
    </row>
    <row r="104" spans="2:10" s="611" customFormat="1" ht="21">
      <c r="B104" s="760" t="str">
        <f>BASEBUDGETS!B1802</f>
        <v>Licenses and Fees</v>
      </c>
      <c r="C104" s="760"/>
      <c r="D104" s="760"/>
      <c r="E104" s="760"/>
      <c r="F104" s="760"/>
      <c r="G104" s="757"/>
      <c r="H104" s="770" t="str">
        <f>BASEBUDGETS!C1802</f>
        <v>acre</v>
      </c>
      <c r="I104" s="756" t="e">
        <f>BASEBUDGETS!F1802/BASEBUDGETS!C1647</f>
        <v>#DIV/0!</v>
      </c>
      <c r="J104" s="756" t="e">
        <f t="shared" si="6"/>
        <v>#DIV/0!</v>
      </c>
    </row>
    <row r="105" spans="2:10" s="611" customFormat="1" ht="21">
      <c r="B105" s="794" t="s">
        <v>484</v>
      </c>
      <c r="C105" s="794"/>
      <c r="D105" s="794"/>
      <c r="E105" s="756"/>
      <c r="F105" s="756"/>
      <c r="G105" s="756"/>
      <c r="H105" s="770" t="s">
        <v>157</v>
      </c>
      <c r="I105" s="756">
        <f>IF('AcresYieldsPrices&amp;Water'!D9=0,0,((Fallow!L17*'AcresYieldsPrices&amp;Water'!T18)/'AcresYieldsPrices&amp;Water'!D12)*-1)</f>
        <v>0</v>
      </c>
      <c r="J105" s="765">
        <f>I105</f>
        <v>0</v>
      </c>
    </row>
    <row r="106" spans="2:10" s="611" customFormat="1" ht="21">
      <c r="B106" s="760" t="str">
        <f>BASEBUDGETS!B1800</f>
        <v>Annual Cash Rent Payment</v>
      </c>
      <c r="C106" s="760"/>
      <c r="D106" s="760"/>
      <c r="E106" s="760"/>
      <c r="F106" s="760"/>
      <c r="G106" s="757"/>
      <c r="H106" s="770" t="str">
        <f>BASEBUDGETS!C1800</f>
        <v>acre</v>
      </c>
      <c r="I106" s="756" t="e">
        <f>BASEBUDGETS!F1800/BASEBUDGETS!C1647</f>
        <v>#DIV/0!</v>
      </c>
      <c r="J106" s="784" t="e">
        <f t="shared" si="6"/>
        <v>#DIV/0!</v>
      </c>
    </row>
    <row r="107" spans="2:10" s="611" customFormat="1" ht="21">
      <c r="B107" s="760" t="s">
        <v>79</v>
      </c>
      <c r="C107" s="760"/>
      <c r="D107" s="760"/>
      <c r="E107" s="760"/>
      <c r="F107" s="760"/>
      <c r="G107" s="756"/>
      <c r="H107" s="756"/>
      <c r="I107" s="756"/>
      <c r="J107" s="765" t="e">
        <f>SUM(J101:J106)</f>
        <v>#DIV/0!</v>
      </c>
    </row>
    <row r="108" spans="2:10" s="611" customFormat="1">
      <c r="D108" s="786"/>
      <c r="E108" s="774"/>
      <c r="G108" s="757"/>
      <c r="H108" s="757"/>
      <c r="I108" s="757"/>
      <c r="J108" s="786"/>
    </row>
    <row r="109" spans="2:10" s="611" customFormat="1" ht="21">
      <c r="B109" s="805" t="s">
        <v>154</v>
      </c>
      <c r="C109" s="805"/>
      <c r="D109" s="805"/>
      <c r="E109" s="805"/>
      <c r="F109" s="805"/>
      <c r="G109" s="791"/>
      <c r="H109" s="792" t="s">
        <v>1</v>
      </c>
      <c r="I109" s="767" t="s">
        <v>24</v>
      </c>
      <c r="J109" s="767" t="s">
        <v>0</v>
      </c>
    </row>
    <row r="110" spans="2:10" s="611" customFormat="1" ht="21">
      <c r="B110" s="760" t="s">
        <v>534</v>
      </c>
      <c r="C110" s="760"/>
      <c r="D110" s="760"/>
      <c r="E110" s="760"/>
      <c r="F110" s="760"/>
      <c r="G110" s="760"/>
      <c r="H110" s="770" t="s">
        <v>157</v>
      </c>
      <c r="I110" s="756" t="e">
        <f>SUM(BASEBUDGETS!F1766:F1768)/BASEBUDGETS!C1647</f>
        <v>#DIV/0!</v>
      </c>
      <c r="J110" s="765" t="e">
        <f>I110</f>
        <v>#DIV/0!</v>
      </c>
    </row>
    <row r="111" spans="2:10" s="611" customFormat="1" ht="21">
      <c r="B111" s="794" t="s">
        <v>156</v>
      </c>
      <c r="C111" s="794"/>
      <c r="D111" s="794"/>
      <c r="E111" s="794"/>
      <c r="F111" s="794"/>
      <c r="G111" s="756"/>
      <c r="H111" s="770" t="str">
        <f>BASEBUDGETS!C1766</f>
        <v>acre</v>
      </c>
      <c r="I111" s="758" t="e">
        <f>SUM(BASEBUDGETS!F1769:F1796)/BASEBUDGETS!C1647</f>
        <v>#DIV/0!</v>
      </c>
      <c r="J111" s="797" t="e">
        <f>I111</f>
        <v>#DIV/0!</v>
      </c>
    </row>
    <row r="112" spans="2:10" s="611" customFormat="1" ht="21">
      <c r="B112" s="807" t="s">
        <v>77</v>
      </c>
      <c r="C112" s="807"/>
      <c r="D112" s="807"/>
      <c r="E112" s="807"/>
      <c r="F112" s="807"/>
      <c r="G112" s="756"/>
      <c r="H112" s="756"/>
      <c r="I112" s="756"/>
      <c r="J112" s="678" t="e">
        <f>J111+J110</f>
        <v>#DIV/0!</v>
      </c>
    </row>
    <row r="113" spans="2:10" s="611" customFormat="1" ht="21">
      <c r="B113" s="660"/>
      <c r="C113" s="660"/>
      <c r="D113" s="765"/>
      <c r="E113" s="758"/>
      <c r="F113" s="660"/>
      <c r="G113" s="756"/>
      <c r="H113" s="756"/>
      <c r="I113" s="756"/>
      <c r="J113" s="765"/>
    </row>
    <row r="114" spans="2:10" s="611" customFormat="1" ht="20.399999999999999">
      <c r="B114" s="808" t="s">
        <v>63</v>
      </c>
      <c r="C114" s="808"/>
      <c r="D114" s="808"/>
      <c r="E114" s="808"/>
      <c r="F114" s="808"/>
      <c r="G114" s="764"/>
      <c r="H114" s="764"/>
      <c r="I114" s="764"/>
      <c r="J114" s="801">
        <f>IF(I4=0,0,J96+J107+J112)</f>
        <v>0</v>
      </c>
    </row>
    <row r="115" spans="2:10" s="611" customFormat="1" ht="20.399999999999999">
      <c r="B115" s="805" t="s">
        <v>64</v>
      </c>
      <c r="C115" s="805"/>
      <c r="D115" s="805"/>
      <c r="E115" s="805"/>
      <c r="F115" s="805"/>
      <c r="G115" s="803"/>
      <c r="H115" s="803"/>
      <c r="I115" s="803"/>
      <c r="J115" s="788">
        <f>J5-J114</f>
        <v>0</v>
      </c>
    </row>
  </sheetData>
  <sheetProtection algorithmName="SHA-512" hashValue="6iKSiQjV1Q6hXWz6p/u+98njarGTF+J7obJYY0CldoefkYVcyouGXC6+i9UyThPv/WFu9YBLL7sSo+G60g5bbQ==" saltValue="aST3Rd2eAqVMdci7aE2lDw==" spinCount="100000" sheet="1" objects="1" scenarios="1"/>
  <mergeCells count="23">
    <mergeCell ref="B3:C3"/>
    <mergeCell ref="B8:C8"/>
    <mergeCell ref="B31:C31"/>
    <mergeCell ref="B2:F2"/>
    <mergeCell ref="G2:I2"/>
    <mergeCell ref="B4:E4"/>
    <mergeCell ref="B96:F96"/>
    <mergeCell ref="B98:F98"/>
    <mergeCell ref="B101:F101"/>
    <mergeCell ref="B76:C76"/>
    <mergeCell ref="B93:C93"/>
    <mergeCell ref="B102:F102"/>
    <mergeCell ref="B103:F103"/>
    <mergeCell ref="B104:F104"/>
    <mergeCell ref="B106:F106"/>
    <mergeCell ref="B107:F107"/>
    <mergeCell ref="B105:D105"/>
    <mergeCell ref="B109:F109"/>
    <mergeCell ref="B111:F111"/>
    <mergeCell ref="B112:F112"/>
    <mergeCell ref="B114:F114"/>
    <mergeCell ref="B115:F115"/>
    <mergeCell ref="B110:G110"/>
  </mergeCells>
  <pageMargins left="0.7" right="0.7" top="0.75" bottom="0.75" header="0.3" footer="0.3"/>
  <pageSetup scale="59" fitToHeight="2" orientation="portrait" horizontalDpi="0" verticalDpi="0"/>
  <ignoredErrors>
    <ignoredError sqref="B5:E5 B31:C31 B113:J113 B4 B38:B43 B93:D93 G4:J5 F4:F8 C29:C30 B96:F98 K55:K62 K67:K73 K38:K43 K45:K53 B74:C75 B76:C76 B77:C82 B114:J115 K31:K34 C35:C36 G2 B32:C34 C38:C44 B45:C53 K9:K27 B94:D95 K93:K98 B111:H111 B112:I112 B101:H104 B9:D27 K76:K90 B83:D92 C28:D28 D29:D65 B55:C65 K64:K65 B67:B73 C66:D73 D74:D82 B106:H109 F66:F73" unlockedFormula="1"/>
    <ignoredError sqref="E52:H53 E32:H36 E38:H44 E45:J51 J94 E94:H94 E95:J95 G96:J98 E74:J93 E9:J31 I32:J44 E55:J63 F65:J65 G67:J73 E64:F64 I52:J54 I111:J111 I101:J109 I110:J110 I64:J64 E66:E73 J112" evalError="1" unlockedFormula="1"/>
    <ignoredError sqref="I94 E54:H54 E37:H37 G64:H64 E65" evalError="1"/>
  </ignoredErrors>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09E91-5C12-6A4B-8E0B-2B34E0475CAB}">
  <sheetPr codeName="Sheet25">
    <pageSetUpPr fitToPage="1"/>
  </sheetPr>
  <dimension ref="A1:V114"/>
  <sheetViews>
    <sheetView zoomScale="110" zoomScaleNormal="110" workbookViewId="0">
      <selection activeCell="G4" sqref="G4"/>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5" width="14.88671875" style="611" customWidth="1"/>
    <col min="16" max="22" width="12.33203125" style="611" customWidth="1"/>
    <col min="23" max="16384" width="11.44140625" style="653"/>
  </cols>
  <sheetData>
    <row r="1" spans="2:14" ht="15.9" customHeight="1" thickBot="1">
      <c r="B1" s="741"/>
      <c r="C1" s="741"/>
      <c r="D1" s="742"/>
      <c r="E1" s="743"/>
      <c r="F1" s="744"/>
      <c r="G1" s="745"/>
      <c r="H1" s="745"/>
      <c r="I1" s="745"/>
      <c r="J1" s="745"/>
    </row>
    <row r="2" spans="2:14" ht="22.8">
      <c r="B2" s="746" t="s">
        <v>488</v>
      </c>
      <c r="C2" s="746"/>
      <c r="D2" s="746"/>
      <c r="E2" s="746"/>
      <c r="F2" s="746"/>
      <c r="G2" s="746" t="str">
        <f>'AcresYieldsPrices&amp;Water'!B13</f>
        <v>Spring Barley</v>
      </c>
      <c r="H2" s="746"/>
      <c r="I2" s="746"/>
      <c r="J2" s="747" t="s">
        <v>487</v>
      </c>
    </row>
    <row r="3" spans="2:14" ht="22.8">
      <c r="B3" s="748" t="s">
        <v>22</v>
      </c>
      <c r="C3" s="748"/>
      <c r="D3" s="749"/>
      <c r="E3" s="750"/>
      <c r="F3" s="751" t="s">
        <v>1</v>
      </c>
      <c r="G3" s="752" t="s">
        <v>24</v>
      </c>
      <c r="H3" s="753"/>
      <c r="I3" s="752" t="s">
        <v>25</v>
      </c>
      <c r="J3" s="752" t="s">
        <v>0</v>
      </c>
    </row>
    <row r="4" spans="2:14" ht="21">
      <c r="B4" s="754" t="str">
        <f>BASEBUDGETS!B1813</f>
        <v>Spring Barley</v>
      </c>
      <c r="C4" s="754"/>
      <c r="D4" s="754"/>
      <c r="E4" s="754"/>
      <c r="F4" s="755" t="str">
        <f>BASEBUDGETS!C1813</f>
        <v>CWT</v>
      </c>
      <c r="G4" s="756">
        <f>BASEBUDGETS!D1813</f>
        <v>14</v>
      </c>
      <c r="I4" s="758">
        <f>IF(BASEBUDGETS!E1813=0,0,BASEBUDGETS!E1813/BASEBUDGETS!C1809)</f>
        <v>0</v>
      </c>
      <c r="J4" s="761">
        <f>G4*I4</f>
        <v>0</v>
      </c>
    </row>
    <row r="5" spans="2:14" ht="20.399999999999999">
      <c r="B5" s="679" t="s">
        <v>27</v>
      </c>
      <c r="C5" s="679"/>
      <c r="D5" s="762"/>
      <c r="E5" s="763"/>
      <c r="F5" s="679"/>
      <c r="G5" s="764"/>
      <c r="H5" s="764"/>
      <c r="I5" s="764"/>
      <c r="J5" s="764">
        <f>SUM(J4:J4)</f>
        <v>0</v>
      </c>
    </row>
    <row r="6" spans="2:14" ht="21">
      <c r="B6" s="660"/>
      <c r="C6" s="660"/>
      <c r="D6" s="765"/>
      <c r="E6" s="758"/>
      <c r="F6" s="660"/>
      <c r="G6" s="756"/>
      <c r="H6" s="756"/>
      <c r="I6" s="756"/>
      <c r="J6" s="756"/>
    </row>
    <row r="7" spans="2:14" ht="21">
      <c r="B7" s="766" t="s">
        <v>76</v>
      </c>
      <c r="C7" s="766"/>
      <c r="D7" s="767" t="s">
        <v>45</v>
      </c>
      <c r="E7" s="810" t="s">
        <v>25</v>
      </c>
      <c r="F7" s="811" t="s">
        <v>1</v>
      </c>
      <c r="G7" s="812" t="s">
        <v>149</v>
      </c>
      <c r="H7" s="812" t="s">
        <v>8</v>
      </c>
      <c r="I7" s="812" t="s">
        <v>150</v>
      </c>
      <c r="J7" s="812" t="s">
        <v>7</v>
      </c>
    </row>
    <row r="8" spans="2:14" ht="21">
      <c r="B8" s="754" t="s">
        <v>210</v>
      </c>
      <c r="C8" s="754"/>
      <c r="D8" s="765"/>
      <c r="E8" s="758"/>
      <c r="F8" s="769"/>
      <c r="G8" s="770"/>
      <c r="H8" s="770"/>
      <c r="I8" s="770"/>
    </row>
    <row r="9" spans="2:14" ht="21">
      <c r="C9" s="660" t="str">
        <f>BASEBUDGETS!B1848</f>
        <v>V Ripper, Custom</v>
      </c>
      <c r="D9" s="765">
        <f>CustomOperations!O5</f>
        <v>44.25</v>
      </c>
      <c r="E9" s="771" t="e">
        <f>BASEBUDGETS!E1848/BASEBUDGETS!C1809</f>
        <v>#DIV/0!</v>
      </c>
      <c r="F9" s="770" t="str">
        <f>BASEBUDGETS!C1848</f>
        <v>acre</v>
      </c>
      <c r="G9" s="756">
        <v>0</v>
      </c>
      <c r="H9" s="756">
        <v>0</v>
      </c>
      <c r="I9" s="756" t="e">
        <f>IF(E9=0,0,BASEBUDGETS!D1848*E9)</f>
        <v>#DIV/0!</v>
      </c>
      <c r="J9" s="765" t="e">
        <f>G9+H9+I9</f>
        <v>#DIV/0!</v>
      </c>
      <c r="L9" s="772">
        <f>N9*'AcresYieldsPrices&amp;Water'!D$13</f>
        <v>0</v>
      </c>
      <c r="M9" s="611" t="s">
        <v>394</v>
      </c>
      <c r="N9" s="653">
        <f>IFERROR(I37,0)</f>
        <v>0</v>
      </c>
    </row>
    <row r="10" spans="2:14" ht="21">
      <c r="C10" s="660" t="str">
        <f>BASEBUDGETS!B1849</f>
        <v>Disk, Custom</v>
      </c>
      <c r="D10" s="765">
        <f>CustomOperations!O7</f>
        <v>0</v>
      </c>
      <c r="E10" s="771" t="e">
        <f>BASEBUDGETS!E1849/BASEBUDGETS!C1809</f>
        <v>#DIV/0!</v>
      </c>
      <c r="F10" s="770" t="str">
        <f>BASEBUDGETS!C1849</f>
        <v>acre</v>
      </c>
      <c r="G10" s="756">
        <v>0</v>
      </c>
      <c r="H10" s="756">
        <v>0</v>
      </c>
      <c r="I10" s="756" t="e">
        <f>IF(E10=0,0,BASEBUDGETS!D1849*E10)</f>
        <v>#DIV/0!</v>
      </c>
      <c r="J10" s="765" t="e">
        <f>G10+H10+I10</f>
        <v>#DIV/0!</v>
      </c>
      <c r="L10" s="772">
        <f>N10*'AcresYieldsPrices&amp;Water'!D$13</f>
        <v>0</v>
      </c>
      <c r="M10" s="611" t="s">
        <v>395</v>
      </c>
      <c r="N10" s="653">
        <f>IFERROR(I44,0)</f>
        <v>0</v>
      </c>
    </row>
    <row r="11" spans="2:14" ht="21">
      <c r="C11" s="660" t="str">
        <f>BASEBUDGETS!B1850</f>
        <v>Drag, Custom</v>
      </c>
      <c r="D11" s="765">
        <f>CustomOperations!O9</f>
        <v>0</v>
      </c>
      <c r="E11" s="771" t="e">
        <f>BASEBUDGETS!E1850/BASEBUDGETS!C1809</f>
        <v>#DIV/0!</v>
      </c>
      <c r="F11" s="770" t="str">
        <f>BASEBUDGETS!C1850</f>
        <v>acre</v>
      </c>
      <c r="G11" s="756">
        <v>0</v>
      </c>
      <c r="H11" s="756">
        <v>0</v>
      </c>
      <c r="I11" s="756" t="e">
        <f>IF(E11=0,0,BASEBUDGETS!D1850*E11)</f>
        <v>#DIV/0!</v>
      </c>
      <c r="J11" s="765" t="e">
        <f t="shared" ref="J11:J30" si="0">G11+H11+I11</f>
        <v>#DIV/0!</v>
      </c>
      <c r="L11" s="772">
        <f>N11*'AcresYieldsPrices&amp;Water'!D$13</f>
        <v>0</v>
      </c>
      <c r="M11" s="611" t="s">
        <v>396</v>
      </c>
      <c r="N11" s="653">
        <f>IFERROR(I54,0)</f>
        <v>0</v>
      </c>
    </row>
    <row r="12" spans="2:14" ht="21">
      <c r="C12" s="660" t="str">
        <f>BASEBUDGETS!B1851</f>
        <v>Chisel, Custom</v>
      </c>
      <c r="D12" s="765">
        <f>CustomOperations!O11</f>
        <v>0</v>
      </c>
      <c r="E12" s="771" t="e">
        <f>BASEBUDGETS!E1851/BASEBUDGETS!C1809</f>
        <v>#DIV/0!</v>
      </c>
      <c r="F12" s="770" t="str">
        <f>BASEBUDGETS!C1851</f>
        <v>acre</v>
      </c>
      <c r="G12" s="756">
        <v>0</v>
      </c>
      <c r="H12" s="756">
        <v>0</v>
      </c>
      <c r="I12" s="756" t="e">
        <f>IF(E12=0,0,BASEBUDGETS!D1851*E12)</f>
        <v>#DIV/0!</v>
      </c>
      <c r="J12" s="765" t="e">
        <f t="shared" si="0"/>
        <v>#DIV/0!</v>
      </c>
      <c r="L12" s="772">
        <f>N12*'AcresYieldsPrices&amp;Water'!D$13</f>
        <v>0</v>
      </c>
      <c r="M12" s="611" t="s">
        <v>392</v>
      </c>
      <c r="N12" s="653">
        <f>IFERROR(E29+E30+E74+E75+E91+E92+E72+E69+E66,0)</f>
        <v>0</v>
      </c>
    </row>
    <row r="13" spans="2:14" ht="21">
      <c r="C13" s="660" t="str">
        <f>BASEBUDGETS!B1852</f>
        <v>Moldboard Plow, Custom</v>
      </c>
      <c r="D13" s="765">
        <f>CustomOperations!O13</f>
        <v>0</v>
      </c>
      <c r="E13" s="771" t="e">
        <f>BASEBUDGETS!E1852/BASEBUDGETS!C1809</f>
        <v>#DIV/0!</v>
      </c>
      <c r="F13" s="770" t="str">
        <f>BASEBUDGETS!C1852</f>
        <v>acre</v>
      </c>
      <c r="G13" s="756">
        <v>0</v>
      </c>
      <c r="H13" s="756">
        <v>0</v>
      </c>
      <c r="I13" s="756" t="e">
        <f>IF(E13=0,0,BASEBUDGETS!D1852*E13)</f>
        <v>#DIV/0!</v>
      </c>
      <c r="J13" s="765" t="e">
        <f t="shared" si="0"/>
        <v>#DIV/0!</v>
      </c>
      <c r="L13" s="772">
        <f>N13*'AcresYieldsPrices&amp;Water'!D$13</f>
        <v>0</v>
      </c>
      <c r="M13" s="611" t="s">
        <v>393</v>
      </c>
      <c r="N13" s="653">
        <f>IFERROR(((SUM(G18:G28)+G36+G34+G35+G43+G42+G53+G63+SUM(G80:G90))/[2]GeneralInputPrices!$D$20),0)</f>
        <v>0</v>
      </c>
    </row>
    <row r="14" spans="2:14" ht="21">
      <c r="C14" s="660" t="str">
        <f>BASEBUDGETS!B1853</f>
        <v>Landplane, Custom</v>
      </c>
      <c r="D14" s="765">
        <f>CustomOperations!O15</f>
        <v>17.940000000000001</v>
      </c>
      <c r="E14" s="771" t="e">
        <f>BASEBUDGETS!E1853/BASEBUDGETS!C1809</f>
        <v>#DIV/0!</v>
      </c>
      <c r="F14" s="770" t="str">
        <f>BASEBUDGETS!C1853</f>
        <v>acre</v>
      </c>
      <c r="G14" s="756">
        <v>0</v>
      </c>
      <c r="H14" s="756">
        <v>0</v>
      </c>
      <c r="I14" s="756" t="e">
        <f>IF(E14=0,0,BASEBUDGETS!D1853*E14)</f>
        <v>#DIV/0!</v>
      </c>
      <c r="J14" s="765" t="e">
        <f t="shared" si="0"/>
        <v>#DIV/0!</v>
      </c>
      <c r="L14" s="772">
        <f>N14*'AcresYieldsPrices&amp;Water'!D$13</f>
        <v>0</v>
      </c>
      <c r="M14" s="611" t="s">
        <v>186</v>
      </c>
      <c r="N14" s="653">
        <f>IFERROR(H96,0)</f>
        <v>0</v>
      </c>
    </row>
    <row r="15" spans="2:14" ht="21">
      <c r="C15" s="660" t="str">
        <f>BASEBUDGETS!B1854</f>
        <v>Float, Custom</v>
      </c>
      <c r="D15" s="765">
        <f>CustomOperations!O17</f>
        <v>17.940000000000001</v>
      </c>
      <c r="E15" s="771" t="e">
        <f>BASEBUDGETS!E1854/BASEBUDGETS!C1809</f>
        <v>#DIV/0!</v>
      </c>
      <c r="F15" s="770" t="str">
        <f>BASEBUDGETS!C1854</f>
        <v>acre</v>
      </c>
      <c r="G15" s="756">
        <v>0</v>
      </c>
      <c r="H15" s="756">
        <v>0</v>
      </c>
      <c r="I15" s="756" t="e">
        <f>IF(E15=0,0,BASEBUDGETS!D1854*E15)</f>
        <v>#DIV/0!</v>
      </c>
      <c r="J15" s="765" t="e">
        <f t="shared" si="0"/>
        <v>#DIV/0!</v>
      </c>
      <c r="L15" s="772">
        <f>N15*'AcresYieldsPrices&amp;Water'!D$13</f>
        <v>0</v>
      </c>
      <c r="M15" s="611" t="s">
        <v>401</v>
      </c>
      <c r="N15" s="653">
        <f>IFERROR(J109,0)</f>
        <v>0</v>
      </c>
    </row>
    <row r="16" spans="2:14" ht="21">
      <c r="C16" s="660" t="str">
        <f>BASEBUDGETS!B1855</f>
        <v>Lister, Custom</v>
      </c>
      <c r="D16" s="765">
        <f>CustomOperations!O19</f>
        <v>20.38</v>
      </c>
      <c r="E16" s="771" t="e">
        <f>BASEBUDGETS!E1855/BASEBUDGETS!C1809</f>
        <v>#DIV/0!</v>
      </c>
      <c r="F16" s="770" t="str">
        <f>BASEBUDGETS!C1855</f>
        <v>acre</v>
      </c>
      <c r="G16" s="756">
        <v>0</v>
      </c>
      <c r="H16" s="756">
        <v>0</v>
      </c>
      <c r="I16" s="756" t="e">
        <f>IF(E16=0,0,BASEBUDGETS!D1855*E16)</f>
        <v>#DIV/0!</v>
      </c>
      <c r="J16" s="765" t="e">
        <f t="shared" si="0"/>
        <v>#DIV/0!</v>
      </c>
      <c r="L16" s="772">
        <f>N16*'AcresYieldsPrices&amp;Water'!D$13</f>
        <v>0</v>
      </c>
      <c r="M16" s="611" t="s">
        <v>405</v>
      </c>
      <c r="N16" s="653">
        <f>IFERROR((J79+J78+J77+J62+J52+J41+J40+J33+J32+SUM(J9:J17)),0)</f>
        <v>0</v>
      </c>
    </row>
    <row r="17" spans="2:10" ht="21">
      <c r="C17" s="660" t="str">
        <f>BASEBUDGETS!B1856</f>
        <v>Bed Shape, Custom</v>
      </c>
      <c r="D17" s="765">
        <f>CustomOperations!O21</f>
        <v>13.69</v>
      </c>
      <c r="E17" s="771" t="e">
        <f>BASEBUDGETS!E1856/BASEBUDGETS!C1809</f>
        <v>#DIV/0!</v>
      </c>
      <c r="F17" s="770" t="str">
        <f>BASEBUDGETS!C1856</f>
        <v>acre</v>
      </c>
      <c r="G17" s="756">
        <v>0</v>
      </c>
      <c r="H17" s="756">
        <v>0</v>
      </c>
      <c r="I17" s="756" t="e">
        <f>IF(E17=0,0,BASEBUDGETS!D1856*E17)</f>
        <v>#DIV/0!</v>
      </c>
      <c r="J17" s="765" t="e">
        <f t="shared" si="0"/>
        <v>#DIV/0!</v>
      </c>
    </row>
    <row r="18" spans="2:10" ht="21">
      <c r="C18" s="660" t="str">
        <f>TillageOperations!$B$7</f>
        <v>V-Ripper</v>
      </c>
      <c r="D18" s="765"/>
      <c r="E18" s="771" t="e">
        <f>BASEBUDGETS!E1860/BASEBUDGETS!C1809</f>
        <v>#DIV/0!</v>
      </c>
      <c r="F18" s="770" t="str">
        <f>BASEBUDGETS!C1860</f>
        <v>acre</v>
      </c>
      <c r="G18" s="756" t="e">
        <f>IF(E18=0,0,BASEBUDGETS!D1861*E18)</f>
        <v>#DIV/0!</v>
      </c>
      <c r="H18" s="756" t="e">
        <f>IF(E18=0,0,BASEBUDGETS!D1860*E18)</f>
        <v>#DIV/0!</v>
      </c>
      <c r="I18" s="756">
        <v>0</v>
      </c>
      <c r="J18" s="765" t="e">
        <f t="shared" si="0"/>
        <v>#DIV/0!</v>
      </c>
    </row>
    <row r="19" spans="2:10" ht="21">
      <c r="C19" s="660" t="str">
        <f>TillageOperations!$B$8</f>
        <v>Offset Disk</v>
      </c>
      <c r="D19" s="765"/>
      <c r="E19" s="771" t="e">
        <f>BASEBUDGETS!E1862/BASEBUDGETS!C1809</f>
        <v>#DIV/0!</v>
      </c>
      <c r="F19" s="770" t="str">
        <f>BASEBUDGETS!C1862</f>
        <v>acre</v>
      </c>
      <c r="G19" s="756" t="e">
        <f>IF(E19=0,0,BASEBUDGETS!D1863*E19)</f>
        <v>#DIV/0!</v>
      </c>
      <c r="H19" s="756" t="e">
        <f>IF(E19=0,0,BASEBUDGETS!D1862*E19)</f>
        <v>#DIV/0!</v>
      </c>
      <c r="I19" s="756">
        <v>0</v>
      </c>
      <c r="J19" s="765" t="e">
        <f t="shared" si="0"/>
        <v>#DIV/0!</v>
      </c>
    </row>
    <row r="20" spans="2:10" ht="21">
      <c r="C20" s="660" t="str">
        <f>TillageOperations!$B$9</f>
        <v>Drag</v>
      </c>
      <c r="D20" s="765"/>
      <c r="E20" s="771" t="e">
        <f>BASEBUDGETS!E1864/BASEBUDGETS!C1809</f>
        <v>#DIV/0!</v>
      </c>
      <c r="F20" s="770" t="str">
        <f>BASEBUDGETS!C1864</f>
        <v>acre</v>
      </c>
      <c r="G20" s="756" t="e">
        <f>IF(E20=0,0,BASEBUDGETS!D1865*E20)</f>
        <v>#DIV/0!</v>
      </c>
      <c r="H20" s="756" t="e">
        <f>IF(E20=0,0,BASEBUDGETS!D1864*E20)</f>
        <v>#DIV/0!</v>
      </c>
      <c r="I20" s="756">
        <v>0</v>
      </c>
      <c r="J20" s="765" t="e">
        <f t="shared" si="0"/>
        <v>#DIV/0!</v>
      </c>
    </row>
    <row r="21" spans="2:10" ht="21">
      <c r="C21" s="660" t="str">
        <f>TillageOperations!$B$10</f>
        <v>Chisel</v>
      </c>
      <c r="D21" s="765"/>
      <c r="E21" s="771" t="e">
        <f>BASEBUDGETS!E1866/BASEBUDGETS!C1809</f>
        <v>#DIV/0!</v>
      </c>
      <c r="F21" s="770" t="str">
        <f>BASEBUDGETS!C1866</f>
        <v>acre</v>
      </c>
      <c r="G21" s="756" t="e">
        <f>IF(E21=0,0,BASEBUDGETS!D1867*E21)</f>
        <v>#DIV/0!</v>
      </c>
      <c r="H21" s="756" t="e">
        <f>IF(E21=0,0,BASEBUDGETS!D1866*E21)</f>
        <v>#DIV/0!</v>
      </c>
      <c r="I21" s="756">
        <v>0</v>
      </c>
      <c r="J21" s="765" t="e">
        <f t="shared" si="0"/>
        <v>#DIV/0!</v>
      </c>
    </row>
    <row r="22" spans="2:10" ht="21">
      <c r="C22" s="660" t="str">
        <f>TillageOperations!$B$11</f>
        <v>Moldboard Plow</v>
      </c>
      <c r="D22" s="765"/>
      <c r="E22" s="771" t="e">
        <f>BASEBUDGETS!E1868/BASEBUDGETS!C1809</f>
        <v>#DIV/0!</v>
      </c>
      <c r="F22" s="770" t="str">
        <f>BASEBUDGETS!C1868</f>
        <v>acre</v>
      </c>
      <c r="G22" s="756" t="e">
        <f>IF(E22=0,0,BASEBUDGETS!D1869*E22)</f>
        <v>#DIV/0!</v>
      </c>
      <c r="H22" s="756" t="e">
        <f>IF(E22=0,0,BASEBUDGETS!D1868*E22)</f>
        <v>#DIV/0!</v>
      </c>
      <c r="I22" s="756">
        <v>0</v>
      </c>
      <c r="J22" s="765" t="e">
        <f t="shared" si="0"/>
        <v>#DIV/0!</v>
      </c>
    </row>
    <row r="23" spans="2:10" ht="21">
      <c r="C23" s="660" t="str">
        <f>TillageOperations!$B$12</f>
        <v>Cultivator</v>
      </c>
      <c r="D23" s="765"/>
      <c r="E23" s="771" t="e">
        <f>BASEBUDGETS!E1870/BASEBUDGETS!C1809</f>
        <v>#DIV/0!</v>
      </c>
      <c r="F23" s="770" t="str">
        <f>BASEBUDGETS!C1870</f>
        <v>acre</v>
      </c>
      <c r="G23" s="756" t="e">
        <f>IF(E23=0,0,BASEBUDGETS!D1871*E23)</f>
        <v>#DIV/0!</v>
      </c>
      <c r="H23" s="756" t="e">
        <f>IF(E23=0,0,BASEBUDGETS!D1870*E23)</f>
        <v>#DIV/0!</v>
      </c>
      <c r="I23" s="756">
        <v>0</v>
      </c>
      <c r="J23" s="765" t="e">
        <f t="shared" si="0"/>
        <v>#DIV/0!</v>
      </c>
    </row>
    <row r="24" spans="2:10" ht="21">
      <c r="C24" s="660" t="str">
        <f>TillageOperations!$B$13</f>
        <v>Landplane</v>
      </c>
      <c r="D24" s="765"/>
      <c r="E24" s="771" t="e">
        <f>BASEBUDGETS!E1872/BASEBUDGETS!C1809</f>
        <v>#DIV/0!</v>
      </c>
      <c r="F24" s="770" t="str">
        <f>BASEBUDGETS!C1872</f>
        <v>acre</v>
      </c>
      <c r="G24" s="756" t="e">
        <f>IF(E24=0,0,BASEBUDGETS!D1873*E24)</f>
        <v>#DIV/0!</v>
      </c>
      <c r="H24" s="756" t="e">
        <f>IF(E24=0,0,BASEBUDGETS!D1872*E24)</f>
        <v>#DIV/0!</v>
      </c>
      <c r="I24" s="756">
        <v>0</v>
      </c>
      <c r="J24" s="765" t="e">
        <f t="shared" si="0"/>
        <v>#DIV/0!</v>
      </c>
    </row>
    <row r="25" spans="2:10" ht="21">
      <c r="C25" s="660" t="str">
        <f>TillageOperations!$B$14</f>
        <v>Float</v>
      </c>
      <c r="D25" s="765"/>
      <c r="E25" s="771" t="e">
        <f>BASEBUDGETS!E1874/BASEBUDGETS!C1809</f>
        <v>#DIV/0!</v>
      </c>
      <c r="F25" s="770" t="str">
        <f>BASEBUDGETS!C1874</f>
        <v>acre</v>
      </c>
      <c r="G25" s="756" t="e">
        <f>IF(E25=0,0,BASEBUDGETS!D1875*E25)</f>
        <v>#DIV/0!</v>
      </c>
      <c r="H25" s="756" t="e">
        <f>IF(E25=0,0,BASEBUDGETS!D1874*E25)</f>
        <v>#DIV/0!</v>
      </c>
      <c r="I25" s="756">
        <v>0</v>
      </c>
      <c r="J25" s="765" t="e">
        <f t="shared" si="0"/>
        <v>#DIV/0!</v>
      </c>
    </row>
    <row r="26" spans="2:10" ht="21">
      <c r="C26" s="660" t="str">
        <f>TillageOperations!$B$15</f>
        <v>Lister</v>
      </c>
      <c r="D26" s="765"/>
      <c r="E26" s="771" t="e">
        <f>BASEBUDGETS!E1876/BASEBUDGETS!C1809</f>
        <v>#DIV/0!</v>
      </c>
      <c r="F26" s="770" t="str">
        <f>BASEBUDGETS!C1876</f>
        <v>acre</v>
      </c>
      <c r="G26" s="756" t="e">
        <f>IF(E26=0,0,BASEBUDGETS!D1877*E26)</f>
        <v>#DIV/0!</v>
      </c>
      <c r="H26" s="756" t="e">
        <f>IF(E26=0,0,BASEBUDGETS!D1876*E26)</f>
        <v>#DIV/0!</v>
      </c>
      <c r="I26" s="756">
        <v>0</v>
      </c>
      <c r="J26" s="765" t="e">
        <f t="shared" si="0"/>
        <v>#DIV/0!</v>
      </c>
    </row>
    <row r="27" spans="2:10" ht="21">
      <c r="C27" s="660" t="str">
        <f>TillageOperations!$B$16</f>
        <v>Bed Shaper</v>
      </c>
      <c r="D27" s="765"/>
      <c r="E27" s="771" t="e">
        <f>BASEBUDGETS!E1878/BASEBUDGETS!C1809</f>
        <v>#DIV/0!</v>
      </c>
      <c r="F27" s="770" t="str">
        <f>BASEBUDGETS!C1878</f>
        <v>acre</v>
      </c>
      <c r="G27" s="756" t="e">
        <f>IF(E27=0,0,BASEBUDGETS!D1879*E27)</f>
        <v>#DIV/0!</v>
      </c>
      <c r="H27" s="756" t="e">
        <f>IF(E27=0,0,BASEBUDGETS!D1878*E27)</f>
        <v>#DIV/0!</v>
      </c>
      <c r="I27" s="756">
        <v>0</v>
      </c>
      <c r="J27" s="765" t="e">
        <f t="shared" si="0"/>
        <v>#DIV/0!</v>
      </c>
    </row>
    <row r="28" spans="2:10" ht="21">
      <c r="C28" s="660" t="str">
        <f>TillageOperations!$B$17</f>
        <v>Cotton Shredder/Root Puller</v>
      </c>
      <c r="D28" s="765"/>
      <c r="E28" s="771" t="e">
        <f>BASEBUDGETS!E1892/BASEBUDGETS!C1809</f>
        <v>#DIV/0!</v>
      </c>
      <c r="F28" s="770" t="str">
        <f>BASEBUDGETS!C1892</f>
        <v>acre</v>
      </c>
      <c r="G28" s="756" t="e">
        <f>IF(E28=0,0,BASEBUDGETS!D1893*E28)</f>
        <v>#DIV/0!</v>
      </c>
      <c r="H28" s="756" t="e">
        <f>IF(E28=0,0,BASEBUDGETS!D1892*E28)</f>
        <v>#DIV/0!</v>
      </c>
      <c r="I28" s="756">
        <v>0</v>
      </c>
      <c r="J28" s="765" t="e">
        <f t="shared" ref="J28" si="1">G28+H28+I28</f>
        <v>#DIV/0!</v>
      </c>
    </row>
    <row r="29" spans="2:10" ht="21">
      <c r="C29" s="660" t="str">
        <f>BASEBUDGETS!B1917</f>
        <v>Additional Land Prep. Labor</v>
      </c>
      <c r="D29" s="765">
        <f>GeneralInputPrices!$D$30</f>
        <v>14.55</v>
      </c>
      <c r="E29" s="758" t="e">
        <f>BASEBUDGETS!E1917/BASEBUDGETS!C1809</f>
        <v>#DIV/0!</v>
      </c>
      <c r="F29" s="773" t="str">
        <f>BASEBUDGETS!C1917</f>
        <v>hour</v>
      </c>
      <c r="G29" s="756" t="e">
        <f>D29*E29</f>
        <v>#DIV/0!</v>
      </c>
      <c r="H29" s="756">
        <v>0</v>
      </c>
      <c r="I29" s="756">
        <v>0</v>
      </c>
      <c r="J29" s="765" t="e">
        <f t="shared" si="0"/>
        <v>#DIV/0!</v>
      </c>
    </row>
    <row r="30" spans="2:10" ht="21">
      <c r="C30" s="660" t="str">
        <f>BASEBUDGETS!B1918</f>
        <v>Additional Land Prep. Labor</v>
      </c>
      <c r="D30" s="765">
        <f>GeneralInputPrices!$D$30</f>
        <v>14.55</v>
      </c>
      <c r="E30" s="758" t="e">
        <f>BASEBUDGETS!E1918/BASEBUDGETS!C1809</f>
        <v>#DIV/0!</v>
      </c>
      <c r="F30" s="773" t="str">
        <f>BASEBUDGETS!C1918</f>
        <v>hour</v>
      </c>
      <c r="G30" s="756" t="e">
        <f>D30*E30</f>
        <v>#DIV/0!</v>
      </c>
      <c r="H30" s="756">
        <v>0</v>
      </c>
      <c r="I30" s="756">
        <v>0</v>
      </c>
      <c r="J30" s="765" t="e">
        <f t="shared" si="0"/>
        <v>#DIV/0!</v>
      </c>
    </row>
    <row r="31" spans="2:10" ht="21">
      <c r="B31" s="760" t="s">
        <v>175</v>
      </c>
      <c r="C31" s="760"/>
      <c r="D31" s="765"/>
    </row>
    <row r="32" spans="2:10" ht="21">
      <c r="C32" s="660" t="str">
        <f>BASEBUDGETS!B1845</f>
        <v>Drill, Custom</v>
      </c>
      <c r="D32" s="765">
        <f>CustomOperations!O25</f>
        <v>0</v>
      </c>
      <c r="E32" s="771" t="e">
        <f>BASEBUDGETS!E1845/BASEBUDGETS!C1809</f>
        <v>#DIV/0!</v>
      </c>
      <c r="F32" s="770" t="str">
        <f>BASEBUDGETS!C1845</f>
        <v>acre</v>
      </c>
      <c r="G32" s="756">
        <v>0</v>
      </c>
      <c r="H32" s="756">
        <v>0</v>
      </c>
      <c r="I32" s="756" t="e">
        <f>IF(E32=0,0,(BASEBUDGETS!D1845*E32))</f>
        <v>#DIV/0!</v>
      </c>
      <c r="J32" s="765" t="e">
        <f t="shared" ref="J32:J34" si="2">G32+H32+I32</f>
        <v>#DIV/0!</v>
      </c>
    </row>
    <row r="33" spans="3:10" ht="21">
      <c r="C33" s="660" t="str">
        <f>BASEBUDGETS!B1846</f>
        <v>Row Planter, Custom</v>
      </c>
      <c r="D33" s="765">
        <f>CustomOperations!O27</f>
        <v>0</v>
      </c>
      <c r="E33" s="771" t="e">
        <f>BASEBUDGETS!E1846/BASEBUDGETS!C1809</f>
        <v>#DIV/0!</v>
      </c>
      <c r="F33" s="770" t="str">
        <f>BASEBUDGETS!C1846</f>
        <v>acre</v>
      </c>
      <c r="G33" s="756">
        <v>0</v>
      </c>
      <c r="H33" s="756">
        <v>0</v>
      </c>
      <c r="I33" s="756" t="e">
        <f>IF(E33=0,0,(BASEBUDGETS!D1846*E33))</f>
        <v>#DIV/0!</v>
      </c>
      <c r="J33" s="765" t="e">
        <f t="shared" si="2"/>
        <v>#DIV/0!</v>
      </c>
    </row>
    <row r="34" spans="3:10" ht="21">
      <c r="C34" s="660" t="str">
        <f>TillageOperations!$B$21</f>
        <v>Drill</v>
      </c>
      <c r="D34" s="765"/>
      <c r="E34" s="771" t="e">
        <f>BASEBUDGETS!E1884/BASEBUDGETS!C1809</f>
        <v>#DIV/0!</v>
      </c>
      <c r="F34" s="770" t="str">
        <f>BASEBUDGETS!C1884</f>
        <v>acre</v>
      </c>
      <c r="G34" s="756" t="e">
        <f>IF(E34=0,0,BASEBUDGETS!D1885*E34)</f>
        <v>#DIV/0!</v>
      </c>
      <c r="H34" s="756" t="e">
        <f>IF(E34=0,0,BASEBUDGETS!D1884*E34)</f>
        <v>#DIV/0!</v>
      </c>
      <c r="I34" s="756">
        <v>0</v>
      </c>
      <c r="J34" s="765" t="e">
        <f t="shared" si="2"/>
        <v>#DIV/0!</v>
      </c>
    </row>
    <row r="35" spans="3:10" ht="21">
      <c r="C35" s="660" t="str">
        <f>TillageOperations!$B$19</f>
        <v>Row Planter</v>
      </c>
      <c r="D35" s="765"/>
      <c r="E35" s="771" t="e">
        <f>BASEBUDGETS!E1880/BASEBUDGETS!C1809</f>
        <v>#DIV/0!</v>
      </c>
      <c r="F35" s="770" t="str">
        <f>BASEBUDGETS!C1880</f>
        <v>acre</v>
      </c>
      <c r="G35" s="756" t="e">
        <f>IF(E35=0,0,BASEBUDGETS!D1881*E35)</f>
        <v>#DIV/0!</v>
      </c>
      <c r="H35" s="756" t="e">
        <f>IF(E35=0,0,BASEBUDGETS!D1880*E35)</f>
        <v>#DIV/0!</v>
      </c>
      <c r="I35" s="756">
        <v>0</v>
      </c>
      <c r="J35" s="765" t="e">
        <f>G35+H35+I35</f>
        <v>#DIV/0!</v>
      </c>
    </row>
    <row r="36" spans="3:10" ht="21">
      <c r="C36" s="660" t="str">
        <f>TillageOperations!$B$22</f>
        <v>Transplanter</v>
      </c>
      <c r="D36" s="765"/>
      <c r="E36" s="771" t="e">
        <f>BASEBUDGETS!E1915/BASEBUDGETS!C1809</f>
        <v>#DIV/0!</v>
      </c>
      <c r="F36" s="770" t="str">
        <f>BASEBUDGETS!C1915</f>
        <v>acre</v>
      </c>
      <c r="G36" s="756" t="e">
        <f>IF(E36=0,0,BASEBUDGETS!D1916*E36)</f>
        <v>#DIV/0!</v>
      </c>
      <c r="H36" s="756" t="e">
        <f>IF(E36=0,0,BASEBUDGETS!D1915*E36)</f>
        <v>#DIV/0!</v>
      </c>
      <c r="I36" s="756">
        <v>0</v>
      </c>
      <c r="J36" s="765" t="e">
        <f>G36+H36+I36</f>
        <v>#DIV/0!</v>
      </c>
    </row>
    <row r="37" spans="3:10" ht="21">
      <c r="C37" s="660" t="s">
        <v>439</v>
      </c>
      <c r="D37" s="765"/>
      <c r="E37" s="771"/>
      <c r="F37" s="770"/>
      <c r="G37" s="756">
        <v>0</v>
      </c>
      <c r="H37" s="756">
        <v>0</v>
      </c>
      <c r="I37" s="756" t="e">
        <f>(D38*E38)+(D39*E39)</f>
        <v>#DIV/0!</v>
      </c>
      <c r="J37" s="765" t="e">
        <f>G37+H37+I37</f>
        <v>#DIV/0!</v>
      </c>
    </row>
    <row r="38" spans="3:10" ht="21">
      <c r="C38" s="660" t="str">
        <f>BASEBUDGETS!B1817</f>
        <v xml:space="preserve">   - Seed</v>
      </c>
      <c r="D38" s="765">
        <f>BASEBUDGETS!D1817</f>
        <v>0.39</v>
      </c>
      <c r="E38" s="775" t="e">
        <f>BASEBUDGETS!E1817/BASEBUDGETS!C1809</f>
        <v>#DIV/0!</v>
      </c>
      <c r="F38" s="769" t="str">
        <f>BASEBUDGETS!C1817</f>
        <v>pounds</v>
      </c>
    </row>
    <row r="39" spans="3:10" ht="21">
      <c r="C39" s="660" t="str">
        <f>BASEBUDGETS!B1818</f>
        <v xml:space="preserve">   - Inoculant</v>
      </c>
      <c r="D39" s="765">
        <f>BASEBUDGETS!D1818</f>
        <v>3</v>
      </c>
      <c r="E39" s="775" t="e">
        <f>BASEBUDGETS!E1818/BASEBUDGETS!C1809</f>
        <v>#DIV/0!</v>
      </c>
      <c r="F39" s="769" t="str">
        <f>BASEBUDGETS!C1818</f>
        <v>pounds</v>
      </c>
      <c r="G39" s="765"/>
      <c r="H39" s="765"/>
      <c r="I39" s="765"/>
      <c r="J39" s="765"/>
    </row>
    <row r="40" spans="3:10" ht="21">
      <c r="C40" s="660" t="str">
        <f>BASEBUDGETS!B1857</f>
        <v>Fertilizer Spreader, Custom</v>
      </c>
      <c r="D40" s="765">
        <f>CustomOperations!O33</f>
        <v>0</v>
      </c>
      <c r="E40" s="771" t="e">
        <f>BASEBUDGETS!E1857/BASEBUDGETS!C1809</f>
        <v>#DIV/0!</v>
      </c>
      <c r="F40" s="770" t="str">
        <f>BASEBUDGETS!C1857</f>
        <v>acre</v>
      </c>
      <c r="G40" s="756">
        <v>0</v>
      </c>
      <c r="H40" s="756">
        <v>0</v>
      </c>
      <c r="I40" s="756" t="e">
        <f>IF(E40=0,0,BASEBUDGETS!D1857*E40)</f>
        <v>#DIV/0!</v>
      </c>
      <c r="J40" s="765" t="e">
        <f>G40+H40+I40</f>
        <v>#DIV/0!</v>
      </c>
    </row>
    <row r="41" spans="3:10" ht="21">
      <c r="C41" s="660" t="str">
        <f>BASEBUDGETS!B1858</f>
        <v>Laser Landplaning, Custom</v>
      </c>
      <c r="D41" s="765">
        <f>CustomOperations!O35</f>
        <v>0</v>
      </c>
      <c r="E41" s="771" t="e">
        <f>BASEBUDGETS!E1858/BASEBUDGETS!C1809</f>
        <v>#DIV/0!</v>
      </c>
      <c r="F41" s="770" t="str">
        <f>BASEBUDGETS!C1858</f>
        <v>acre</v>
      </c>
      <c r="G41" s="756">
        <v>0</v>
      </c>
      <c r="H41" s="756">
        <v>0</v>
      </c>
      <c r="I41" s="756" t="e">
        <f>IF(E41=0,0,BASEBUDGETS!D1858*E41)</f>
        <v>#DIV/0!</v>
      </c>
      <c r="J41" s="765" t="e">
        <f>G41+H41+I41</f>
        <v>#DIV/0!</v>
      </c>
    </row>
    <row r="42" spans="3:10" ht="21">
      <c r="C42" s="660" t="str">
        <f>TillageOperations!$B$23</f>
        <v>Fertilizer Spreader</v>
      </c>
      <c r="D42" s="765"/>
      <c r="E42" s="771" t="e">
        <f>BASEBUDGETS!E1909/BASEBUDGETS!C1809</f>
        <v>#DIV/0!</v>
      </c>
      <c r="F42" s="770" t="str">
        <f>BASEBUDGETS!C1909</f>
        <v>acre</v>
      </c>
      <c r="G42" s="756" t="e">
        <f>IF(E42=0,0,BASEBUDGETS!D1910*E42)</f>
        <v>#DIV/0!</v>
      </c>
      <c r="H42" s="756" t="e">
        <f>IF(E42=0,0,BASEBUDGETS!D1909*E42)</f>
        <v>#DIV/0!</v>
      </c>
      <c r="I42" s="756">
        <v>0</v>
      </c>
      <c r="J42" s="765" t="e">
        <f>G42+H42+I42</f>
        <v>#DIV/0!</v>
      </c>
    </row>
    <row r="43" spans="3:10" ht="21">
      <c r="C43" s="660" t="str">
        <f>TillageOperations!$B$24</f>
        <v>Fertilizer Injection System</v>
      </c>
      <c r="D43" s="765"/>
      <c r="E43" s="771" t="e">
        <f>BASEBUDGETS!E1911/BASEBUDGETS!C1809</f>
        <v>#DIV/0!</v>
      </c>
      <c r="F43" s="770" t="str">
        <f>BASEBUDGETS!C1911</f>
        <v>acre</v>
      </c>
      <c r="G43" s="756" t="e">
        <f>IF(E43=0,0,BASEBUDGETS!D1912*E43)</f>
        <v>#DIV/0!</v>
      </c>
      <c r="H43" s="756" t="e">
        <f>IF(E43=0,0,BASEBUDGETS!D1911*E43)</f>
        <v>#DIV/0!</v>
      </c>
      <c r="I43" s="756">
        <v>0</v>
      </c>
      <c r="J43" s="765" t="e">
        <f>G43+H43+I43</f>
        <v>#DIV/0!</v>
      </c>
    </row>
    <row r="44" spans="3:10" ht="21">
      <c r="C44" s="660" t="s">
        <v>407</v>
      </c>
      <c r="D44" s="765"/>
      <c r="E44" s="771"/>
      <c r="F44" s="770"/>
      <c r="G44" s="756">
        <v>0</v>
      </c>
      <c r="H44" s="756">
        <v>0</v>
      </c>
      <c r="I44" s="756" t="e">
        <f>(D45*E45)+(D46*E46)+(D47*E47)+(D48*E48)+(D49*E49)+(D50*E50)+(D51*E51)</f>
        <v>#DIV/0!</v>
      </c>
      <c r="J44" s="765" t="e">
        <f>G44+H44+I44</f>
        <v>#DIV/0!</v>
      </c>
    </row>
    <row r="45" spans="3:10" ht="21">
      <c r="C45" s="660" t="str">
        <f>BASEBUDGETS!B1819</f>
        <v xml:space="preserve">   - Nitrogen</v>
      </c>
      <c r="D45" s="765">
        <f>BASEBUDGETS!D1819</f>
        <v>0.46</v>
      </c>
      <c r="E45" s="775" t="e">
        <f>BASEBUDGETS!E1819/BASEBUDGETS!C1809</f>
        <v>#DIV/0!</v>
      </c>
      <c r="F45" s="769" t="str">
        <f>BASEBUDGETS!C1819</f>
        <v>pounds</v>
      </c>
      <c r="G45" s="765"/>
      <c r="H45" s="765"/>
      <c r="I45" s="765"/>
      <c r="J45" s="765"/>
    </row>
    <row r="46" spans="3:10" ht="21">
      <c r="C46" s="660" t="str">
        <f>BASEBUDGETS!B1820</f>
        <v xml:space="preserve">   - Phosphorus</v>
      </c>
      <c r="D46" s="765">
        <f>BASEBUDGETS!D1820</f>
        <v>0.36</v>
      </c>
      <c r="E46" s="775" t="e">
        <f>BASEBUDGETS!E1820/BASEBUDGETS!C1809</f>
        <v>#DIV/0!</v>
      </c>
      <c r="F46" s="769" t="str">
        <f>BASEBUDGETS!C1820</f>
        <v>pounds</v>
      </c>
      <c r="G46" s="765"/>
      <c r="H46" s="765"/>
      <c r="I46" s="765"/>
      <c r="J46" s="765"/>
    </row>
    <row r="47" spans="3:10" ht="21">
      <c r="C47" s="660" t="str">
        <f>BASEBUDGETS!B1821</f>
        <v xml:space="preserve">   - Anhydrous Ammonia</v>
      </c>
      <c r="D47" s="765">
        <f>BASEBUDGETS!D1821</f>
        <v>0.21</v>
      </c>
      <c r="E47" s="775" t="e">
        <f>BASEBUDGETS!E1821/BASEBUDGETS!C1809</f>
        <v>#DIV/0!</v>
      </c>
      <c r="F47" s="769" t="str">
        <f>BASEBUDGETS!C1821</f>
        <v>pounds</v>
      </c>
      <c r="G47" s="765"/>
      <c r="H47" s="765"/>
      <c r="I47" s="765"/>
      <c r="J47" s="765"/>
    </row>
    <row r="48" spans="3:10" ht="21">
      <c r="C48" s="660" t="str">
        <f>BASEBUDGETS!B1822</f>
        <v xml:space="preserve">   - Trace Elements</v>
      </c>
      <c r="D48" s="765">
        <f>BASEBUDGETS!D1822</f>
        <v>0.24</v>
      </c>
      <c r="E48" s="775" t="e">
        <f>BASEBUDGETS!E1822/BASEBUDGETS!C1809</f>
        <v>#DIV/0!</v>
      </c>
      <c r="F48" s="769" t="str">
        <f>BASEBUDGETS!C1822</f>
        <v>pounds</v>
      </c>
      <c r="G48" s="765"/>
      <c r="H48" s="765"/>
      <c r="I48" s="765"/>
      <c r="J48" s="765"/>
    </row>
    <row r="49" spans="3:10" ht="21">
      <c r="C49" s="660" t="str">
        <f>BASEBUDGETS!B1823</f>
        <v xml:space="preserve">   - Nitrogen</v>
      </c>
      <c r="D49" s="765">
        <f>BASEBUDGETS!D1823</f>
        <v>182.91000000000003</v>
      </c>
      <c r="E49" s="775" t="e">
        <f>BASEBUDGETS!E1823/BASEBUDGETS!C1809</f>
        <v>#DIV/0!</v>
      </c>
      <c r="F49" s="769" t="str">
        <f>BASEBUDGETS!C1823</f>
        <v>acre</v>
      </c>
      <c r="G49" s="765"/>
      <c r="H49" s="765"/>
      <c r="I49" s="765"/>
      <c r="J49" s="765"/>
    </row>
    <row r="50" spans="3:10" ht="21">
      <c r="C50" s="660" t="str">
        <f>BASEBUDGETS!B1824</f>
        <v xml:space="preserve">   - Phosphorus</v>
      </c>
      <c r="D50" s="765">
        <f>BASEBUDGETS!D1824</f>
        <v>0</v>
      </c>
      <c r="E50" s="775" t="e">
        <f>BASEBUDGETS!E1824/BASEBUDGETS!C1809</f>
        <v>#DIV/0!</v>
      </c>
      <c r="F50" s="769" t="str">
        <f>BASEBUDGETS!C1824</f>
        <v>acre</v>
      </c>
      <c r="G50" s="765"/>
      <c r="H50" s="765"/>
      <c r="I50" s="765"/>
      <c r="J50" s="765"/>
    </row>
    <row r="51" spans="3:10" ht="21">
      <c r="C51" s="660" t="str">
        <f>BASEBUDGETS!B1825</f>
        <v xml:space="preserve">   - Fertilizer - Anhydrous Applicator</v>
      </c>
      <c r="D51" s="765">
        <f>BASEBUDGETS!D1825</f>
        <v>0</v>
      </c>
      <c r="E51" s="775" t="e">
        <f>BASEBUDGETS!E1825/BASEBUDGETS!C1809</f>
        <v>#DIV/0!</v>
      </c>
      <c r="F51" s="769" t="str">
        <f>BASEBUDGETS!C1825</f>
        <v>acre</v>
      </c>
      <c r="G51" s="765"/>
      <c r="H51" s="765"/>
      <c r="I51" s="765"/>
      <c r="J51" s="765"/>
    </row>
    <row r="52" spans="3:10" ht="21">
      <c r="C52" s="660" t="str">
        <f>BASEBUDGETS!B1859</f>
        <v>Boom Sprayer, Custom</v>
      </c>
      <c r="D52" s="765">
        <f>CustomOperations!O31</f>
        <v>0</v>
      </c>
      <c r="E52" s="771" t="e">
        <f>BASEBUDGETS!E1859/BASEBUDGETS!C1809</f>
        <v>#DIV/0!</v>
      </c>
      <c r="F52" s="770" t="str">
        <f>BASEBUDGETS!C1859</f>
        <v>acre</v>
      </c>
      <c r="G52" s="756">
        <v>0</v>
      </c>
      <c r="H52" s="756">
        <v>0</v>
      </c>
      <c r="I52" s="756" t="e">
        <f>IF(E52=0,0,BASEBUDGETS!D1859*E52)</f>
        <v>#DIV/0!</v>
      </c>
      <c r="J52" s="765" t="e">
        <f>G52+H52+I52</f>
        <v>#DIV/0!</v>
      </c>
    </row>
    <row r="53" spans="3:10" ht="21">
      <c r="C53" s="660" t="str">
        <f>TillageOperations!$B$25</f>
        <v>Boom Sprayer</v>
      </c>
      <c r="D53" s="765"/>
      <c r="E53" s="771" t="e">
        <f>BASEBUDGETS!E1913/BASEBUDGETS!C1809</f>
        <v>#DIV/0!</v>
      </c>
      <c r="F53" s="770" t="str">
        <f>BASEBUDGETS!C1913&amp;"s"</f>
        <v>acres</v>
      </c>
      <c r="G53" s="756" t="e">
        <f>IF(E53=0,0,BASEBUDGETS!D1914*E53)</f>
        <v>#DIV/0!</v>
      </c>
      <c r="H53" s="756" t="e">
        <f>IF(E53=0,0,BASEBUDGETS!D1913*E53)</f>
        <v>#DIV/0!</v>
      </c>
      <c r="I53" s="756">
        <v>0</v>
      </c>
      <c r="J53" s="765" t="e">
        <f>G53+H53+I53</f>
        <v>#DIV/0!</v>
      </c>
    </row>
    <row r="54" spans="3:10" ht="21">
      <c r="C54" s="660" t="s">
        <v>408</v>
      </c>
      <c r="D54" s="765"/>
      <c r="E54" s="771"/>
      <c r="F54" s="770"/>
      <c r="G54" s="756">
        <v>0</v>
      </c>
      <c r="H54" s="756">
        <v>0</v>
      </c>
      <c r="I54" s="756" t="e">
        <f>(D55*E55)+(D56*E56)+(D57*E57)+(D58*E58)+(D59*E59)+(D60*E60)+(D61*E61)</f>
        <v>#DIV/0!</v>
      </c>
      <c r="J54" s="765" t="e">
        <f>G54+H54+I54</f>
        <v>#DIV/0!</v>
      </c>
    </row>
    <row r="55" spans="3:10" ht="21">
      <c r="C55" s="660" t="str">
        <f>BASEBUDGETS!B1826</f>
        <v xml:space="preserve">   - Prowl</v>
      </c>
      <c r="D55" s="765">
        <f>BASEBUDGETS!D1826</f>
        <v>6.0625</v>
      </c>
      <c r="E55" s="775" t="e">
        <f>BASEBUDGETS!E1826/BASEBUDGETS!C1809</f>
        <v>#DIV/0!</v>
      </c>
      <c r="F55" s="769" t="str">
        <f>BASEBUDGETS!C1826</f>
        <v>pints</v>
      </c>
      <c r="G55" s="765"/>
      <c r="H55" s="765"/>
      <c r="I55" s="765"/>
      <c r="J55" s="765"/>
    </row>
    <row r="56" spans="3:10" ht="21">
      <c r="C56" s="660" t="str">
        <f>BASEBUDGETS!B1827</f>
        <v xml:space="preserve">   - Aim</v>
      </c>
      <c r="D56" s="765">
        <f>BASEBUDGETS!D1827</f>
        <v>5.9375</v>
      </c>
      <c r="E56" s="775" t="e">
        <f>BASEBUDGETS!E1827/BASEBUDGETS!C1809</f>
        <v>#DIV/0!</v>
      </c>
      <c r="F56" s="769" t="str">
        <f>BASEBUDGETS!C1827</f>
        <v>ounces</v>
      </c>
      <c r="G56" s="765"/>
      <c r="H56" s="765"/>
      <c r="I56" s="765"/>
      <c r="J56" s="765"/>
    </row>
    <row r="57" spans="3:10" ht="21">
      <c r="C57" s="660" t="str">
        <f>BASEBUDGETS!B1828</f>
        <v xml:space="preserve">   - Fusilade</v>
      </c>
      <c r="D57" s="765">
        <f>BASEBUDGETS!D1828</f>
        <v>1.25</v>
      </c>
      <c r="E57" s="775" t="e">
        <f>BASEBUDGETS!E1828/BASEBUDGETS!C1809</f>
        <v>#DIV/0!</v>
      </c>
      <c r="F57" s="769" t="str">
        <f>BASEBUDGETS!C1828</f>
        <v>ounces</v>
      </c>
      <c r="G57" s="765"/>
      <c r="H57" s="765"/>
      <c r="I57" s="765"/>
      <c r="J57" s="765"/>
    </row>
    <row r="58" spans="3:10" ht="21">
      <c r="C58" s="660" t="str">
        <f>BASEBUDGETS!B1829</f>
        <v xml:space="preserve">   - Herbicides</v>
      </c>
      <c r="D58" s="765">
        <f>BASEBUDGETS!D1829</f>
        <v>17</v>
      </c>
      <c r="E58" s="775" t="e">
        <f>BASEBUDGETS!E1829/BASEBUDGETS!C1809</f>
        <v>#DIV/0!</v>
      </c>
      <c r="F58" s="769" t="str">
        <f>BASEBUDGETS!C1829</f>
        <v>acre</v>
      </c>
      <c r="G58" s="765"/>
      <c r="H58" s="765"/>
      <c r="I58" s="765"/>
      <c r="J58" s="765"/>
    </row>
    <row r="59" spans="3:10" ht="21">
      <c r="C59" s="660" t="str">
        <f>BASEBUDGETS!B1830</f>
        <v xml:space="preserve">   - Herbicide - #2</v>
      </c>
      <c r="D59" s="765">
        <f>BASEBUDGETS!D1830</f>
        <v>0</v>
      </c>
      <c r="E59" s="775" t="e">
        <f>BASEBUDGETS!E1830/BASEBUDGETS!C1809</f>
        <v>#DIV/0!</v>
      </c>
      <c r="F59" s="769" t="str">
        <f>BASEBUDGETS!C1830</f>
        <v>acre</v>
      </c>
      <c r="G59" s="765"/>
      <c r="H59" s="765"/>
      <c r="I59" s="765"/>
      <c r="J59" s="765"/>
    </row>
    <row r="60" spans="3:10" ht="21">
      <c r="C60" s="660" t="str">
        <f>BASEBUDGETS!B1831</f>
        <v xml:space="preserve">   - Insecticides</v>
      </c>
      <c r="D60" s="765">
        <f>BASEBUDGETS!D1831</f>
        <v>15</v>
      </c>
      <c r="E60" s="775" t="e">
        <f>BASEBUDGETS!E1831/BASEBUDGETS!C1809</f>
        <v>#DIV/0!</v>
      </c>
      <c r="F60" s="769" t="str">
        <f>BASEBUDGETS!C1831</f>
        <v>acre</v>
      </c>
      <c r="G60" s="765"/>
      <c r="H60" s="765"/>
      <c r="I60" s="765"/>
      <c r="J60" s="765"/>
    </row>
    <row r="61" spans="3:10" ht="21">
      <c r="C61" s="660" t="str">
        <f>BASEBUDGETS!B1832</f>
        <v xml:space="preserve">   - Insecticide - #2</v>
      </c>
      <c r="D61" s="765">
        <f>BASEBUDGETS!D1832</f>
        <v>0</v>
      </c>
      <c r="E61" s="775" t="e">
        <f>BASEBUDGETS!E1832/BASEBUDGETS!C1809</f>
        <v>#DIV/0!</v>
      </c>
      <c r="F61" s="769" t="str">
        <f>BASEBUDGETS!C1832</f>
        <v>acre</v>
      </c>
      <c r="G61" s="765"/>
      <c r="H61" s="765"/>
      <c r="I61" s="765"/>
      <c r="J61" s="765"/>
    </row>
    <row r="62" spans="3:10" ht="21">
      <c r="C62" s="660" t="str">
        <f>BASEBUDGETS!B1847</f>
        <v>Row Cultivator, Custom</v>
      </c>
      <c r="D62" s="765">
        <f>CustomOperations!O29</f>
        <v>0</v>
      </c>
      <c r="E62" s="771" t="e">
        <f>BASEBUDGETS!E1847/BASEBUDGETS!C1809</f>
        <v>#DIV/0!</v>
      </c>
      <c r="F62" s="770" t="str">
        <f>BASEBUDGETS!C1847</f>
        <v>acre</v>
      </c>
      <c r="G62" s="756">
        <v>0</v>
      </c>
      <c r="H62" s="756">
        <v>0</v>
      </c>
      <c r="I62" s="756" t="e">
        <f>IF(E62=0,0,BASEBUDGETS!D1847*E62)</f>
        <v>#DIV/0!</v>
      </c>
      <c r="J62" s="765" t="e">
        <f>G62+H62+I62</f>
        <v>#DIV/0!</v>
      </c>
    </row>
    <row r="63" spans="3:10" ht="21">
      <c r="C63" s="660" t="str">
        <f>TillageOperations!$B$20</f>
        <v>Row Cultivator</v>
      </c>
      <c r="D63" s="765"/>
      <c r="E63" s="771" t="e">
        <f>BASEBUDGETS!E1882/BASEBUDGETS!C1809</f>
        <v>#DIV/0!</v>
      </c>
      <c r="F63" s="770" t="str">
        <f>BASEBUDGETS!C1882</f>
        <v>acre</v>
      </c>
      <c r="G63" s="756" t="e">
        <f>IF(E63=0,0,BASEBUDGETS!D1883*E63)</f>
        <v>#DIV/0!</v>
      </c>
      <c r="H63" s="756" t="e">
        <f>IF(E63=0,0,BASEBUDGETS!D1882*E63)</f>
        <v>#DIV/0!</v>
      </c>
      <c r="I63" s="756">
        <v>0</v>
      </c>
      <c r="J63" s="765" t="e">
        <f>G63+H63+I63</f>
        <v>#DIV/0!</v>
      </c>
    </row>
    <row r="64" spans="3:10" ht="21">
      <c r="C64" s="660" t="s">
        <v>151</v>
      </c>
      <c r="D64" s="765"/>
      <c r="E64" s="776" t="s">
        <v>10</v>
      </c>
      <c r="F64" s="777" t="s">
        <v>10</v>
      </c>
      <c r="G64" s="756" t="e">
        <f>(D66*E66)+(D69*E69)+(D72*E72)</f>
        <v>#DIV/0!</v>
      </c>
      <c r="H64" s="756">
        <v>0</v>
      </c>
      <c r="I64" s="765" t="e">
        <f>(D65*E65)+(D68*E68)+(D71*E71)+(D67*E67)+(D70*E70)+(D73*E73)</f>
        <v>#DIV/0!</v>
      </c>
      <c r="J64" s="765" t="e">
        <f>G64+H64+I64</f>
        <v>#DIV/0!</v>
      </c>
    </row>
    <row r="65" spans="2:10" ht="21">
      <c r="B65" s="660"/>
      <c r="C65" s="660" t="str">
        <f>BASEBUDGETS!B1833</f>
        <v>Flood - Irrigation Water</v>
      </c>
      <c r="D65" s="765">
        <f>BASEBUDGETS!D1833</f>
        <v>55</v>
      </c>
      <c r="E65" s="775" t="e">
        <f>BASEBUDGETS!E1833/BASEBUDGETS!C$1809</f>
        <v>#DIV/0!</v>
      </c>
      <c r="F65" s="769" t="str">
        <f>BASEBUDGETS!C1833</f>
        <v>ac ft</v>
      </c>
      <c r="G65" s="756"/>
      <c r="H65" s="756"/>
      <c r="I65" s="765"/>
      <c r="J65" s="765"/>
    </row>
    <row r="66" spans="2:10" ht="21">
      <c r="C66" s="660" t="str">
        <f>BASEBUDGETS!B1834</f>
        <v>Flood - Irrigation Labor</v>
      </c>
      <c r="D66" s="765">
        <f>BASEBUDGETS!D1834</f>
        <v>14.55</v>
      </c>
      <c r="E66" s="775" t="e">
        <f>BASEBUDGETS!E1834/BASEBUDGETS!C$1809</f>
        <v>#DIV/0!</v>
      </c>
      <c r="F66" s="769" t="str">
        <f>BASEBUDGETS!C1834</f>
        <v>hour</v>
      </c>
      <c r="I66" s="756"/>
      <c r="J66" s="778" t="s">
        <v>10</v>
      </c>
    </row>
    <row r="67" spans="2:10" ht="21">
      <c r="C67" s="660" t="str">
        <f>BASEBUDGETS!B1835</f>
        <v xml:space="preserve">   - Annual Repairs &amp; Maintenance</v>
      </c>
      <c r="D67" s="765">
        <f>BASEBUDGETS!D1835</f>
        <v>3</v>
      </c>
      <c r="E67" s="775" t="e">
        <f>BASEBUDGETS!E1835/BASEBUDGETS!C$1809</f>
        <v>#DIV/0!</v>
      </c>
      <c r="F67" s="769" t="str">
        <f>BASEBUDGETS!C1835</f>
        <v>acre</v>
      </c>
      <c r="I67" s="756"/>
      <c r="J67" s="778"/>
    </row>
    <row r="68" spans="2:10" ht="21">
      <c r="C68" s="660" t="str">
        <f>BASEBUDGETS!B1836</f>
        <v>Drip-tape - Irrigation Water</v>
      </c>
      <c r="D68" s="765">
        <f>BASEBUDGETS!D1836</f>
        <v>55</v>
      </c>
      <c r="E68" s="775" t="e">
        <f>BASEBUDGETS!E1836/BASEBUDGETS!C$1809</f>
        <v>#DIV/0!</v>
      </c>
      <c r="F68" s="769" t="str">
        <f>BASEBUDGETS!C1836</f>
        <v>ac ft</v>
      </c>
      <c r="G68" s="756"/>
      <c r="H68" s="756"/>
      <c r="I68" s="756"/>
      <c r="J68" s="765"/>
    </row>
    <row r="69" spans="2:10" ht="21">
      <c r="C69" s="660" t="str">
        <f>BASEBUDGETS!B1837</f>
        <v>Drip-tape - Irrigation Labor</v>
      </c>
      <c r="D69" s="765">
        <f>BASEBUDGETS!D1837</f>
        <v>14.55</v>
      </c>
      <c r="E69" s="775" t="e">
        <f>BASEBUDGETS!E1837/BASEBUDGETS!C$1809</f>
        <v>#DIV/0!</v>
      </c>
      <c r="F69" s="769" t="str">
        <f>BASEBUDGETS!C1837</f>
        <v>hour</v>
      </c>
      <c r="G69" s="756"/>
      <c r="H69" s="756"/>
      <c r="I69" s="756"/>
      <c r="J69" s="765"/>
    </row>
    <row r="70" spans="2:10" ht="21">
      <c r="C70" s="660" t="str">
        <f>BASEBUDGETS!B1838</f>
        <v xml:space="preserve">   - Annual Repairs &amp; Maintenance</v>
      </c>
      <c r="D70" s="765">
        <f>BASEBUDGETS!D1838</f>
        <v>7.5</v>
      </c>
      <c r="E70" s="775" t="e">
        <f>BASEBUDGETS!E1838/BASEBUDGETS!C$1809</f>
        <v>#DIV/0!</v>
      </c>
      <c r="F70" s="769" t="str">
        <f>BASEBUDGETS!C1838</f>
        <v>acre</v>
      </c>
      <c r="G70" s="756"/>
      <c r="H70" s="756"/>
      <c r="I70" s="756"/>
      <c r="J70" s="765"/>
    </row>
    <row r="71" spans="2:10" ht="21">
      <c r="C71" s="660" t="str">
        <f>BASEBUDGETS!B1839</f>
        <v>Sprinkler - Irrigation Water</v>
      </c>
      <c r="D71" s="765">
        <f>BASEBUDGETS!D1839</f>
        <v>55</v>
      </c>
      <c r="E71" s="775" t="e">
        <f>BASEBUDGETS!E1839/BASEBUDGETS!C$1809</f>
        <v>#DIV/0!</v>
      </c>
      <c r="F71" s="769" t="str">
        <f>BASEBUDGETS!C1839</f>
        <v>ac ft</v>
      </c>
      <c r="G71" s="756"/>
      <c r="H71" s="756"/>
      <c r="I71" s="756"/>
      <c r="J71" s="765"/>
    </row>
    <row r="72" spans="2:10" ht="21">
      <c r="C72" s="660" t="str">
        <f>BASEBUDGETS!B1840</f>
        <v>Sprinkler - Irrigation Labor</v>
      </c>
      <c r="D72" s="765">
        <f>BASEBUDGETS!D1840</f>
        <v>14.55</v>
      </c>
      <c r="E72" s="775" t="e">
        <f>BASEBUDGETS!E1840/BASEBUDGETS!C$1809</f>
        <v>#DIV/0!</v>
      </c>
      <c r="F72" s="769" t="str">
        <f>BASEBUDGETS!C1840</f>
        <v>hour</v>
      </c>
      <c r="G72" s="756"/>
      <c r="H72" s="756"/>
      <c r="I72" s="756"/>
      <c r="J72" s="765"/>
    </row>
    <row r="73" spans="2:10" ht="21">
      <c r="C73" s="660" t="str">
        <f>BASEBUDGETS!B1841</f>
        <v xml:space="preserve">   - Annual Repairs &amp; Maintenance</v>
      </c>
      <c r="D73" s="765">
        <f>BASEBUDGETS!D1841</f>
        <v>15</v>
      </c>
      <c r="E73" s="775" t="e">
        <f>BASEBUDGETS!E1841/BASEBUDGETS!C$1809</f>
        <v>#DIV/0!</v>
      </c>
      <c r="F73" s="769" t="str">
        <f>BASEBUDGETS!C1841</f>
        <v>acre</v>
      </c>
      <c r="G73" s="756"/>
      <c r="H73" s="756"/>
      <c r="I73" s="756"/>
      <c r="J73" s="765"/>
    </row>
    <row r="74" spans="2:10" ht="21">
      <c r="C74" s="660" t="str">
        <f>BASEBUDGETS!B1919</f>
        <v>Additional Crop Prod. Labor</v>
      </c>
      <c r="D74" s="765">
        <f>GeneralInputPrices!$D$31</f>
        <v>14.55</v>
      </c>
      <c r="E74" s="771" t="e">
        <f>BASEBUDGETS!E1919/BASEBUDGETS!C1809</f>
        <v>#DIV/0!</v>
      </c>
      <c r="F74" s="770" t="str">
        <f>BASEBUDGETS!C1919</f>
        <v>hour</v>
      </c>
      <c r="G74" s="756" t="e">
        <f>D74*E74</f>
        <v>#DIV/0!</v>
      </c>
      <c r="H74" s="756">
        <v>0</v>
      </c>
      <c r="I74" s="756">
        <v>0</v>
      </c>
      <c r="J74" s="765" t="e">
        <f t="shared" ref="J74:J75" si="3">G74+H74+I74</f>
        <v>#DIV/0!</v>
      </c>
    </row>
    <row r="75" spans="2:10" ht="21">
      <c r="C75" s="660" t="str">
        <f>BASEBUDGETS!B1920</f>
        <v>Additional Crop Prod. Labor</v>
      </c>
      <c r="D75" s="765">
        <f>GeneralInputPrices!$D$31</f>
        <v>14.55</v>
      </c>
      <c r="E75" s="771" t="e">
        <f>BASEBUDGETS!E1920/BASEBUDGETS!C1809</f>
        <v>#DIV/0!</v>
      </c>
      <c r="F75" s="770" t="str">
        <f>BASEBUDGETS!C1920</f>
        <v>hour</v>
      </c>
      <c r="G75" s="756" t="e">
        <f>D75*E75</f>
        <v>#DIV/0!</v>
      </c>
      <c r="H75" s="756">
        <v>0</v>
      </c>
      <c r="I75" s="756">
        <v>0</v>
      </c>
      <c r="J75" s="765" t="e">
        <f t="shared" si="3"/>
        <v>#DIV/0!</v>
      </c>
    </row>
    <row r="76" spans="2:10" ht="21">
      <c r="B76" s="804" t="s">
        <v>44</v>
      </c>
      <c r="C76" s="804"/>
      <c r="D76" s="778"/>
      <c r="E76" s="758"/>
      <c r="F76" s="780" t="s">
        <v>10</v>
      </c>
      <c r="G76" s="777" t="s">
        <v>10</v>
      </c>
      <c r="H76" s="777" t="s">
        <v>10</v>
      </c>
      <c r="I76" s="777" t="s">
        <v>10</v>
      </c>
      <c r="J76" s="777" t="s">
        <v>10</v>
      </c>
    </row>
    <row r="77" spans="2:10" ht="24">
      <c r="C77" s="660" t="s">
        <v>450</v>
      </c>
      <c r="D77" s="765">
        <f>CustomOperations!O37</f>
        <v>25</v>
      </c>
      <c r="E77" s="771" t="e">
        <f>BASEBUDGETS!E1842/BASEBUDGETS!C1809</f>
        <v>#DIV/0!</v>
      </c>
      <c r="F77" s="770" t="s">
        <v>252</v>
      </c>
      <c r="G77" s="756">
        <v>0</v>
      </c>
      <c r="H77" s="756">
        <v>0</v>
      </c>
      <c r="I77" s="756" t="e">
        <f>IF(E77=0,0,BASEBUDGETS!D1842*E77)</f>
        <v>#DIV/0!</v>
      </c>
      <c r="J77" s="765" t="e">
        <f t="shared" ref="J77:J88" si="4">G77+H77+I77</f>
        <v>#DIV/0!</v>
      </c>
    </row>
    <row r="78" spans="2:10" ht="21">
      <c r="C78" s="660" t="str">
        <f>BASEBUDGETS!B1843</f>
        <v>Hauling, Custom</v>
      </c>
      <c r="D78" s="765">
        <f>CustomOperations!O39</f>
        <v>0</v>
      </c>
      <c r="E78" s="771" t="e">
        <f>BASEBUDGETS!E1843/BASEBUDGETS!C1809</f>
        <v>#DIV/0!</v>
      </c>
      <c r="F78" s="770" t="str">
        <f>BASEBUDGETS!C1843</f>
        <v>mile</v>
      </c>
      <c r="G78" s="756">
        <v>0</v>
      </c>
      <c r="H78" s="756">
        <v>0</v>
      </c>
      <c r="I78" s="756" t="e">
        <f>IF(E78=0,0,BASEBUDGETS!D1843*E78)</f>
        <v>#DIV/0!</v>
      </c>
      <c r="J78" s="765" t="e">
        <f t="shared" si="4"/>
        <v>#DIV/0!</v>
      </c>
    </row>
    <row r="79" spans="2:10" ht="21">
      <c r="C79" s="660" t="str">
        <f>BASEBUDGETS!B1844</f>
        <v>Gin Cotton/Drying/Swathing, Custom</v>
      </c>
      <c r="D79" s="765">
        <f>CustomOperations!O41</f>
        <v>0</v>
      </c>
      <c r="E79" s="771" t="e">
        <f>BASEBUDGETS!E1844/BASEBUDGETS!C1809</f>
        <v>#DIV/0!</v>
      </c>
      <c r="F79" s="770" t="str">
        <f>BASEBUDGETS!C1844</f>
        <v>bale</v>
      </c>
      <c r="G79" s="756">
        <v>0</v>
      </c>
      <c r="H79" s="756">
        <v>0</v>
      </c>
      <c r="I79" s="756" t="e">
        <f>IF(E79=0,0,BASEBUDGETS!D1844*E79)</f>
        <v>#DIV/0!</v>
      </c>
      <c r="J79" s="765" t="e">
        <f t="shared" si="4"/>
        <v>#DIV/0!</v>
      </c>
    </row>
    <row r="80" spans="2:10" ht="21">
      <c r="C80" s="660" t="str">
        <f>TillageOperations!$B$27</f>
        <v>Cotton Picker</v>
      </c>
      <c r="D80" s="765"/>
      <c r="E80" s="771" t="e">
        <f>BASEBUDGETS!E1886/BASEBUDGETS!C1809</f>
        <v>#DIV/0!</v>
      </c>
      <c r="F80" s="770" t="str">
        <f>BASEBUDGETS!C1886</f>
        <v>acre</v>
      </c>
      <c r="G80" s="756" t="e">
        <f>IF(E80=0,0,BASEBUDGETS!D1887*E80)</f>
        <v>#DIV/0!</v>
      </c>
      <c r="H80" s="756" t="e">
        <f>IF(E80=0,0,BASEBUDGETS!D1886*E80)</f>
        <v>#DIV/0!</v>
      </c>
      <c r="I80" s="756">
        <v>0</v>
      </c>
      <c r="J80" s="765" t="e">
        <f t="shared" si="4"/>
        <v>#DIV/0!</v>
      </c>
    </row>
    <row r="81" spans="2:10" ht="21">
      <c r="C81" s="781" t="s">
        <v>287</v>
      </c>
      <c r="D81" s="765"/>
      <c r="E81" s="771" t="e">
        <f>BASEBUDGETS!E1888/BASEBUDGETS!C1809</f>
        <v>#DIV/0!</v>
      </c>
      <c r="F81" s="770" t="str">
        <f>BASEBUDGETS!C1888</f>
        <v>acre</v>
      </c>
      <c r="G81" s="756" t="e">
        <f>IF(E81=0,0,BASEBUDGETS!D1889*E81)</f>
        <v>#DIV/0!</v>
      </c>
      <c r="H81" s="756" t="e">
        <f>IF(E81=0,0,BASEBUDGETS!D1888*E81)</f>
        <v>#DIV/0!</v>
      </c>
      <c r="I81" s="756">
        <v>0</v>
      </c>
      <c r="J81" s="765" t="e">
        <f t="shared" ref="J81" si="5">G81+H81+I81</f>
        <v>#DIV/0!</v>
      </c>
    </row>
    <row r="82" spans="2:10" ht="21">
      <c r="C82" s="660" t="str">
        <f>TillageOperations!$B$29</f>
        <v>Haul Cotton</v>
      </c>
      <c r="D82" s="765"/>
      <c r="E82" s="771" t="e">
        <f>BASEBUDGETS!E1890/BASEBUDGETS!C1809</f>
        <v>#DIV/0!</v>
      </c>
      <c r="F82" s="770" t="str">
        <f>BASEBUDGETS!C1890</f>
        <v>acre</v>
      </c>
      <c r="G82" s="756" t="e">
        <f>IF(E82=0,0,BASEBUDGETS!D1891*E82)</f>
        <v>#DIV/0!</v>
      </c>
      <c r="H82" s="756" t="e">
        <f>IF(E82=0,0,BASEBUDGETS!D1890*E82)</f>
        <v>#DIV/0!</v>
      </c>
      <c r="I82" s="756">
        <v>0</v>
      </c>
      <c r="J82" s="765" t="e">
        <f t="shared" si="4"/>
        <v>#DIV/0!</v>
      </c>
    </row>
    <row r="83" spans="2:10" ht="21">
      <c r="C83" s="660" t="str">
        <f>TillageOperations!$B$30</f>
        <v>Combine</v>
      </c>
      <c r="D83" s="765"/>
      <c r="E83" s="771" t="e">
        <f>BASEBUDGETS!E1894/BASEBUDGETS!C1809</f>
        <v>#DIV/0!</v>
      </c>
      <c r="F83" s="770" t="str">
        <f>BASEBUDGETS!C1894</f>
        <v>acre</v>
      </c>
      <c r="G83" s="756" t="e">
        <f>IF(E83=0,0,BASEBUDGETS!D1895*E83)</f>
        <v>#DIV/0!</v>
      </c>
      <c r="H83" s="756" t="e">
        <f>IF(E83=0,0,BASEBUDGETS!D1894*E83)</f>
        <v>#DIV/0!</v>
      </c>
      <c r="I83" s="756">
        <v>0</v>
      </c>
      <c r="J83" s="765" t="e">
        <f t="shared" si="4"/>
        <v>#DIV/0!</v>
      </c>
    </row>
    <row r="84" spans="2:10" ht="21">
      <c r="C84" s="660" t="str">
        <f>TillageOperations!$B$31</f>
        <v>Grain Cart</v>
      </c>
      <c r="D84" s="765"/>
      <c r="E84" s="771" t="e">
        <f>BASEBUDGETS!E1896/BASEBUDGETS!C1809</f>
        <v>#DIV/0!</v>
      </c>
      <c r="F84" s="770" t="str">
        <f>BASEBUDGETS!C1896</f>
        <v>acre</v>
      </c>
      <c r="G84" s="756" t="e">
        <f>IF(E84=0,0,BASEBUDGETS!D1897*E84)</f>
        <v>#DIV/0!</v>
      </c>
      <c r="H84" s="756" t="e">
        <f>IF(E84=0,0,BASEBUDGETS!D1896*E84)</f>
        <v>#DIV/0!</v>
      </c>
      <c r="I84" s="756">
        <v>0</v>
      </c>
      <c r="J84" s="765" t="e">
        <f t="shared" si="4"/>
        <v>#DIV/0!</v>
      </c>
    </row>
    <row r="85" spans="2:10" ht="21">
      <c r="C85" s="660" t="str">
        <f>TillageOperations!$B$32</f>
        <v>Swather</v>
      </c>
      <c r="D85" s="765"/>
      <c r="E85" s="771" t="e">
        <f>BASEBUDGETS!E1898/BASEBUDGETS!C1809</f>
        <v>#DIV/0!</v>
      </c>
      <c r="F85" s="770" t="str">
        <f>BASEBUDGETS!C1898</f>
        <v>acre</v>
      </c>
      <c r="G85" s="756" t="e">
        <f>IF(E85=0,0,BASEBUDGETS!D1899*E85)</f>
        <v>#DIV/0!</v>
      </c>
      <c r="H85" s="756" t="e">
        <f>IF(E85=0,0,BASEBUDGETS!D1898*E85)</f>
        <v>#DIV/0!</v>
      </c>
      <c r="I85" s="756">
        <v>0</v>
      </c>
      <c r="J85" s="765" t="e">
        <f t="shared" si="4"/>
        <v>#DIV/0!</v>
      </c>
    </row>
    <row r="86" spans="2:10" ht="21">
      <c r="C86" s="660" t="str">
        <f>TillageOperations!$B$33</f>
        <v>Baler</v>
      </c>
      <c r="D86" s="765"/>
      <c r="E86" s="771" t="e">
        <f>BASEBUDGETS!E1900/BASEBUDGETS!C1809</f>
        <v>#DIV/0!</v>
      </c>
      <c r="F86" s="770" t="str">
        <f>BASEBUDGETS!C1900</f>
        <v>acre</v>
      </c>
      <c r="G86" s="756" t="e">
        <f>IF(E86=0,0,BASEBUDGETS!D1901*E86)</f>
        <v>#DIV/0!</v>
      </c>
      <c r="H86" s="756" t="e">
        <f>IF(E86=0,0,BASEBUDGETS!D1900*E86)</f>
        <v>#DIV/0!</v>
      </c>
      <c r="I86" s="756" t="e">
        <f>IF(E86=0,0,D89*E89)</f>
        <v>#DIV/0!</v>
      </c>
      <c r="J86" s="765" t="e">
        <f t="shared" si="4"/>
        <v>#DIV/0!</v>
      </c>
    </row>
    <row r="87" spans="2:10" ht="21">
      <c r="C87" s="660" t="str">
        <f>TillageOperations!$B$34</f>
        <v>Swather</v>
      </c>
      <c r="D87" s="765"/>
      <c r="E87" s="771" t="e">
        <f>BASEBUDGETS!E1902/BASEBUDGETS!C1809</f>
        <v>#DIV/0!</v>
      </c>
      <c r="F87" s="770" t="str">
        <f>BASEBUDGETS!C1902</f>
        <v>acre</v>
      </c>
      <c r="G87" s="756" t="e">
        <f>IF(E87=0,0,BASEBUDGETS!D1903*E87)</f>
        <v>#DIV/0!</v>
      </c>
      <c r="H87" s="756" t="e">
        <f>IF(E87=0,0,BASEBUDGETS!D1902*E87)</f>
        <v>#DIV/0!</v>
      </c>
      <c r="I87" s="756">
        <v>0</v>
      </c>
      <c r="J87" s="765" t="e">
        <f t="shared" si="4"/>
        <v>#DIV/0!</v>
      </c>
    </row>
    <row r="88" spans="2:10" ht="21">
      <c r="C88" s="660" t="str">
        <f>TillageOperations!$B$35</f>
        <v>Baler</v>
      </c>
      <c r="D88" s="765"/>
      <c r="E88" s="771" t="e">
        <f>BASEBUDGETS!E1904/BASEBUDGETS!C1809</f>
        <v>#DIV/0!</v>
      </c>
      <c r="F88" s="770" t="str">
        <f>BASEBUDGETS!C1904</f>
        <v>acre</v>
      </c>
      <c r="G88" s="756" t="e">
        <f>IF(E88=0,0,BASEBUDGETS!D1905*E88)</f>
        <v>#DIV/0!</v>
      </c>
      <c r="H88" s="756" t="e">
        <f>IF(E88=0,0,BASEBUDGETS!D1904*E88)</f>
        <v>#DIV/0!</v>
      </c>
      <c r="I88" s="756" t="e">
        <f>IF(E88=0,0,D89*E89)</f>
        <v>#DIV/0!</v>
      </c>
      <c r="J88" s="765" t="e">
        <f t="shared" si="4"/>
        <v>#DIV/0!</v>
      </c>
    </row>
    <row r="89" spans="2:10" ht="21">
      <c r="C89" s="660" t="str">
        <f>'Inputs&amp;PricesbyCrop'!$B$31</f>
        <v xml:space="preserve">   - Baling Twine</v>
      </c>
      <c r="D89" s="765">
        <f>BASEBUDGETS!D1906</f>
        <v>0</v>
      </c>
      <c r="E89" s="775" t="e">
        <f>BASEBUDGETS!E1906/BASEBUDGETS!C1809</f>
        <v>#DIV/0!</v>
      </c>
      <c r="F89" s="769" t="str">
        <f>'Inputs&amp;PricesbyCrop'!$C$31</f>
        <v>acre</v>
      </c>
      <c r="G89" s="756"/>
      <c r="H89" s="756"/>
      <c r="I89" s="756"/>
      <c r="J89" s="765"/>
    </row>
    <row r="90" spans="2:10" ht="21">
      <c r="C90" s="660" t="str">
        <f>TillageOperations!$B$36</f>
        <v>Bale Wagon</v>
      </c>
      <c r="D90" s="765"/>
      <c r="E90" s="771" t="e">
        <f>BASEBUDGETS!E1907/BASEBUDGETS!C1809</f>
        <v>#DIV/0!</v>
      </c>
      <c r="F90" s="770" t="str">
        <f>BASEBUDGETS!C1907</f>
        <v>acre</v>
      </c>
      <c r="G90" s="756" t="e">
        <f>IF(E90=0,0,BASEBUDGETS!D1908*E90)</f>
        <v>#DIV/0!</v>
      </c>
      <c r="H90" s="756" t="e">
        <f>IF(E90=0,0,BASEBUDGETS!D1907*E90)</f>
        <v>#DIV/0!</v>
      </c>
      <c r="I90" s="756">
        <v>0</v>
      </c>
      <c r="J90" s="765" t="e">
        <f t="shared" ref="J90:J92" si="6">G90+H90+I90</f>
        <v>#DIV/0!</v>
      </c>
    </row>
    <row r="91" spans="2:10" ht="21">
      <c r="C91" s="660" t="str">
        <f>BASEBUDGETS!B1921</f>
        <v>Additional Harvest Labor</v>
      </c>
      <c r="D91" s="765">
        <f>GeneralInputPrices!$D$32</f>
        <v>17.89</v>
      </c>
      <c r="E91" s="771" t="e">
        <f>BASEBUDGETS!E1921/BASEBUDGETS!C1809</f>
        <v>#DIV/0!</v>
      </c>
      <c r="F91" s="770" t="str">
        <f>BASEBUDGETS!C1921</f>
        <v>hour</v>
      </c>
      <c r="G91" s="756" t="e">
        <f>D91*E91</f>
        <v>#DIV/0!</v>
      </c>
      <c r="H91" s="756">
        <v>0</v>
      </c>
      <c r="I91" s="756">
        <v>0</v>
      </c>
      <c r="J91" s="765" t="e">
        <f t="shared" si="6"/>
        <v>#DIV/0!</v>
      </c>
    </row>
    <row r="92" spans="2:10" ht="21">
      <c r="C92" s="660" t="str">
        <f>BASEBUDGETS!B1922</f>
        <v>Additional Harvest Labor</v>
      </c>
      <c r="D92" s="765">
        <f>GeneralInputPrices!$D$32</f>
        <v>17.89</v>
      </c>
      <c r="E92" s="771" t="e">
        <f>BASEBUDGETS!E1922/BASEBUDGETS!C1809</f>
        <v>#DIV/0!</v>
      </c>
      <c r="F92" s="770" t="str">
        <f>BASEBUDGETS!C1922</f>
        <v>hour</v>
      </c>
      <c r="G92" s="756" t="e">
        <f>D92*E92</f>
        <v>#DIV/0!</v>
      </c>
      <c r="H92" s="756">
        <v>0</v>
      </c>
      <c r="I92" s="756">
        <v>0</v>
      </c>
      <c r="J92" s="765" t="e">
        <f t="shared" si="6"/>
        <v>#DIV/0!</v>
      </c>
    </row>
    <row r="93" spans="2:10" ht="21">
      <c r="B93" s="760" t="s">
        <v>184</v>
      </c>
      <c r="C93" s="760"/>
      <c r="D93" s="765"/>
      <c r="E93" s="771"/>
      <c r="F93" s="770"/>
      <c r="G93" s="756"/>
      <c r="H93" s="756"/>
      <c r="I93" s="756"/>
      <c r="J93" s="765"/>
    </row>
    <row r="94" spans="2:10" ht="21">
      <c r="C94" s="660" t="str">
        <f>BASEBUDGETS!B1923</f>
        <v>Other Expenses</v>
      </c>
      <c r="D94" s="765"/>
      <c r="E94" s="783">
        <f>BASEBUDGETS!D1923</f>
        <v>0.05</v>
      </c>
      <c r="F94" s="780" t="s">
        <v>10</v>
      </c>
      <c r="G94" s="756">
        <v>0</v>
      </c>
      <c r="H94" s="756">
        <v>0</v>
      </c>
      <c r="I94" s="756" t="e">
        <f>SUM(J9:J92)*E94</f>
        <v>#DIV/0!</v>
      </c>
      <c r="J94" s="765" t="e">
        <f>G94+H94+I94</f>
        <v>#DIV/0!</v>
      </c>
    </row>
    <row r="95" spans="2:10" ht="21">
      <c r="C95" s="660" t="str">
        <f>BASEBUDGETS!B1924</f>
        <v>Interest on Operating Capital</v>
      </c>
      <c r="D95" s="765"/>
      <c r="E95" s="783">
        <f>BASEBUDGETS!D1924</f>
        <v>0.06</v>
      </c>
      <c r="F95" s="780" t="s">
        <v>10</v>
      </c>
      <c r="G95" s="784">
        <v>0</v>
      </c>
      <c r="H95" s="784">
        <v>0</v>
      </c>
      <c r="I95" s="784" t="e">
        <f>SUM(J9:J94)*((E95/12)*GeneralInputPrices!$D$39)</f>
        <v>#DIV/0!</v>
      </c>
      <c r="J95" s="785" t="e">
        <f>G95+H95+I95</f>
        <v>#DIV/0!</v>
      </c>
    </row>
    <row r="96" spans="2:10" ht="21">
      <c r="B96" s="760" t="s">
        <v>153</v>
      </c>
      <c r="C96" s="760"/>
      <c r="D96" s="760"/>
      <c r="E96" s="760"/>
      <c r="F96" s="660"/>
      <c r="G96" s="756" t="e">
        <f>SUM(G9:G95)</f>
        <v>#DIV/0!</v>
      </c>
      <c r="H96" s="756" t="e">
        <f>SUM(H9:H95)</f>
        <v>#DIV/0!</v>
      </c>
      <c r="I96" s="756" t="e">
        <f>SUM(I9:I95)</f>
        <v>#DIV/0!</v>
      </c>
      <c r="J96" s="756" t="e">
        <f>SUM(J9:J95)</f>
        <v>#DIV/0!</v>
      </c>
    </row>
    <row r="98" spans="2:13" ht="21">
      <c r="B98" s="787" t="s">
        <v>78</v>
      </c>
      <c r="C98" s="787"/>
      <c r="D98" s="787"/>
      <c r="E98" s="787"/>
      <c r="F98" s="787"/>
      <c r="G98" s="791"/>
      <c r="H98" s="792" t="s">
        <v>1</v>
      </c>
      <c r="I98" s="767" t="s">
        <v>24</v>
      </c>
      <c r="J98" s="767" t="s">
        <v>0</v>
      </c>
    </row>
    <row r="99" spans="2:13" ht="24" customHeight="1">
      <c r="B99" s="760" t="str">
        <f>BASEBUDGETS!B1959</f>
        <v>Crop Insurance</v>
      </c>
      <c r="C99" s="760"/>
      <c r="D99" s="760"/>
      <c r="E99" s="760"/>
      <c r="F99" s="760"/>
      <c r="H99" s="770" t="str">
        <f>BASEBUDGETS!C1959</f>
        <v>acre</v>
      </c>
      <c r="I99" s="756" t="e">
        <f>BASEBUDGETS!F1959/BASEBUDGETS!C1809</f>
        <v>#DIV/0!</v>
      </c>
      <c r="J99" s="756" t="e">
        <f>I99</f>
        <v>#DIV/0!</v>
      </c>
    </row>
    <row r="100" spans="2:13" ht="21">
      <c r="B100" s="760" t="str">
        <f>BASEBUDGETS!B1960</f>
        <v>Property Insurance</v>
      </c>
      <c r="C100" s="760"/>
      <c r="D100" s="760"/>
      <c r="E100" s="760"/>
      <c r="F100" s="760"/>
      <c r="H100" s="770" t="str">
        <f>BASEBUDGETS!C1960</f>
        <v>acre</v>
      </c>
      <c r="I100" s="756" t="e">
        <f>BASEBUDGETS!F1960/BASEBUDGETS!C1809</f>
        <v>#DIV/0!</v>
      </c>
      <c r="J100" s="756" t="e">
        <f>I100</f>
        <v>#DIV/0!</v>
      </c>
    </row>
    <row r="101" spans="2:13" ht="21">
      <c r="B101" s="760" t="str">
        <f>BASEBUDGETS!B1961</f>
        <v>Property Taxes</v>
      </c>
      <c r="C101" s="760"/>
      <c r="D101" s="760"/>
      <c r="E101" s="760"/>
      <c r="F101" s="760"/>
      <c r="H101" s="770" t="str">
        <f>BASEBUDGETS!C1961</f>
        <v>acre</v>
      </c>
      <c r="I101" s="756" t="e">
        <f>BASEBUDGETS!F1961/BASEBUDGETS!C1809</f>
        <v>#DIV/0!</v>
      </c>
      <c r="J101" s="756" t="e">
        <f t="shared" ref="J101:J104" si="7">I101</f>
        <v>#DIV/0!</v>
      </c>
    </row>
    <row r="102" spans="2:13" ht="21">
      <c r="B102" s="760" t="str">
        <f>BASEBUDGETS!B1964</f>
        <v>Licenses and Fees</v>
      </c>
      <c r="C102" s="760"/>
      <c r="D102" s="760"/>
      <c r="E102" s="760"/>
      <c r="F102" s="760"/>
      <c r="H102" s="770" t="str">
        <f>BASEBUDGETS!C1964</f>
        <v>acre</v>
      </c>
      <c r="I102" s="756" t="e">
        <f>BASEBUDGETS!F1964/BASEBUDGETS!C1809</f>
        <v>#DIV/0!</v>
      </c>
      <c r="J102" s="756" t="e">
        <f t="shared" si="7"/>
        <v>#DIV/0!</v>
      </c>
    </row>
    <row r="103" spans="2:13" ht="21">
      <c r="B103" s="794" t="s">
        <v>484</v>
      </c>
      <c r="C103" s="794"/>
      <c r="D103" s="794"/>
      <c r="E103" s="756"/>
      <c r="F103" s="756"/>
      <c r="G103" s="756"/>
      <c r="H103" s="770" t="s">
        <v>157</v>
      </c>
      <c r="I103" s="756">
        <f>IF('AcresYieldsPrices&amp;Water'!D9=0,0,((Fallow!$L$17*'AcresYieldsPrices&amp;Water'!T19)/'AcresYieldsPrices&amp;Water'!D13)*-1)</f>
        <v>0</v>
      </c>
      <c r="J103" s="765">
        <f>I103</f>
        <v>0</v>
      </c>
      <c r="M103" s="825">
        <f>I103*'AcresYieldsPrices&amp;Water'!D13</f>
        <v>0</v>
      </c>
    </row>
    <row r="104" spans="2:13" ht="21">
      <c r="B104" s="760" t="str">
        <f>BASEBUDGETS!B1962</f>
        <v>Annual Cash Rent Payment</v>
      </c>
      <c r="C104" s="760"/>
      <c r="D104" s="760"/>
      <c r="E104" s="760"/>
      <c r="F104" s="760"/>
      <c r="H104" s="770" t="str">
        <f>BASEBUDGETS!C1962</f>
        <v>acre</v>
      </c>
      <c r="I104" s="756" t="e">
        <f>BASEBUDGETS!F1962/BASEBUDGETS!C1809</f>
        <v>#DIV/0!</v>
      </c>
      <c r="J104" s="784" t="e">
        <f t="shared" si="7"/>
        <v>#DIV/0!</v>
      </c>
    </row>
    <row r="105" spans="2:13" ht="21">
      <c r="B105" s="760" t="s">
        <v>79</v>
      </c>
      <c r="C105" s="760"/>
      <c r="D105" s="760"/>
      <c r="E105" s="760"/>
      <c r="F105" s="760"/>
      <c r="G105" s="756"/>
      <c r="H105" s="756"/>
      <c r="I105" s="756"/>
      <c r="J105" s="765" t="e">
        <f>SUM(J99:J104)</f>
        <v>#DIV/0!</v>
      </c>
    </row>
    <row r="106" spans="2:13" ht="20.100000000000001" customHeight="1">
      <c r="B106" s="782"/>
      <c r="C106" s="782"/>
      <c r="D106" s="782"/>
      <c r="E106" s="782"/>
      <c r="F106" s="782"/>
      <c r="G106" s="756"/>
      <c r="H106" s="756"/>
      <c r="I106" s="756"/>
      <c r="J106" s="765"/>
    </row>
    <row r="107" spans="2:13" ht="21">
      <c r="B107" s="805" t="s">
        <v>154</v>
      </c>
      <c r="C107" s="805"/>
      <c r="D107" s="805"/>
      <c r="E107" s="805"/>
      <c r="F107" s="805"/>
      <c r="G107" s="791"/>
      <c r="H107" s="792" t="s">
        <v>1</v>
      </c>
      <c r="I107" s="767" t="s">
        <v>24</v>
      </c>
      <c r="J107" s="767" t="s">
        <v>0</v>
      </c>
    </row>
    <row r="108" spans="2:13" ht="21">
      <c r="B108" s="760" t="s">
        <v>534</v>
      </c>
      <c r="C108" s="760"/>
      <c r="D108" s="760"/>
      <c r="E108" s="760"/>
      <c r="F108" s="760"/>
      <c r="G108" s="760"/>
      <c r="H108" s="770" t="s">
        <v>157</v>
      </c>
      <c r="I108" s="756" t="e">
        <f>SUM(BASEBUDGETS!F1928:F1930)/BASEBUDGETS!C1809</f>
        <v>#DIV/0!</v>
      </c>
      <c r="J108" s="765" t="e">
        <f>I108</f>
        <v>#DIV/0!</v>
      </c>
      <c r="M108" s="825" t="e">
        <f>I108*'AcresYieldsPrices&amp;Water'!D13</f>
        <v>#DIV/0!</v>
      </c>
    </row>
    <row r="109" spans="2:13" ht="21">
      <c r="B109" s="794" t="s">
        <v>156</v>
      </c>
      <c r="C109" s="794"/>
      <c r="D109" s="794"/>
      <c r="E109" s="794"/>
      <c r="F109" s="794"/>
      <c r="G109" s="756"/>
      <c r="H109" s="770" t="str">
        <f>BASEBUDGETS!C1928</f>
        <v>acre</v>
      </c>
      <c r="I109" s="758" t="e">
        <f>SUM(BASEBUDGETS!F1931:F1958)/BASEBUDGETS!C1809</f>
        <v>#DIV/0!</v>
      </c>
      <c r="J109" s="797" t="e">
        <f>I109</f>
        <v>#DIV/0!</v>
      </c>
    </row>
    <row r="110" spans="2:13" ht="21">
      <c r="B110" s="807" t="s">
        <v>77</v>
      </c>
      <c r="C110" s="807"/>
      <c r="D110" s="807"/>
      <c r="E110" s="807"/>
      <c r="F110" s="807"/>
      <c r="G110" s="756"/>
      <c r="H110" s="756"/>
      <c r="I110" s="756"/>
      <c r="J110" s="765" t="e">
        <f>J109+J108</f>
        <v>#DIV/0!</v>
      </c>
    </row>
    <row r="111" spans="2:13" ht="21">
      <c r="B111" s="660"/>
      <c r="C111" s="660"/>
      <c r="D111" s="765"/>
      <c r="E111" s="758"/>
      <c r="F111" s="660"/>
      <c r="G111" s="756"/>
      <c r="H111" s="756"/>
      <c r="I111" s="756"/>
      <c r="J111" s="765"/>
    </row>
    <row r="112" spans="2:13" ht="20.399999999999999">
      <c r="B112" s="808" t="s">
        <v>63</v>
      </c>
      <c r="C112" s="808"/>
      <c r="D112" s="808"/>
      <c r="E112" s="808"/>
      <c r="F112" s="808"/>
      <c r="G112" s="764"/>
      <c r="H112" s="764"/>
      <c r="I112" s="764"/>
      <c r="J112" s="801">
        <f>IF(I4=0,0,J96+J105+J110)</f>
        <v>0</v>
      </c>
    </row>
    <row r="113" spans="2:10" ht="20.100000000000001" customHeight="1">
      <c r="B113" s="805" t="s">
        <v>64</v>
      </c>
      <c r="C113" s="805"/>
      <c r="D113" s="805"/>
      <c r="E113" s="805"/>
      <c r="F113" s="805"/>
      <c r="G113" s="803"/>
      <c r="H113" s="803"/>
      <c r="I113" s="803"/>
      <c r="J113" s="788">
        <f>J5-J112</f>
        <v>0</v>
      </c>
    </row>
    <row r="114" spans="2:10" ht="21">
      <c r="B114" s="826" t="s">
        <v>451</v>
      </c>
      <c r="C114" s="826"/>
      <c r="D114" s="826"/>
      <c r="E114" s="826"/>
      <c r="F114" s="826"/>
      <c r="G114" s="826"/>
      <c r="H114" s="826"/>
      <c r="I114" s="826"/>
      <c r="J114" s="826"/>
    </row>
  </sheetData>
  <sheetProtection algorithmName="SHA-512" hashValue="nmBbN8x4tIkQUowdWLVViLcjSl71QxckdrPP51gtPJN1gRPVwrO1Z2M8PmIEFikTUxAfDsKBAOy5AeXMQMd3tw==" saltValue="RUn8rgyrtnZEaWMhIh49xw==" spinCount="100000" sheet="1" objects="1" scenarios="1"/>
  <mergeCells count="23">
    <mergeCell ref="B100:F100"/>
    <mergeCell ref="B76:C76"/>
    <mergeCell ref="B93:C93"/>
    <mergeCell ref="B3:C3"/>
    <mergeCell ref="B8:C8"/>
    <mergeCell ref="B31:C31"/>
    <mergeCell ref="G2:I2"/>
    <mergeCell ref="B4:E4"/>
    <mergeCell ref="B2:F2"/>
    <mergeCell ref="B96:E96"/>
    <mergeCell ref="B99:F99"/>
    <mergeCell ref="B114:J114"/>
    <mergeCell ref="B113:F113"/>
    <mergeCell ref="B101:F101"/>
    <mergeCell ref="B102:F102"/>
    <mergeCell ref="B104:F104"/>
    <mergeCell ref="B105:F105"/>
    <mergeCell ref="B107:F107"/>
    <mergeCell ref="B109:F109"/>
    <mergeCell ref="B110:F110"/>
    <mergeCell ref="B112:F112"/>
    <mergeCell ref="B103:D103"/>
    <mergeCell ref="B108:G108"/>
  </mergeCells>
  <pageMargins left="0.7" right="0.7" top="0.75" bottom="0.75" header="0.3" footer="0.3"/>
  <pageSetup scale="59" fitToHeight="2" orientation="portrait" horizontalDpi="0" verticalDpi="0"/>
  <ignoredErrors>
    <ignoredError sqref="B5:E5 B31:C31 B109:F109 B4 B9:C17 G4:J5 F4:F8 B18:C27 B34:C34 B76:C76 B112:J113 K45 B105:F105 B55:C61 C28:C30 B74:C75 B66 B107:F107 B111:J111 B110:J110 C35:C36 B38:C39 B45:C51 B65:C65 G2 B32:C33 B42:C43 B40:C41 B53:C53 B52:C52 B63:C64 B62:C62 K35:K36 K38:K39 K43 D63:D64 D53 D42:D43 D65 D45:D51 D38:D39 D35:D36 D74:D75 D28:D30 D55:D61 D76 D34 D18:D27 D31 D9:D17 D32:D33 D37 D62 D40:D41 D52 D44 D54 K42 K40 K41 B68:B73 C66:F73 I108:J108 I64:J64 I103 D77:D79 B95:D95 B99 D83:D92 B83:C92 D80:D82 B78:C79 B100:F102 B77 B80:C82 B104:F104 B94:D94 B96:F97 B93:D93 E78:J79 E95:J95 E93:J93 B98:J98 G96:J97 E94:J94 G104:J104 E83:J92 E80:J82 C77 B103:H103 G100:J102 C99:J99 E77:J77 J103 I109 H109 J109 J105 F9:F17 G9:H17 E18:J30 E9:E17 I9:J17 E32:J42 E43:J44" unlockedFormula="1"/>
  </ignoredErrors>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90872-7D38-884D-871C-9299B0969838}">
  <sheetPr codeName="Sheet26">
    <pageSetUpPr fitToPage="1"/>
  </sheetPr>
  <dimension ref="A1:V118"/>
  <sheetViews>
    <sheetView zoomScale="110" zoomScaleNormal="110" workbookViewId="0">
      <selection sqref="A1:XFD1048576"/>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5" width="14.88671875" style="611" customWidth="1"/>
    <col min="16" max="22" width="12.33203125" style="611" customWidth="1"/>
    <col min="23" max="16384" width="11.44140625" style="653"/>
  </cols>
  <sheetData>
    <row r="1" spans="2:14" ht="15.9" customHeight="1" thickBot="1">
      <c r="B1" s="741"/>
      <c r="C1" s="741"/>
      <c r="D1" s="742"/>
      <c r="E1" s="743"/>
      <c r="F1" s="744"/>
      <c r="G1" s="745"/>
      <c r="H1" s="745"/>
      <c r="I1" s="745"/>
      <c r="J1" s="745"/>
    </row>
    <row r="2" spans="2:14" ht="22.8">
      <c r="B2" s="746" t="s">
        <v>488</v>
      </c>
      <c r="C2" s="746"/>
      <c r="D2" s="746"/>
      <c r="E2" s="746"/>
      <c r="F2" s="746"/>
      <c r="G2" s="746" t="str">
        <f>'AcresYieldsPrices&amp;Water'!B14</f>
        <v>Durum Wheat</v>
      </c>
      <c r="H2" s="746"/>
      <c r="I2" s="746"/>
      <c r="J2" s="747" t="s">
        <v>487</v>
      </c>
    </row>
    <row r="3" spans="2:14" ht="22.8">
      <c r="B3" s="748" t="s">
        <v>22</v>
      </c>
      <c r="C3" s="748"/>
      <c r="D3" s="749"/>
      <c r="E3" s="750"/>
      <c r="F3" s="751" t="s">
        <v>1</v>
      </c>
      <c r="G3" s="752" t="s">
        <v>24</v>
      </c>
      <c r="H3" s="753"/>
      <c r="I3" s="752" t="s">
        <v>25</v>
      </c>
      <c r="J3" s="752" t="s">
        <v>0</v>
      </c>
    </row>
    <row r="4" spans="2:14" ht="21">
      <c r="B4" s="754" t="str">
        <f>BASEBUDGETS!B1975</f>
        <v>Durum Wheat</v>
      </c>
      <c r="C4" s="754"/>
      <c r="D4" s="754"/>
      <c r="E4" s="754"/>
      <c r="F4" s="755" t="str">
        <f>BASEBUDGETS!C1975</f>
        <v>CWT</v>
      </c>
      <c r="G4" s="756">
        <f>BASEBUDGETS!D1975</f>
        <v>17.653099999999998</v>
      </c>
      <c r="I4" s="758">
        <f>IF(BASEBUDGETS!E1975=0,0,BASEBUDGETS!E1975/BASEBUDGETS!C1971)</f>
        <v>0</v>
      </c>
      <c r="J4" s="761">
        <f>G4*I4</f>
        <v>0</v>
      </c>
    </row>
    <row r="5" spans="2:14" ht="20.399999999999999">
      <c r="B5" s="679" t="s">
        <v>27</v>
      </c>
      <c r="C5" s="679"/>
      <c r="D5" s="762"/>
      <c r="E5" s="763"/>
      <c r="F5" s="679"/>
      <c r="G5" s="764"/>
      <c r="H5" s="764"/>
      <c r="I5" s="764"/>
      <c r="J5" s="764">
        <f>SUM(J4:J4)</f>
        <v>0</v>
      </c>
    </row>
    <row r="6" spans="2:14" ht="21">
      <c r="B6" s="660"/>
      <c r="C6" s="660"/>
      <c r="D6" s="765"/>
      <c r="E6" s="758"/>
      <c r="F6" s="660"/>
      <c r="G6" s="756"/>
      <c r="H6" s="756"/>
      <c r="I6" s="756"/>
      <c r="J6" s="756"/>
    </row>
    <row r="7" spans="2:14" ht="21">
      <c r="B7" s="766" t="s">
        <v>76</v>
      </c>
      <c r="C7" s="766"/>
      <c r="D7" s="767" t="s">
        <v>45</v>
      </c>
      <c r="E7" s="810" t="s">
        <v>25</v>
      </c>
      <c r="F7" s="811" t="s">
        <v>1</v>
      </c>
      <c r="G7" s="812" t="s">
        <v>149</v>
      </c>
      <c r="H7" s="812" t="s">
        <v>8</v>
      </c>
      <c r="I7" s="812" t="s">
        <v>150</v>
      </c>
      <c r="J7" s="812" t="s">
        <v>7</v>
      </c>
    </row>
    <row r="8" spans="2:14" ht="21">
      <c r="B8" s="754" t="s">
        <v>210</v>
      </c>
      <c r="C8" s="754"/>
      <c r="D8" s="765"/>
      <c r="E8" s="758"/>
      <c r="F8" s="769"/>
      <c r="G8" s="770"/>
      <c r="H8" s="770"/>
      <c r="I8" s="770"/>
    </row>
    <row r="9" spans="2:14" ht="21">
      <c r="C9" s="660" t="str">
        <f>BASEBUDGETS!B2010</f>
        <v>V Ripper, Custom</v>
      </c>
      <c r="D9" s="765">
        <f>CustomOperations!P5</f>
        <v>44.25</v>
      </c>
      <c r="E9" s="771" t="e">
        <f>BASEBUDGETS!E2010/BASEBUDGETS!C1971</f>
        <v>#DIV/0!</v>
      </c>
      <c r="F9" s="770" t="str">
        <f>BASEBUDGETS!C2010</f>
        <v>acre</v>
      </c>
      <c r="G9" s="756">
        <v>0</v>
      </c>
      <c r="H9" s="756">
        <v>0</v>
      </c>
      <c r="I9" s="756" t="e">
        <f>IF(E9=0,0,BASEBUDGETS!D2010*E9)</f>
        <v>#DIV/0!</v>
      </c>
      <c r="J9" s="765" t="e">
        <f>G9+H9+I9</f>
        <v>#DIV/0!</v>
      </c>
      <c r="L9" s="772">
        <f>N9*'AcresYieldsPrices&amp;Water'!D$14</f>
        <v>0</v>
      </c>
      <c r="M9" s="611" t="s">
        <v>394</v>
      </c>
      <c r="N9" s="653">
        <f>IFERROR(I37,0)</f>
        <v>0</v>
      </c>
    </row>
    <row r="10" spans="2:14" ht="21">
      <c r="C10" s="660" t="str">
        <f>BASEBUDGETS!B2011</f>
        <v>Disk, Custom</v>
      </c>
      <c r="D10" s="765">
        <f>CustomOperations!P7</f>
        <v>0</v>
      </c>
      <c r="E10" s="771" t="e">
        <f>BASEBUDGETS!E2011/BASEBUDGETS!C1971</f>
        <v>#DIV/0!</v>
      </c>
      <c r="F10" s="770" t="str">
        <f>BASEBUDGETS!C2011</f>
        <v>acre</v>
      </c>
      <c r="G10" s="756">
        <v>0</v>
      </c>
      <c r="H10" s="756">
        <v>0</v>
      </c>
      <c r="I10" s="756" t="e">
        <f>IF(E10=0,0,BASEBUDGETS!D2011*E10)</f>
        <v>#DIV/0!</v>
      </c>
      <c r="J10" s="765" t="e">
        <f>G10+H10+I10</f>
        <v>#DIV/0!</v>
      </c>
      <c r="L10" s="772">
        <f>N10*'AcresYieldsPrices&amp;Water'!D$14</f>
        <v>0</v>
      </c>
      <c r="M10" s="611" t="s">
        <v>395</v>
      </c>
      <c r="N10" s="653">
        <f>IFERROR(I44,0)</f>
        <v>0</v>
      </c>
    </row>
    <row r="11" spans="2:14" ht="21">
      <c r="C11" s="660" t="str">
        <f>BASEBUDGETS!B2012</f>
        <v>Drag, Custom</v>
      </c>
      <c r="D11" s="765">
        <f>CustomOperations!P9</f>
        <v>0</v>
      </c>
      <c r="E11" s="771" t="e">
        <f>BASEBUDGETS!E2012/BASEBUDGETS!C1971</f>
        <v>#DIV/0!</v>
      </c>
      <c r="F11" s="770" t="str">
        <f>BASEBUDGETS!C2012</f>
        <v>acre</v>
      </c>
      <c r="G11" s="756">
        <v>0</v>
      </c>
      <c r="H11" s="756">
        <v>0</v>
      </c>
      <c r="I11" s="756" t="e">
        <f>IF(E11=0,0,BASEBUDGETS!D2012*E11)</f>
        <v>#DIV/0!</v>
      </c>
      <c r="J11" s="765" t="e">
        <f t="shared" ref="J11:J30" si="0">G11+H11+I11</f>
        <v>#DIV/0!</v>
      </c>
      <c r="L11" s="772">
        <f>N11*'AcresYieldsPrices&amp;Water'!D$14</f>
        <v>0</v>
      </c>
      <c r="M11" s="611" t="s">
        <v>396</v>
      </c>
      <c r="N11" s="653">
        <f>IFERROR(I54,0)</f>
        <v>0</v>
      </c>
    </row>
    <row r="12" spans="2:14" ht="21">
      <c r="C12" s="660" t="str">
        <f>BASEBUDGETS!B2013</f>
        <v>Chisel, Custom</v>
      </c>
      <c r="D12" s="765">
        <f>CustomOperations!P11</f>
        <v>0</v>
      </c>
      <c r="E12" s="771" t="e">
        <f>BASEBUDGETS!E2013/BASEBUDGETS!C1971</f>
        <v>#DIV/0!</v>
      </c>
      <c r="F12" s="770" t="str">
        <f>BASEBUDGETS!C2013</f>
        <v>acre</v>
      </c>
      <c r="G12" s="756">
        <v>0</v>
      </c>
      <c r="H12" s="756">
        <v>0</v>
      </c>
      <c r="I12" s="756" t="e">
        <f>IF(E12=0,0,BASEBUDGETS!D2013*E12)</f>
        <v>#DIV/0!</v>
      </c>
      <c r="J12" s="765" t="e">
        <f t="shared" si="0"/>
        <v>#DIV/0!</v>
      </c>
      <c r="L12" s="772">
        <f>N12*'AcresYieldsPrices&amp;Water'!D$14</f>
        <v>0</v>
      </c>
      <c r="M12" s="611" t="s">
        <v>392</v>
      </c>
      <c r="N12" s="653">
        <f>IFERROR(E29+E30+E74+E75+E91+E92+E72+E69+E66,0)</f>
        <v>0</v>
      </c>
    </row>
    <row r="13" spans="2:14" ht="21">
      <c r="C13" s="660" t="str">
        <f>BASEBUDGETS!B2014</f>
        <v>Moldboard Plow, Custom</v>
      </c>
      <c r="D13" s="765">
        <f>CustomOperations!P13</f>
        <v>0</v>
      </c>
      <c r="E13" s="771" t="e">
        <f>BASEBUDGETS!E2014/BASEBUDGETS!C1971</f>
        <v>#DIV/0!</v>
      </c>
      <c r="F13" s="770" t="str">
        <f>BASEBUDGETS!C2014</f>
        <v>acre</v>
      </c>
      <c r="G13" s="756">
        <v>0</v>
      </c>
      <c r="H13" s="756">
        <v>0</v>
      </c>
      <c r="I13" s="756" t="e">
        <f>IF(E13=0,0,BASEBUDGETS!D2014*E13)</f>
        <v>#DIV/0!</v>
      </c>
      <c r="J13" s="765" t="e">
        <f t="shared" si="0"/>
        <v>#DIV/0!</v>
      </c>
      <c r="L13" s="772">
        <f>N13*'AcresYieldsPrices&amp;Water'!D$14</f>
        <v>0</v>
      </c>
      <c r="M13" s="611" t="s">
        <v>393</v>
      </c>
      <c r="N13" s="653">
        <f>IFERROR(((SUM(G18:G28)+G36+G34+G35+G43+G42+G53+G63+SUM(G80:G90))/[2]GeneralInputPrices!$D$20),0)</f>
        <v>0</v>
      </c>
    </row>
    <row r="14" spans="2:14" ht="21">
      <c r="C14" s="660" t="str">
        <f>BASEBUDGETS!B2015</f>
        <v>Landplane, Custom</v>
      </c>
      <c r="D14" s="765">
        <f>CustomOperations!P15</f>
        <v>17.940000000000001</v>
      </c>
      <c r="E14" s="771" t="e">
        <f>BASEBUDGETS!E2015/BASEBUDGETS!C1971</f>
        <v>#DIV/0!</v>
      </c>
      <c r="F14" s="770" t="str">
        <f>BASEBUDGETS!C2015</f>
        <v>acre</v>
      </c>
      <c r="G14" s="756">
        <v>0</v>
      </c>
      <c r="H14" s="756">
        <v>0</v>
      </c>
      <c r="I14" s="756" t="e">
        <f>IF(E14=0,0,BASEBUDGETS!D2015*E14)</f>
        <v>#DIV/0!</v>
      </c>
      <c r="J14" s="765" t="e">
        <f t="shared" si="0"/>
        <v>#DIV/0!</v>
      </c>
      <c r="L14" s="772">
        <f>N14*'AcresYieldsPrices&amp;Water'!D$14</f>
        <v>0</v>
      </c>
      <c r="M14" s="611" t="s">
        <v>186</v>
      </c>
      <c r="N14" s="653">
        <f>IFERROR(H96,0)</f>
        <v>0</v>
      </c>
    </row>
    <row r="15" spans="2:14" ht="21">
      <c r="C15" s="660" t="str">
        <f>BASEBUDGETS!B2016</f>
        <v>Float, Custom</v>
      </c>
      <c r="D15" s="765">
        <f>CustomOperations!P17</f>
        <v>17.940000000000001</v>
      </c>
      <c r="E15" s="771" t="e">
        <f>BASEBUDGETS!E2016/BASEBUDGETS!C1971</f>
        <v>#DIV/0!</v>
      </c>
      <c r="F15" s="770" t="str">
        <f>BASEBUDGETS!C2016</f>
        <v>acre</v>
      </c>
      <c r="G15" s="756">
        <v>0</v>
      </c>
      <c r="H15" s="756">
        <v>0</v>
      </c>
      <c r="I15" s="756" t="e">
        <f>IF(E15=0,0,BASEBUDGETS!D2016*E15)</f>
        <v>#DIV/0!</v>
      </c>
      <c r="J15" s="765" t="e">
        <f t="shared" si="0"/>
        <v>#DIV/0!</v>
      </c>
      <c r="L15" s="772">
        <f>N15*'AcresYieldsPrices&amp;Water'!D$14</f>
        <v>0</v>
      </c>
      <c r="M15" s="611" t="s">
        <v>401</v>
      </c>
      <c r="N15" s="653">
        <f>IFERROR(J109,0)</f>
        <v>0</v>
      </c>
    </row>
    <row r="16" spans="2:14" ht="21">
      <c r="C16" s="660" t="str">
        <f>BASEBUDGETS!B2017</f>
        <v>Lister, Custom</v>
      </c>
      <c r="D16" s="765">
        <f>CustomOperations!P19</f>
        <v>20.38</v>
      </c>
      <c r="E16" s="771" t="e">
        <f>BASEBUDGETS!E2017/BASEBUDGETS!C1971</f>
        <v>#DIV/0!</v>
      </c>
      <c r="F16" s="770" t="str">
        <f>BASEBUDGETS!C2017</f>
        <v>acre</v>
      </c>
      <c r="G16" s="756">
        <v>0</v>
      </c>
      <c r="H16" s="756">
        <v>0</v>
      </c>
      <c r="I16" s="756" t="e">
        <f>IF(E16=0,0,BASEBUDGETS!D2017*E16)</f>
        <v>#DIV/0!</v>
      </c>
      <c r="J16" s="765" t="e">
        <f t="shared" si="0"/>
        <v>#DIV/0!</v>
      </c>
      <c r="L16" s="772">
        <f>N16*'AcresYieldsPrices&amp;Water'!D$14</f>
        <v>0</v>
      </c>
      <c r="M16" s="611" t="s">
        <v>405</v>
      </c>
      <c r="N16" s="653">
        <f>IFERROR((J79+J78+J77+J62+J52+J41+J40+J33+J32+SUM(J9:J17)),0)</f>
        <v>0</v>
      </c>
    </row>
    <row r="17" spans="2:10" ht="21">
      <c r="C17" s="660" t="str">
        <f>BASEBUDGETS!B2018</f>
        <v>Bed Shape, Custom</v>
      </c>
      <c r="D17" s="765">
        <f>CustomOperations!P21</f>
        <v>13.69</v>
      </c>
      <c r="E17" s="771" t="e">
        <f>BASEBUDGETS!E2018/BASEBUDGETS!C1971</f>
        <v>#DIV/0!</v>
      </c>
      <c r="F17" s="770" t="str">
        <f>BASEBUDGETS!C2018</f>
        <v>acre</v>
      </c>
      <c r="G17" s="756">
        <v>0</v>
      </c>
      <c r="H17" s="756">
        <v>0</v>
      </c>
      <c r="I17" s="756" t="e">
        <f>IF(E17=0,0,BASEBUDGETS!D2018*E17)</f>
        <v>#DIV/0!</v>
      </c>
      <c r="J17" s="765" t="e">
        <f t="shared" si="0"/>
        <v>#DIV/0!</v>
      </c>
    </row>
    <row r="18" spans="2:10" ht="21">
      <c r="C18" s="660" t="str">
        <f>TillageOperations!$B$7</f>
        <v>V-Ripper</v>
      </c>
      <c r="D18" s="765"/>
      <c r="E18" s="771" t="e">
        <f>BASEBUDGETS!E2022/BASEBUDGETS!C1971</f>
        <v>#DIV/0!</v>
      </c>
      <c r="F18" s="770" t="str">
        <f>BASEBUDGETS!C2022</f>
        <v>acre</v>
      </c>
      <c r="G18" s="756" t="e">
        <f>IF(E18=0,0,BASEBUDGETS!D2023*E18)</f>
        <v>#DIV/0!</v>
      </c>
      <c r="H18" s="756" t="e">
        <f>IF(E18=0,0,BASEBUDGETS!D2022*E18)</f>
        <v>#DIV/0!</v>
      </c>
      <c r="I18" s="756">
        <v>0</v>
      </c>
      <c r="J18" s="765" t="e">
        <f t="shared" si="0"/>
        <v>#DIV/0!</v>
      </c>
    </row>
    <row r="19" spans="2:10" ht="21">
      <c r="C19" s="660" t="str">
        <f>TillageOperations!$B$8</f>
        <v>Offset Disk</v>
      </c>
      <c r="D19" s="765"/>
      <c r="E19" s="771" t="e">
        <f>BASEBUDGETS!E2024/BASEBUDGETS!C1971</f>
        <v>#DIV/0!</v>
      </c>
      <c r="F19" s="770" t="str">
        <f>BASEBUDGETS!C2024</f>
        <v>acre</v>
      </c>
      <c r="G19" s="756" t="e">
        <f>IF(E19=0,0,BASEBUDGETS!D2025*E19)</f>
        <v>#DIV/0!</v>
      </c>
      <c r="H19" s="756" t="e">
        <f>IF(E19=0,0,BASEBUDGETS!D2024*E19)</f>
        <v>#DIV/0!</v>
      </c>
      <c r="I19" s="756">
        <v>0</v>
      </c>
      <c r="J19" s="765" t="e">
        <f t="shared" si="0"/>
        <v>#DIV/0!</v>
      </c>
    </row>
    <row r="20" spans="2:10" ht="21">
      <c r="C20" s="660" t="str">
        <f>TillageOperations!$B$9</f>
        <v>Drag</v>
      </c>
      <c r="D20" s="765"/>
      <c r="E20" s="771" t="e">
        <f>BASEBUDGETS!E2026/BASEBUDGETS!C1971</f>
        <v>#DIV/0!</v>
      </c>
      <c r="F20" s="770" t="str">
        <f>BASEBUDGETS!C2026</f>
        <v>acre</v>
      </c>
      <c r="G20" s="756" t="e">
        <f>IF(E20=0,0,BASEBUDGETS!D2027*E20)</f>
        <v>#DIV/0!</v>
      </c>
      <c r="H20" s="756" t="e">
        <f>IF(E20=0,0,BASEBUDGETS!D2026*E20)</f>
        <v>#DIV/0!</v>
      </c>
      <c r="I20" s="756">
        <v>0</v>
      </c>
      <c r="J20" s="765" t="e">
        <f t="shared" si="0"/>
        <v>#DIV/0!</v>
      </c>
    </row>
    <row r="21" spans="2:10" ht="21">
      <c r="C21" s="660" t="str">
        <f>TillageOperations!$B$10</f>
        <v>Chisel</v>
      </c>
      <c r="D21" s="765"/>
      <c r="E21" s="771" t="e">
        <f>BASEBUDGETS!E2028/BASEBUDGETS!C1971</f>
        <v>#DIV/0!</v>
      </c>
      <c r="F21" s="770" t="str">
        <f>BASEBUDGETS!C2028</f>
        <v>acre</v>
      </c>
      <c r="G21" s="756" t="e">
        <f>IF(E21=0,0,BASEBUDGETS!D2029*E21)</f>
        <v>#DIV/0!</v>
      </c>
      <c r="H21" s="756" t="e">
        <f>IF(E21=0,0,BASEBUDGETS!D2028*E21)</f>
        <v>#DIV/0!</v>
      </c>
      <c r="I21" s="756">
        <v>0</v>
      </c>
      <c r="J21" s="765" t="e">
        <f t="shared" si="0"/>
        <v>#DIV/0!</v>
      </c>
    </row>
    <row r="22" spans="2:10" ht="21">
      <c r="C22" s="660" t="str">
        <f>TillageOperations!$B$11</f>
        <v>Moldboard Plow</v>
      </c>
      <c r="D22" s="765"/>
      <c r="E22" s="771" t="e">
        <f>BASEBUDGETS!E2030/BASEBUDGETS!C1971</f>
        <v>#DIV/0!</v>
      </c>
      <c r="F22" s="770" t="str">
        <f>BASEBUDGETS!C2030</f>
        <v>acre</v>
      </c>
      <c r="G22" s="756" t="e">
        <f>IF(E22=0,0,BASEBUDGETS!D2031*E22)</f>
        <v>#DIV/0!</v>
      </c>
      <c r="H22" s="756" t="e">
        <f>IF(E22=0,0,BASEBUDGETS!D2030*E22)</f>
        <v>#DIV/0!</v>
      </c>
      <c r="I22" s="756">
        <v>0</v>
      </c>
      <c r="J22" s="765" t="e">
        <f t="shared" si="0"/>
        <v>#DIV/0!</v>
      </c>
    </row>
    <row r="23" spans="2:10" ht="21">
      <c r="C23" s="660" t="str">
        <f>TillageOperations!$B$12</f>
        <v>Cultivator</v>
      </c>
      <c r="D23" s="765"/>
      <c r="E23" s="771" t="e">
        <f>BASEBUDGETS!E2032/BASEBUDGETS!C1971</f>
        <v>#DIV/0!</v>
      </c>
      <c r="F23" s="770" t="str">
        <f>BASEBUDGETS!C2032</f>
        <v>acre</v>
      </c>
      <c r="G23" s="756" t="e">
        <f>IF(E23=0,0,BASEBUDGETS!D2033*E23)</f>
        <v>#DIV/0!</v>
      </c>
      <c r="H23" s="756" t="e">
        <f>IF(E23=0,0,BASEBUDGETS!D2032*E23)</f>
        <v>#DIV/0!</v>
      </c>
      <c r="I23" s="756">
        <v>0</v>
      </c>
      <c r="J23" s="765" t="e">
        <f t="shared" si="0"/>
        <v>#DIV/0!</v>
      </c>
    </row>
    <row r="24" spans="2:10" ht="21">
      <c r="C24" s="660" t="str">
        <f>TillageOperations!$B$13</f>
        <v>Landplane</v>
      </c>
      <c r="D24" s="765"/>
      <c r="E24" s="771" t="e">
        <f>BASEBUDGETS!E2034/BASEBUDGETS!C1971</f>
        <v>#DIV/0!</v>
      </c>
      <c r="F24" s="770" t="str">
        <f>BASEBUDGETS!C2034</f>
        <v>acre</v>
      </c>
      <c r="G24" s="756" t="e">
        <f>IF(E24=0,0,BASEBUDGETS!D2035*E24)</f>
        <v>#DIV/0!</v>
      </c>
      <c r="H24" s="756" t="e">
        <f>IF(E24=0,0,BASEBUDGETS!D2034*E24)</f>
        <v>#DIV/0!</v>
      </c>
      <c r="I24" s="756">
        <v>0</v>
      </c>
      <c r="J24" s="765" t="e">
        <f t="shared" si="0"/>
        <v>#DIV/0!</v>
      </c>
    </row>
    <row r="25" spans="2:10" ht="21">
      <c r="C25" s="660" t="str">
        <f>TillageOperations!$B$14</f>
        <v>Float</v>
      </c>
      <c r="D25" s="765"/>
      <c r="E25" s="771" t="e">
        <f>BASEBUDGETS!E2036/BASEBUDGETS!C1971</f>
        <v>#DIV/0!</v>
      </c>
      <c r="F25" s="770" t="str">
        <f>BASEBUDGETS!C2036</f>
        <v>acre</v>
      </c>
      <c r="G25" s="756" t="e">
        <f>IF(E25=0,0,BASEBUDGETS!D2037*E25)</f>
        <v>#DIV/0!</v>
      </c>
      <c r="H25" s="756" t="e">
        <f>IF(E25=0,0,BASEBUDGETS!D2036*E25)</f>
        <v>#DIV/0!</v>
      </c>
      <c r="I25" s="756">
        <v>0</v>
      </c>
      <c r="J25" s="765" t="e">
        <f t="shared" si="0"/>
        <v>#DIV/0!</v>
      </c>
    </row>
    <row r="26" spans="2:10" ht="21">
      <c r="C26" s="660" t="str">
        <f>TillageOperations!$B$15</f>
        <v>Lister</v>
      </c>
      <c r="D26" s="765"/>
      <c r="E26" s="771" t="e">
        <f>BASEBUDGETS!E2038/BASEBUDGETS!C1971</f>
        <v>#DIV/0!</v>
      </c>
      <c r="F26" s="770" t="str">
        <f>BASEBUDGETS!C2038</f>
        <v>acre</v>
      </c>
      <c r="G26" s="756" t="e">
        <f>IF(E26=0,0,BASEBUDGETS!D2039*E26)</f>
        <v>#DIV/0!</v>
      </c>
      <c r="H26" s="756" t="e">
        <f>IF(E26=0,0,BASEBUDGETS!D2038*E26)</f>
        <v>#DIV/0!</v>
      </c>
      <c r="I26" s="756">
        <v>0</v>
      </c>
      <c r="J26" s="765" t="e">
        <f t="shared" si="0"/>
        <v>#DIV/0!</v>
      </c>
    </row>
    <row r="27" spans="2:10" ht="21">
      <c r="C27" s="660" t="str">
        <f>TillageOperations!$B$16</f>
        <v>Bed Shaper</v>
      </c>
      <c r="D27" s="765"/>
      <c r="E27" s="771" t="e">
        <f>BASEBUDGETS!E2040/BASEBUDGETS!C1971</f>
        <v>#DIV/0!</v>
      </c>
      <c r="F27" s="770" t="str">
        <f>BASEBUDGETS!C2040</f>
        <v>acre</v>
      </c>
      <c r="G27" s="756" t="e">
        <f>IF(E27=0,0,BASEBUDGETS!D2041*E27)</f>
        <v>#DIV/0!</v>
      </c>
      <c r="H27" s="756" t="e">
        <f>IF(E27=0,0,BASEBUDGETS!D2040*E27)</f>
        <v>#DIV/0!</v>
      </c>
      <c r="I27" s="756">
        <v>0</v>
      </c>
      <c r="J27" s="765" t="e">
        <f t="shared" si="0"/>
        <v>#DIV/0!</v>
      </c>
    </row>
    <row r="28" spans="2:10" ht="21">
      <c r="C28" s="660" t="str">
        <f>TillageOperations!$B$17</f>
        <v>Cotton Shredder/Root Puller</v>
      </c>
      <c r="D28" s="765"/>
      <c r="E28" s="771" t="e">
        <f>BASEBUDGETS!E2054/BASEBUDGETS!C1971</f>
        <v>#DIV/0!</v>
      </c>
      <c r="F28" s="770" t="str">
        <f>BASEBUDGETS!C2054</f>
        <v>acre</v>
      </c>
      <c r="G28" s="756" t="e">
        <f>IF(E28=0,0,BASEBUDGETS!D2055*E28)</f>
        <v>#DIV/0!</v>
      </c>
      <c r="H28" s="756" t="e">
        <f>IF(E28=0,0,BASEBUDGETS!D2054*E28)</f>
        <v>#DIV/0!</v>
      </c>
      <c r="I28" s="756">
        <v>0</v>
      </c>
      <c r="J28" s="765" t="e">
        <f t="shared" ref="J28" si="1">G28+H28+I28</f>
        <v>#DIV/0!</v>
      </c>
    </row>
    <row r="29" spans="2:10" ht="21">
      <c r="C29" s="660" t="str">
        <f>BASEBUDGETS!B2079</f>
        <v>Additional Land Prep. Labor</v>
      </c>
      <c r="D29" s="765">
        <f>GeneralInputPrices!$D$30</f>
        <v>14.55</v>
      </c>
      <c r="E29" s="758" t="e">
        <f>BASEBUDGETS!E2079/BASEBUDGETS!C1971</f>
        <v>#DIV/0!</v>
      </c>
      <c r="F29" s="773" t="str">
        <f>BASEBUDGETS!C2079</f>
        <v>hour</v>
      </c>
      <c r="G29" s="756" t="e">
        <f>D29*E29</f>
        <v>#DIV/0!</v>
      </c>
      <c r="H29" s="756">
        <v>0</v>
      </c>
      <c r="I29" s="756">
        <v>0</v>
      </c>
      <c r="J29" s="765" t="e">
        <f t="shared" si="0"/>
        <v>#DIV/0!</v>
      </c>
    </row>
    <row r="30" spans="2:10" ht="21">
      <c r="C30" s="660" t="str">
        <f>BASEBUDGETS!B2080</f>
        <v>Additional Land Prep. Labor</v>
      </c>
      <c r="D30" s="765">
        <f>GeneralInputPrices!$D$30</f>
        <v>14.55</v>
      </c>
      <c r="E30" s="758" t="e">
        <f>BASEBUDGETS!E2080/BASEBUDGETS!C1971</f>
        <v>#DIV/0!</v>
      </c>
      <c r="F30" s="773" t="str">
        <f>BASEBUDGETS!C2080</f>
        <v>hour</v>
      </c>
      <c r="G30" s="756" t="e">
        <f>D30*E30</f>
        <v>#DIV/0!</v>
      </c>
      <c r="H30" s="756">
        <v>0</v>
      </c>
      <c r="I30" s="756">
        <v>0</v>
      </c>
      <c r="J30" s="765" t="e">
        <f t="shared" si="0"/>
        <v>#DIV/0!</v>
      </c>
    </row>
    <row r="31" spans="2:10" ht="21">
      <c r="B31" s="760" t="s">
        <v>175</v>
      </c>
      <c r="C31" s="760"/>
      <c r="D31" s="765"/>
    </row>
    <row r="32" spans="2:10" ht="21">
      <c r="C32" s="660" t="str">
        <f>BASEBUDGETS!B2007</f>
        <v>Drill, Custom</v>
      </c>
      <c r="D32" s="765">
        <f>CustomOperations!P25</f>
        <v>0</v>
      </c>
      <c r="E32" s="771" t="e">
        <f>BASEBUDGETS!E2007/BASEBUDGETS!C1971</f>
        <v>#DIV/0!</v>
      </c>
      <c r="F32" s="770" t="str">
        <f>BASEBUDGETS!C2007</f>
        <v>acre</v>
      </c>
      <c r="G32" s="756">
        <v>0</v>
      </c>
      <c r="H32" s="756">
        <v>0</v>
      </c>
      <c r="I32" s="756" t="e">
        <f>IF(E32=0,0,(BASEBUDGETS!D2007*E32))</f>
        <v>#DIV/0!</v>
      </c>
      <c r="J32" s="765" t="e">
        <f t="shared" ref="J32:J34" si="2">G32+H32+I32</f>
        <v>#DIV/0!</v>
      </c>
    </row>
    <row r="33" spans="3:10" ht="21">
      <c r="C33" s="660" t="str">
        <f>BASEBUDGETS!B2008</f>
        <v>Row Planter, Custom</v>
      </c>
      <c r="D33" s="765">
        <f>CustomOperations!P27</f>
        <v>0</v>
      </c>
      <c r="E33" s="771" t="e">
        <f>BASEBUDGETS!E2008/BASEBUDGETS!C1971</f>
        <v>#DIV/0!</v>
      </c>
      <c r="F33" s="770" t="str">
        <f>BASEBUDGETS!C2008</f>
        <v>acre</v>
      </c>
      <c r="G33" s="756">
        <v>0</v>
      </c>
      <c r="H33" s="756">
        <v>0</v>
      </c>
      <c r="I33" s="756" t="e">
        <f>IF(E33=0,0,(BASEBUDGETS!D2008*E33))</f>
        <v>#DIV/0!</v>
      </c>
      <c r="J33" s="765" t="e">
        <f t="shared" si="2"/>
        <v>#DIV/0!</v>
      </c>
    </row>
    <row r="34" spans="3:10" ht="21">
      <c r="C34" s="660" t="str">
        <f>TillageOperations!$B$21</f>
        <v>Drill</v>
      </c>
      <c r="D34" s="765"/>
      <c r="E34" s="771" t="e">
        <f>BASEBUDGETS!E2046/BASEBUDGETS!C1971</f>
        <v>#DIV/0!</v>
      </c>
      <c r="F34" s="770" t="str">
        <f>BASEBUDGETS!C2046</f>
        <v>acre</v>
      </c>
      <c r="G34" s="756" t="e">
        <f>IF(E34=0,0,BASEBUDGETS!D2047*E34)</f>
        <v>#DIV/0!</v>
      </c>
      <c r="H34" s="756" t="e">
        <f>IF(E34=0,0,BASEBUDGETS!D2046*E34)</f>
        <v>#DIV/0!</v>
      </c>
      <c r="I34" s="756">
        <v>0</v>
      </c>
      <c r="J34" s="765" t="e">
        <f t="shared" si="2"/>
        <v>#DIV/0!</v>
      </c>
    </row>
    <row r="35" spans="3:10" ht="21">
      <c r="C35" s="660" t="str">
        <f>TillageOperations!$B$19</f>
        <v>Row Planter</v>
      </c>
      <c r="D35" s="765"/>
      <c r="E35" s="771" t="e">
        <f>BASEBUDGETS!E2042/BASEBUDGETS!C1971</f>
        <v>#DIV/0!</v>
      </c>
      <c r="F35" s="770" t="str">
        <f>BASEBUDGETS!C2042</f>
        <v>acre</v>
      </c>
      <c r="G35" s="756" t="e">
        <f>IF(E35=0,0,BASEBUDGETS!D2043*E35)</f>
        <v>#DIV/0!</v>
      </c>
      <c r="H35" s="756" t="e">
        <f>IF(E35=0,0,BASEBUDGETS!D2042*E35)</f>
        <v>#DIV/0!</v>
      </c>
      <c r="I35" s="756">
        <v>0</v>
      </c>
      <c r="J35" s="765" t="e">
        <f>G35+H35+I35</f>
        <v>#DIV/0!</v>
      </c>
    </row>
    <row r="36" spans="3:10" ht="21">
      <c r="C36" s="660" t="str">
        <f>TillageOperations!$B$22</f>
        <v>Transplanter</v>
      </c>
      <c r="D36" s="765"/>
      <c r="E36" s="771" t="e">
        <f>BASEBUDGETS!E2077/BASEBUDGETS!C1971</f>
        <v>#DIV/0!</v>
      </c>
      <c r="F36" s="770" t="str">
        <f>BASEBUDGETS!C2077</f>
        <v>acre</v>
      </c>
      <c r="G36" s="756" t="e">
        <f>IF(E36=0,0,BASEBUDGETS!D2078*E36)</f>
        <v>#DIV/0!</v>
      </c>
      <c r="H36" s="756" t="e">
        <f>IF(E36=0,0,BASEBUDGETS!D2077*E36)</f>
        <v>#DIV/0!</v>
      </c>
      <c r="I36" s="756">
        <v>0</v>
      </c>
      <c r="J36" s="765" t="e">
        <f>G36+H36+I36</f>
        <v>#DIV/0!</v>
      </c>
    </row>
    <row r="37" spans="3:10" ht="21">
      <c r="C37" s="660" t="s">
        <v>439</v>
      </c>
      <c r="D37" s="765"/>
      <c r="E37" s="771"/>
      <c r="F37" s="770"/>
      <c r="G37" s="756">
        <v>0</v>
      </c>
      <c r="H37" s="756">
        <v>0</v>
      </c>
      <c r="I37" s="756" t="e">
        <f>(D38*E38)+(D39*E39)</f>
        <v>#DIV/0!</v>
      </c>
      <c r="J37" s="765" t="e">
        <f>G37+H37+I37</f>
        <v>#DIV/0!</v>
      </c>
    </row>
    <row r="38" spans="3:10" ht="21">
      <c r="C38" s="660" t="str">
        <f>BASEBUDGETS!B1979</f>
        <v xml:space="preserve">   - Seed</v>
      </c>
      <c r="D38" s="765">
        <f>BASEBUDGETS!D1979</f>
        <v>0.39</v>
      </c>
      <c r="E38" s="775" t="e">
        <f>BASEBUDGETS!E1979/BASEBUDGETS!C1971</f>
        <v>#DIV/0!</v>
      </c>
      <c r="F38" s="769" t="str">
        <f>BASEBUDGETS!C1979</f>
        <v>pounds</v>
      </c>
    </row>
    <row r="39" spans="3:10" ht="21">
      <c r="C39" s="660" t="str">
        <f>BASEBUDGETS!B1980</f>
        <v xml:space="preserve">   - Inoculant</v>
      </c>
      <c r="D39" s="765">
        <f>BASEBUDGETS!D1980</f>
        <v>3</v>
      </c>
      <c r="E39" s="775" t="e">
        <f>BASEBUDGETS!E1980/BASEBUDGETS!C1971</f>
        <v>#DIV/0!</v>
      </c>
      <c r="F39" s="769" t="str">
        <f>BASEBUDGETS!C1980</f>
        <v>pounds</v>
      </c>
      <c r="G39" s="765"/>
      <c r="H39" s="765"/>
      <c r="I39" s="765"/>
      <c r="J39" s="765"/>
    </row>
    <row r="40" spans="3:10" ht="21">
      <c r="C40" s="660" t="str">
        <f>BASEBUDGETS!B2019</f>
        <v>Fertilizer Spreader, Custom</v>
      </c>
      <c r="D40" s="765">
        <f>CustomOperations!P33</f>
        <v>0</v>
      </c>
      <c r="E40" s="771" t="e">
        <f>BASEBUDGETS!E2019/BASEBUDGETS!C1971</f>
        <v>#DIV/0!</v>
      </c>
      <c r="F40" s="770" t="str">
        <f>BASEBUDGETS!C2019</f>
        <v>acre</v>
      </c>
      <c r="G40" s="756">
        <v>0</v>
      </c>
      <c r="H40" s="756">
        <v>0</v>
      </c>
      <c r="I40" s="756" t="e">
        <f>IF(E40=0,0,(BASEBUDGETS!D2019*E40))</f>
        <v>#DIV/0!</v>
      </c>
      <c r="J40" s="765" t="e">
        <f>G40+H40+I40</f>
        <v>#DIV/0!</v>
      </c>
    </row>
    <row r="41" spans="3:10" ht="21">
      <c r="C41" s="660" t="str">
        <f>BASEBUDGETS!B2020</f>
        <v>Laser Landplaning, Custom</v>
      </c>
      <c r="D41" s="765">
        <f>CustomOperations!P35</f>
        <v>0</v>
      </c>
      <c r="E41" s="771" t="e">
        <f>BASEBUDGETS!E2020/BASEBUDGETS!C1971</f>
        <v>#DIV/0!</v>
      </c>
      <c r="F41" s="770" t="str">
        <f>BASEBUDGETS!C2020</f>
        <v>acre</v>
      </c>
      <c r="G41" s="756">
        <v>0</v>
      </c>
      <c r="H41" s="756">
        <v>0</v>
      </c>
      <c r="I41" s="756" t="e">
        <f>IF(E41=0,0,(BASEBUDGETS!D2020*E41))</f>
        <v>#DIV/0!</v>
      </c>
      <c r="J41" s="765" t="e">
        <f>G41+H41+I41</f>
        <v>#DIV/0!</v>
      </c>
    </row>
    <row r="42" spans="3:10" ht="21">
      <c r="C42" s="660" t="str">
        <f>TillageOperations!$B$23</f>
        <v>Fertilizer Spreader</v>
      </c>
      <c r="D42" s="765"/>
      <c r="E42" s="771" t="e">
        <f>BASEBUDGETS!E2071/BASEBUDGETS!C1971</f>
        <v>#DIV/0!</v>
      </c>
      <c r="F42" s="770" t="str">
        <f>BASEBUDGETS!C2071</f>
        <v>acre</v>
      </c>
      <c r="G42" s="756" t="e">
        <f>IF(E42=0,0,BASEBUDGETS!D2072*E42)</f>
        <v>#DIV/0!</v>
      </c>
      <c r="H42" s="756" t="e">
        <f>IF(E42=0,0,BASEBUDGETS!D2071*E42)</f>
        <v>#DIV/0!</v>
      </c>
      <c r="I42" s="756">
        <v>0</v>
      </c>
      <c r="J42" s="765" t="e">
        <f>G42+H42+I42</f>
        <v>#DIV/0!</v>
      </c>
    </row>
    <row r="43" spans="3:10" ht="21">
      <c r="C43" s="660" t="str">
        <f>TillageOperations!$B$24</f>
        <v>Fertilizer Injection System</v>
      </c>
      <c r="D43" s="765"/>
      <c r="E43" s="771" t="e">
        <f>BASEBUDGETS!E2073/BASEBUDGETS!C1971</f>
        <v>#DIV/0!</v>
      </c>
      <c r="F43" s="770" t="str">
        <f>BASEBUDGETS!C2073</f>
        <v>acre</v>
      </c>
      <c r="G43" s="756" t="e">
        <f>IF(E43=0,0,BASEBUDGETS!D2074*E43)</f>
        <v>#DIV/0!</v>
      </c>
      <c r="H43" s="756" t="e">
        <f>IF(E43=0,0,BASEBUDGETS!D2073*E43)</f>
        <v>#DIV/0!</v>
      </c>
      <c r="I43" s="756">
        <v>0</v>
      </c>
      <c r="J43" s="765" t="e">
        <f>G43+H43+I43</f>
        <v>#DIV/0!</v>
      </c>
    </row>
    <row r="44" spans="3:10" ht="21">
      <c r="C44" s="660" t="s">
        <v>407</v>
      </c>
      <c r="D44" s="765"/>
      <c r="E44" s="771"/>
      <c r="F44" s="770"/>
      <c r="G44" s="756">
        <v>0</v>
      </c>
      <c r="H44" s="756">
        <v>0</v>
      </c>
      <c r="I44" s="756" t="e">
        <f>(D45*E45)+(D46*E46)+(D47*E47)+(D48*E48)+(D49*E49)+(D50*E50)+(D51*E51)</f>
        <v>#DIV/0!</v>
      </c>
      <c r="J44" s="765" t="e">
        <f>G44+H44+I44</f>
        <v>#DIV/0!</v>
      </c>
    </row>
    <row r="45" spans="3:10" ht="21">
      <c r="C45" s="660" t="str">
        <f>BASEBUDGETS!B1981</f>
        <v xml:space="preserve">   - Nitrogen</v>
      </c>
      <c r="D45" s="765">
        <f>BASEBUDGETS!D1981</f>
        <v>0.46</v>
      </c>
      <c r="E45" s="775" t="e">
        <f>BASEBUDGETS!E1981/BASEBUDGETS!C1971</f>
        <v>#DIV/0!</v>
      </c>
      <c r="F45" s="769" t="str">
        <f>BASEBUDGETS!C1981</f>
        <v>pounds</v>
      </c>
      <c r="G45" s="765"/>
      <c r="H45" s="765"/>
      <c r="I45" s="765"/>
      <c r="J45" s="765"/>
    </row>
    <row r="46" spans="3:10" ht="21">
      <c r="C46" s="660" t="str">
        <f>BASEBUDGETS!B1982</f>
        <v xml:space="preserve">   - Phosphorus</v>
      </c>
      <c r="D46" s="765">
        <f>BASEBUDGETS!D1982</f>
        <v>0.36</v>
      </c>
      <c r="E46" s="775" t="e">
        <f>BASEBUDGETS!E1982/BASEBUDGETS!C1971</f>
        <v>#DIV/0!</v>
      </c>
      <c r="F46" s="769" t="str">
        <f>BASEBUDGETS!C1982</f>
        <v>pounds</v>
      </c>
      <c r="G46" s="765"/>
      <c r="H46" s="765"/>
      <c r="I46" s="765"/>
      <c r="J46" s="765"/>
    </row>
    <row r="47" spans="3:10" ht="21">
      <c r="C47" s="660" t="str">
        <f>BASEBUDGETS!B1983</f>
        <v xml:space="preserve">   - Anhydrous Ammonia</v>
      </c>
      <c r="D47" s="765">
        <f>BASEBUDGETS!D1983</f>
        <v>0.21</v>
      </c>
      <c r="E47" s="775" t="e">
        <f>BASEBUDGETS!E1983/BASEBUDGETS!C1971</f>
        <v>#DIV/0!</v>
      </c>
      <c r="F47" s="769" t="str">
        <f>BASEBUDGETS!C1983</f>
        <v>pounds</v>
      </c>
      <c r="G47" s="765"/>
      <c r="H47" s="765"/>
      <c r="I47" s="765"/>
      <c r="J47" s="765"/>
    </row>
    <row r="48" spans="3:10" ht="21">
      <c r="C48" s="660" t="str">
        <f>BASEBUDGETS!B1984</f>
        <v xml:space="preserve">   - Trace Elements</v>
      </c>
      <c r="D48" s="765">
        <f>BASEBUDGETS!D1984</f>
        <v>0.24</v>
      </c>
      <c r="E48" s="775" t="e">
        <f>BASEBUDGETS!E1984/BASEBUDGETS!C1971</f>
        <v>#DIV/0!</v>
      </c>
      <c r="F48" s="769" t="str">
        <f>BASEBUDGETS!C1984</f>
        <v>pounds</v>
      </c>
      <c r="G48" s="765"/>
      <c r="H48" s="765"/>
      <c r="I48" s="765"/>
      <c r="J48" s="765"/>
    </row>
    <row r="49" spans="3:10" ht="21">
      <c r="C49" s="660" t="str">
        <f>BASEBUDGETS!B1985</f>
        <v xml:space="preserve">   - Nitrogen</v>
      </c>
      <c r="D49" s="765">
        <f>BASEBUDGETS!D1985</f>
        <v>273</v>
      </c>
      <c r="E49" s="775" t="e">
        <f>BASEBUDGETS!E1985/BASEBUDGETS!C1971</f>
        <v>#DIV/0!</v>
      </c>
      <c r="F49" s="769" t="str">
        <f>BASEBUDGETS!C1985</f>
        <v>acre</v>
      </c>
      <c r="G49" s="765"/>
      <c r="H49" s="765"/>
      <c r="I49" s="765"/>
      <c r="J49" s="765"/>
    </row>
    <row r="50" spans="3:10" ht="21">
      <c r="C50" s="660" t="str">
        <f>BASEBUDGETS!B1986</f>
        <v xml:space="preserve">   - Phosphorus</v>
      </c>
      <c r="D50" s="765">
        <f>BASEBUDGETS!D1986</f>
        <v>67.5</v>
      </c>
      <c r="E50" s="775" t="e">
        <f>BASEBUDGETS!E1986/BASEBUDGETS!C1971</f>
        <v>#DIV/0!</v>
      </c>
      <c r="F50" s="769" t="str">
        <f>BASEBUDGETS!C1986</f>
        <v>acre</v>
      </c>
      <c r="G50" s="765"/>
      <c r="H50" s="765"/>
      <c r="I50" s="765"/>
      <c r="J50" s="765"/>
    </row>
    <row r="51" spans="3:10" ht="21">
      <c r="C51" s="660" t="str">
        <f>BASEBUDGETS!B1987</f>
        <v xml:space="preserve">   - Fertilizer - Anhydrous Applicator</v>
      </c>
      <c r="D51" s="765">
        <f>BASEBUDGETS!D1987</f>
        <v>0</v>
      </c>
      <c r="E51" s="775" t="e">
        <f>BASEBUDGETS!E1987/BASEBUDGETS!C1971</f>
        <v>#DIV/0!</v>
      </c>
      <c r="F51" s="769" t="str">
        <f>BASEBUDGETS!C1987</f>
        <v>acre</v>
      </c>
      <c r="G51" s="765"/>
      <c r="H51" s="765"/>
      <c r="I51" s="765"/>
      <c r="J51" s="765"/>
    </row>
    <row r="52" spans="3:10" ht="21">
      <c r="C52" s="660" t="str">
        <f>BASEBUDGETS!B2021</f>
        <v>Boom Sprayer, Custom</v>
      </c>
      <c r="D52" s="765">
        <f>CustomOperations!P31</f>
        <v>0</v>
      </c>
      <c r="E52" s="771" t="e">
        <f>BASEBUDGETS!E2021/BASEBUDGETS!C1971</f>
        <v>#DIV/0!</v>
      </c>
      <c r="F52" s="770" t="str">
        <f>BASEBUDGETS!C2021</f>
        <v>acre</v>
      </c>
      <c r="G52" s="756">
        <v>0</v>
      </c>
      <c r="H52" s="756">
        <v>0</v>
      </c>
      <c r="I52" s="756" t="e">
        <f>IF(E52=0,0,(BASEBUDGETS!D2021*E52))</f>
        <v>#DIV/0!</v>
      </c>
      <c r="J52" s="765" t="e">
        <f>G52+H52+I52</f>
        <v>#DIV/0!</v>
      </c>
    </row>
    <row r="53" spans="3:10" ht="21">
      <c r="C53" s="660" t="str">
        <f>TillageOperations!$B$25</f>
        <v>Boom Sprayer</v>
      </c>
      <c r="D53" s="765"/>
      <c r="E53" s="771" t="e">
        <f>BASEBUDGETS!E2075/BASEBUDGETS!C1971</f>
        <v>#DIV/0!</v>
      </c>
      <c r="F53" s="770" t="str">
        <f>BASEBUDGETS!C2075</f>
        <v>acre</v>
      </c>
      <c r="G53" s="756" t="e">
        <f>IF(E53=0,0,BASEBUDGETS!D2076*E53)</f>
        <v>#DIV/0!</v>
      </c>
      <c r="H53" s="756" t="e">
        <f>IF(E53=0,0,BASEBUDGETS!D2075*E53)</f>
        <v>#DIV/0!</v>
      </c>
      <c r="I53" s="756">
        <v>0</v>
      </c>
      <c r="J53" s="765" t="e">
        <f>G53+H53+I53</f>
        <v>#DIV/0!</v>
      </c>
    </row>
    <row r="54" spans="3:10" ht="21">
      <c r="C54" s="660" t="s">
        <v>408</v>
      </c>
      <c r="D54" s="765"/>
      <c r="E54" s="771"/>
      <c r="F54" s="770"/>
      <c r="G54" s="756">
        <v>0</v>
      </c>
      <c r="H54" s="756">
        <v>0</v>
      </c>
      <c r="I54" s="756" t="e">
        <f>(D55*E55)+(D56*E56)+(D57*E57)+(D58*E58)+(D59*E59)+(D60*E60)+(D61*E61)</f>
        <v>#DIV/0!</v>
      </c>
      <c r="J54" s="765" t="e">
        <f>G54+H54+I54</f>
        <v>#DIV/0!</v>
      </c>
    </row>
    <row r="55" spans="3:10" ht="21">
      <c r="C55" s="660" t="str">
        <f>BASEBUDGETS!B1988</f>
        <v xml:space="preserve">   - Prowl</v>
      </c>
      <c r="D55" s="765">
        <f>BASEBUDGETS!D1988</f>
        <v>6.0625</v>
      </c>
      <c r="E55" s="775" t="e">
        <f>BASEBUDGETS!E1988/BASEBUDGETS!C1971</f>
        <v>#DIV/0!</v>
      </c>
      <c r="F55" s="769" t="str">
        <f>BASEBUDGETS!C1988</f>
        <v>pints</v>
      </c>
      <c r="G55" s="765"/>
      <c r="H55" s="765"/>
      <c r="I55" s="765"/>
      <c r="J55" s="765"/>
    </row>
    <row r="56" spans="3:10" ht="21">
      <c r="C56" s="660" t="str">
        <f>BASEBUDGETS!B1989</f>
        <v xml:space="preserve">   - Aim</v>
      </c>
      <c r="D56" s="765">
        <f>BASEBUDGETS!D1989</f>
        <v>5.9375</v>
      </c>
      <c r="E56" s="775" t="e">
        <f>BASEBUDGETS!E1989/BASEBUDGETS!C1971</f>
        <v>#DIV/0!</v>
      </c>
      <c r="F56" s="769" t="str">
        <f>BASEBUDGETS!C1989</f>
        <v>ounces</v>
      </c>
      <c r="G56" s="765"/>
      <c r="H56" s="765"/>
      <c r="I56" s="765"/>
      <c r="J56" s="765"/>
    </row>
    <row r="57" spans="3:10" ht="21">
      <c r="C57" s="660" t="str">
        <f>BASEBUDGETS!B1990</f>
        <v xml:space="preserve">   - Fusilade</v>
      </c>
      <c r="D57" s="765">
        <f>BASEBUDGETS!D1990</f>
        <v>1.25</v>
      </c>
      <c r="E57" s="775" t="e">
        <f>BASEBUDGETS!E1990/BASEBUDGETS!C1971</f>
        <v>#DIV/0!</v>
      </c>
      <c r="F57" s="769" t="str">
        <f>BASEBUDGETS!C1990</f>
        <v>ounces</v>
      </c>
      <c r="G57" s="765"/>
      <c r="H57" s="765"/>
      <c r="I57" s="765"/>
      <c r="J57" s="765"/>
    </row>
    <row r="58" spans="3:10" ht="21">
      <c r="C58" s="660" t="str">
        <f>BASEBUDGETS!B1991</f>
        <v xml:space="preserve">   - Herbicides</v>
      </c>
      <c r="D58" s="765">
        <f>BASEBUDGETS!D1991</f>
        <v>17</v>
      </c>
      <c r="E58" s="775" t="e">
        <f>BASEBUDGETS!E1991/BASEBUDGETS!C1971</f>
        <v>#DIV/0!</v>
      </c>
      <c r="F58" s="769" t="str">
        <f>BASEBUDGETS!C1991</f>
        <v>acre</v>
      </c>
      <c r="G58" s="765"/>
      <c r="H58" s="765"/>
      <c r="I58" s="765"/>
      <c r="J58" s="765"/>
    </row>
    <row r="59" spans="3:10" ht="21">
      <c r="C59" s="660" t="str">
        <f>BASEBUDGETS!B1992</f>
        <v xml:space="preserve">   - Herbicide - #2</v>
      </c>
      <c r="D59" s="765">
        <f>BASEBUDGETS!D1992</f>
        <v>0</v>
      </c>
      <c r="E59" s="775" t="e">
        <f>BASEBUDGETS!E1992/BASEBUDGETS!C1971</f>
        <v>#DIV/0!</v>
      </c>
      <c r="F59" s="769" t="str">
        <f>BASEBUDGETS!C1992</f>
        <v>acre</v>
      </c>
      <c r="G59" s="765"/>
      <c r="H59" s="765"/>
      <c r="I59" s="765"/>
      <c r="J59" s="765"/>
    </row>
    <row r="60" spans="3:10" ht="21">
      <c r="C60" s="660" t="str">
        <f>BASEBUDGETS!B1993</f>
        <v xml:space="preserve">   - Insecticides</v>
      </c>
      <c r="D60" s="765">
        <f>BASEBUDGETS!D1993</f>
        <v>0</v>
      </c>
      <c r="E60" s="775" t="e">
        <f>BASEBUDGETS!E1993/BASEBUDGETS!C1971</f>
        <v>#DIV/0!</v>
      </c>
      <c r="F60" s="769" t="str">
        <f>BASEBUDGETS!C1993</f>
        <v>acre</v>
      </c>
      <c r="G60" s="765"/>
      <c r="H60" s="765"/>
      <c r="I60" s="765"/>
      <c r="J60" s="765"/>
    </row>
    <row r="61" spans="3:10" ht="21">
      <c r="C61" s="660" t="str">
        <f>BASEBUDGETS!B1994</f>
        <v xml:space="preserve">   - Insecticide - #2</v>
      </c>
      <c r="D61" s="765">
        <f>BASEBUDGETS!D1994</f>
        <v>0</v>
      </c>
      <c r="E61" s="775" t="e">
        <f>BASEBUDGETS!E1994/BASEBUDGETS!C1971</f>
        <v>#DIV/0!</v>
      </c>
      <c r="F61" s="769" t="str">
        <f>BASEBUDGETS!C1994</f>
        <v>acre</v>
      </c>
      <c r="G61" s="765"/>
      <c r="H61" s="765"/>
      <c r="I61" s="765"/>
      <c r="J61" s="765"/>
    </row>
    <row r="62" spans="3:10" ht="21">
      <c r="C62" s="660" t="str">
        <f>BASEBUDGETS!B2009</f>
        <v>Row Cultivator, Custom</v>
      </c>
      <c r="D62" s="765">
        <f>CustomOperations!P29</f>
        <v>0</v>
      </c>
      <c r="E62" s="771" t="e">
        <f>BASEBUDGETS!E2009/BASEBUDGETS!C1971</f>
        <v>#DIV/0!</v>
      </c>
      <c r="F62" s="770" t="str">
        <f>BASEBUDGETS!C2009</f>
        <v>acre</v>
      </c>
      <c r="G62" s="756">
        <v>0</v>
      </c>
      <c r="H62" s="756">
        <v>0</v>
      </c>
      <c r="I62" s="756" t="e">
        <f>IF(E62=0,0,BASEBUDGETS!D2009*E62)</f>
        <v>#DIV/0!</v>
      </c>
      <c r="J62" s="765" t="e">
        <f>G62+H62+I62</f>
        <v>#DIV/0!</v>
      </c>
    </row>
    <row r="63" spans="3:10" ht="21">
      <c r="C63" s="660" t="str">
        <f>TillageOperations!$B$20</f>
        <v>Row Cultivator</v>
      </c>
      <c r="D63" s="765"/>
      <c r="E63" s="771" t="e">
        <f>BASEBUDGETS!E2044/BASEBUDGETS!C1971</f>
        <v>#DIV/0!</v>
      </c>
      <c r="F63" s="770" t="str">
        <f>BASEBUDGETS!C2044</f>
        <v>acre</v>
      </c>
      <c r="G63" s="756" t="e">
        <f>IF(E63=0,0,BASEBUDGETS!D2045*E63)</f>
        <v>#DIV/0!</v>
      </c>
      <c r="H63" s="756" t="e">
        <f>IF(E63=0,0,BASEBUDGETS!D2044*E63)</f>
        <v>#DIV/0!</v>
      </c>
      <c r="I63" s="756">
        <v>0</v>
      </c>
      <c r="J63" s="765" t="e">
        <f>G63+H63+I63</f>
        <v>#DIV/0!</v>
      </c>
    </row>
    <row r="64" spans="3:10" ht="21">
      <c r="C64" s="660" t="s">
        <v>151</v>
      </c>
      <c r="D64" s="765"/>
      <c r="E64" s="776" t="s">
        <v>10</v>
      </c>
      <c r="F64" s="777" t="s">
        <v>10</v>
      </c>
      <c r="G64" s="756" t="e">
        <f>(D66*E66)+(D69*E69)+(D72*E72)</f>
        <v>#DIV/0!</v>
      </c>
      <c r="H64" s="756">
        <v>0</v>
      </c>
      <c r="I64" s="765" t="e">
        <f>(D65*E65)+(D68*E68)+(D71*E71)+(D67*E67)+(D70*E70)+(D73*E73)</f>
        <v>#DIV/0!</v>
      </c>
      <c r="J64" s="765" t="e">
        <f>G64+H64+I64</f>
        <v>#DIV/0!</v>
      </c>
    </row>
    <row r="65" spans="2:10" ht="21">
      <c r="B65" s="660"/>
      <c r="C65" s="660" t="str">
        <f>BASEBUDGETS!B1995</f>
        <v>Flood - Irrigation Water</v>
      </c>
      <c r="D65" s="765">
        <f>BASEBUDGETS!D1995</f>
        <v>55</v>
      </c>
      <c r="E65" s="775" t="e">
        <f>BASEBUDGETS!E1995/BASEBUDGETS!C$1971</f>
        <v>#DIV/0!</v>
      </c>
      <c r="F65" s="769" t="str">
        <f>BASEBUDGETS!C1995</f>
        <v>ac ft</v>
      </c>
      <c r="G65" s="756"/>
      <c r="H65" s="756"/>
      <c r="I65" s="765"/>
      <c r="J65" s="765"/>
    </row>
    <row r="66" spans="2:10" ht="21">
      <c r="C66" s="660" t="str">
        <f>BASEBUDGETS!B1996</f>
        <v>Flood - Irrigation Labor</v>
      </c>
      <c r="D66" s="765">
        <f>BASEBUDGETS!D1996</f>
        <v>14.55</v>
      </c>
      <c r="E66" s="775" t="e">
        <f>BASEBUDGETS!E1996/BASEBUDGETS!C$1971</f>
        <v>#DIV/0!</v>
      </c>
      <c r="F66" s="769" t="str">
        <f>BASEBUDGETS!C1996</f>
        <v>hour</v>
      </c>
      <c r="I66" s="756"/>
      <c r="J66" s="778" t="s">
        <v>10</v>
      </c>
    </row>
    <row r="67" spans="2:10" ht="21">
      <c r="C67" s="660" t="str">
        <f>BASEBUDGETS!B1997</f>
        <v xml:space="preserve">   - Annual Repairs &amp; Maintenance</v>
      </c>
      <c r="D67" s="765">
        <f>BASEBUDGETS!D1997</f>
        <v>3</v>
      </c>
      <c r="E67" s="775" t="e">
        <f>BASEBUDGETS!E1997/BASEBUDGETS!C$1971</f>
        <v>#DIV/0!</v>
      </c>
      <c r="F67" s="769" t="str">
        <f>BASEBUDGETS!C1997</f>
        <v>acre</v>
      </c>
      <c r="I67" s="756"/>
      <c r="J67" s="778"/>
    </row>
    <row r="68" spans="2:10" ht="21">
      <c r="C68" s="660" t="str">
        <f>BASEBUDGETS!B1998</f>
        <v>Drip-tape - Irrigation Water</v>
      </c>
      <c r="D68" s="765">
        <f>BASEBUDGETS!D1998</f>
        <v>55</v>
      </c>
      <c r="E68" s="775" t="e">
        <f>BASEBUDGETS!E1998/BASEBUDGETS!C$1971</f>
        <v>#DIV/0!</v>
      </c>
      <c r="F68" s="769" t="str">
        <f>BASEBUDGETS!C1998</f>
        <v>ac ft</v>
      </c>
      <c r="G68" s="756"/>
      <c r="H68" s="756"/>
      <c r="I68" s="756"/>
      <c r="J68" s="765"/>
    </row>
    <row r="69" spans="2:10" ht="21">
      <c r="C69" s="660" t="str">
        <f>BASEBUDGETS!B1999</f>
        <v>Drip-tape - Irrigation Labor</v>
      </c>
      <c r="D69" s="765">
        <f>BASEBUDGETS!D1999</f>
        <v>14.55</v>
      </c>
      <c r="E69" s="775" t="e">
        <f>BASEBUDGETS!E1999/BASEBUDGETS!C$1971</f>
        <v>#DIV/0!</v>
      </c>
      <c r="F69" s="769" t="str">
        <f>BASEBUDGETS!C1999</f>
        <v>hour</v>
      </c>
      <c r="G69" s="756"/>
      <c r="H69" s="756"/>
      <c r="I69" s="756"/>
      <c r="J69" s="765"/>
    </row>
    <row r="70" spans="2:10" ht="21">
      <c r="C70" s="660" t="str">
        <f>BASEBUDGETS!B2000</f>
        <v xml:space="preserve">   - Annual Repairs &amp; Maintenance</v>
      </c>
      <c r="D70" s="765">
        <f>BASEBUDGETS!D2000</f>
        <v>7.5</v>
      </c>
      <c r="E70" s="775" t="e">
        <f>BASEBUDGETS!E2000/BASEBUDGETS!C$1971</f>
        <v>#DIV/0!</v>
      </c>
      <c r="F70" s="769" t="str">
        <f>BASEBUDGETS!C2000</f>
        <v>acre</v>
      </c>
      <c r="G70" s="756"/>
      <c r="H70" s="756"/>
      <c r="I70" s="756"/>
      <c r="J70" s="765"/>
    </row>
    <row r="71" spans="2:10" ht="21">
      <c r="C71" s="660" t="str">
        <f>BASEBUDGETS!B2001</f>
        <v>Sprinkler - Irrigation Water</v>
      </c>
      <c r="D71" s="765">
        <f>BASEBUDGETS!D2001</f>
        <v>55</v>
      </c>
      <c r="E71" s="775" t="e">
        <f>BASEBUDGETS!E2001/BASEBUDGETS!C$1971</f>
        <v>#DIV/0!</v>
      </c>
      <c r="F71" s="769" t="str">
        <f>BASEBUDGETS!C2001</f>
        <v>ac ft</v>
      </c>
      <c r="G71" s="756"/>
      <c r="H71" s="756"/>
      <c r="I71" s="756"/>
      <c r="J71" s="765"/>
    </row>
    <row r="72" spans="2:10" ht="21">
      <c r="C72" s="660" t="str">
        <f>BASEBUDGETS!B2002</f>
        <v>Sprinkler - Irrigation Labor</v>
      </c>
      <c r="D72" s="765">
        <f>BASEBUDGETS!D2002</f>
        <v>14.55</v>
      </c>
      <c r="E72" s="775" t="e">
        <f>BASEBUDGETS!E2002/BASEBUDGETS!C$1971</f>
        <v>#DIV/0!</v>
      </c>
      <c r="F72" s="769" t="str">
        <f>BASEBUDGETS!C2002</f>
        <v>hour</v>
      </c>
      <c r="G72" s="756"/>
      <c r="H72" s="756"/>
      <c r="I72" s="756"/>
      <c r="J72" s="765"/>
    </row>
    <row r="73" spans="2:10" ht="21">
      <c r="C73" s="660" t="str">
        <f>BASEBUDGETS!B2003</f>
        <v xml:space="preserve">   - Annual Repairs &amp; Maintenance</v>
      </c>
      <c r="D73" s="765">
        <f>BASEBUDGETS!D2003</f>
        <v>15</v>
      </c>
      <c r="E73" s="775" t="e">
        <f>BASEBUDGETS!E2003/BASEBUDGETS!C$1971</f>
        <v>#DIV/0!</v>
      </c>
      <c r="F73" s="769" t="str">
        <f>BASEBUDGETS!C2003</f>
        <v>acre</v>
      </c>
      <c r="G73" s="756"/>
      <c r="H73" s="756"/>
      <c r="I73" s="756"/>
      <c r="J73" s="765"/>
    </row>
    <row r="74" spans="2:10" ht="21">
      <c r="C74" s="660" t="str">
        <f>BASEBUDGETS!B2081</f>
        <v>Additional Crop Prod. Labor</v>
      </c>
      <c r="D74" s="765">
        <f>GeneralInputPrices!$D$31</f>
        <v>14.55</v>
      </c>
      <c r="E74" s="771" t="e">
        <f>BASEBUDGETS!E2081/BASEBUDGETS!C1971</f>
        <v>#DIV/0!</v>
      </c>
      <c r="F74" s="770" t="str">
        <f>BASEBUDGETS!C2081</f>
        <v>hour</v>
      </c>
      <c r="G74" s="756" t="e">
        <f>D74*E74</f>
        <v>#DIV/0!</v>
      </c>
      <c r="H74" s="756">
        <v>0</v>
      </c>
      <c r="I74" s="756">
        <v>0</v>
      </c>
      <c r="J74" s="765" t="e">
        <f t="shared" ref="J74:J75" si="3">G74+H74+I74</f>
        <v>#DIV/0!</v>
      </c>
    </row>
    <row r="75" spans="2:10" ht="21">
      <c r="C75" s="660" t="str">
        <f>BASEBUDGETS!B2082</f>
        <v>Additional Crop Prod. Labor</v>
      </c>
      <c r="D75" s="765">
        <f>GeneralInputPrices!$D$31</f>
        <v>14.55</v>
      </c>
      <c r="E75" s="771" t="e">
        <f>BASEBUDGETS!E2082/BASEBUDGETS!C1971</f>
        <v>#DIV/0!</v>
      </c>
      <c r="F75" s="770" t="str">
        <f>BASEBUDGETS!C2082</f>
        <v>hour</v>
      </c>
      <c r="G75" s="756" t="e">
        <f>D75*E75</f>
        <v>#DIV/0!</v>
      </c>
      <c r="H75" s="756">
        <v>0</v>
      </c>
      <c r="I75" s="756">
        <v>0</v>
      </c>
      <c r="J75" s="765" t="e">
        <f t="shared" si="3"/>
        <v>#DIV/0!</v>
      </c>
    </row>
    <row r="76" spans="2:10" ht="21">
      <c r="B76" s="804" t="s">
        <v>44</v>
      </c>
      <c r="C76" s="804"/>
      <c r="D76" s="778"/>
      <c r="E76" s="758"/>
      <c r="F76" s="780" t="s">
        <v>10</v>
      </c>
      <c r="G76" s="777" t="s">
        <v>10</v>
      </c>
      <c r="H76" s="777" t="s">
        <v>10</v>
      </c>
      <c r="I76" s="777" t="s">
        <v>10</v>
      </c>
      <c r="J76" s="777" t="s">
        <v>10</v>
      </c>
    </row>
    <row r="77" spans="2:10" ht="21">
      <c r="C77" s="660" t="s">
        <v>280</v>
      </c>
      <c r="D77" s="765">
        <f>CustomOperations!P37</f>
        <v>25</v>
      </c>
      <c r="E77" s="771" t="e">
        <f>BASEBUDGETS!E2004/BASEBUDGETS!C1971</f>
        <v>#DIV/0!</v>
      </c>
      <c r="F77" s="770" t="str">
        <f>CustomOperations!C38</f>
        <v>cwt</v>
      </c>
      <c r="G77" s="756">
        <v>0</v>
      </c>
      <c r="H77" s="756">
        <v>0</v>
      </c>
      <c r="I77" s="756" t="e">
        <f>IF(E77=0,0,BASEBUDGETS!D2004*E77)</f>
        <v>#DIV/0!</v>
      </c>
      <c r="J77" s="765" t="e">
        <f t="shared" ref="J77:J88" si="4">G77+H77+I77</f>
        <v>#DIV/0!</v>
      </c>
    </row>
    <row r="78" spans="2:10" ht="21">
      <c r="C78" s="660" t="str">
        <f>BASEBUDGETS!B2005</f>
        <v>Hauling, Custom</v>
      </c>
      <c r="D78" s="765">
        <f>CustomOperations!P39</f>
        <v>0</v>
      </c>
      <c r="E78" s="771" t="e">
        <f>BASEBUDGETS!E2005/BASEBUDGETS!C1971</f>
        <v>#DIV/0!</v>
      </c>
      <c r="F78" s="770" t="str">
        <f>BASEBUDGETS!C2005</f>
        <v>mile</v>
      </c>
      <c r="G78" s="756">
        <v>0</v>
      </c>
      <c r="H78" s="756">
        <v>0</v>
      </c>
      <c r="I78" s="756" t="e">
        <f>IF(E78=0,0,BASEBUDGETS!D2005*E78)</f>
        <v>#DIV/0!</v>
      </c>
      <c r="J78" s="765" t="e">
        <f t="shared" si="4"/>
        <v>#DIV/0!</v>
      </c>
    </row>
    <row r="79" spans="2:10" ht="21">
      <c r="C79" s="660" t="str">
        <f>BASEBUDGETS!B2006</f>
        <v>Gin Cotton/Drying/Swathing, Custom</v>
      </c>
      <c r="D79" s="765">
        <f>CustomOperations!P41</f>
        <v>0</v>
      </c>
      <c r="E79" s="771" t="e">
        <f>BASEBUDGETS!E2006/BASEBUDGETS!C1971</f>
        <v>#DIV/0!</v>
      </c>
      <c r="F79" s="770" t="str">
        <f>BASEBUDGETS!C2006</f>
        <v>bale</v>
      </c>
      <c r="G79" s="756">
        <v>0</v>
      </c>
      <c r="H79" s="756">
        <v>0</v>
      </c>
      <c r="I79" s="756" t="e">
        <f>IF(E79=0,0,BASEBUDGETS!D2006*E79)</f>
        <v>#DIV/0!</v>
      </c>
      <c r="J79" s="765" t="e">
        <f t="shared" si="4"/>
        <v>#DIV/0!</v>
      </c>
    </row>
    <row r="80" spans="2:10" ht="21">
      <c r="C80" s="660" t="str">
        <f>TillageOperations!$B$27</f>
        <v>Cotton Picker</v>
      </c>
      <c r="D80" s="765"/>
      <c r="E80" s="771" t="e">
        <f>BASEBUDGETS!E2048/BASEBUDGETS!C1971</f>
        <v>#DIV/0!</v>
      </c>
      <c r="F80" s="770" t="str">
        <f>BASEBUDGETS!C2048</f>
        <v>acre</v>
      </c>
      <c r="G80" s="756" t="e">
        <f>IF(E80=0,0,BASEBUDGETS!D2049*E80)</f>
        <v>#DIV/0!</v>
      </c>
      <c r="H80" s="756" t="e">
        <f>IF(E80=0,0,BASEBUDGETS!D2048*E80)</f>
        <v>#DIV/0!</v>
      </c>
      <c r="I80" s="756">
        <v>0</v>
      </c>
      <c r="J80" s="765" t="e">
        <f t="shared" si="4"/>
        <v>#DIV/0!</v>
      </c>
    </row>
    <row r="81" spans="2:10" ht="21">
      <c r="C81" s="781" t="s">
        <v>287</v>
      </c>
      <c r="D81" s="765"/>
      <c r="E81" s="771" t="e">
        <f>BASEBUDGETS!E2050/BASEBUDGETS!C1971</f>
        <v>#DIV/0!</v>
      </c>
      <c r="F81" s="770" t="str">
        <f>BASEBUDGETS!C2050</f>
        <v>acre</v>
      </c>
      <c r="G81" s="756" t="e">
        <f>IF(E81=0,0,BASEBUDGETS!D2051*E81)</f>
        <v>#DIV/0!</v>
      </c>
      <c r="H81" s="756" t="e">
        <f>IF(E81=0,0,BASEBUDGETS!D2050*E81)</f>
        <v>#DIV/0!</v>
      </c>
      <c r="I81" s="756">
        <v>0</v>
      </c>
      <c r="J81" s="765" t="e">
        <f t="shared" ref="J81" si="5">G81+H81+I81</f>
        <v>#DIV/0!</v>
      </c>
    </row>
    <row r="82" spans="2:10" ht="21">
      <c r="C82" s="660" t="str">
        <f>TillageOperations!$B$29</f>
        <v>Haul Cotton</v>
      </c>
      <c r="D82" s="765"/>
      <c r="E82" s="771" t="e">
        <f>BASEBUDGETS!E2052/BASEBUDGETS!C1971</f>
        <v>#DIV/0!</v>
      </c>
      <c r="F82" s="770" t="str">
        <f>BASEBUDGETS!C2052</f>
        <v>acre</v>
      </c>
      <c r="G82" s="756" t="e">
        <f>IF(E82=0,0,BASEBUDGETS!D2053*E82)</f>
        <v>#DIV/0!</v>
      </c>
      <c r="H82" s="756" t="e">
        <f>IF(E82=0,0,BASEBUDGETS!D2052*E82)</f>
        <v>#DIV/0!</v>
      </c>
      <c r="I82" s="756">
        <v>0</v>
      </c>
      <c r="J82" s="765" t="e">
        <f t="shared" si="4"/>
        <v>#DIV/0!</v>
      </c>
    </row>
    <row r="83" spans="2:10" ht="21">
      <c r="C83" s="660" t="str">
        <f>TillageOperations!$B$30</f>
        <v>Combine</v>
      </c>
      <c r="D83" s="765"/>
      <c r="E83" s="771" t="e">
        <f>BASEBUDGETS!E2056/BASEBUDGETS!C1971</f>
        <v>#DIV/0!</v>
      </c>
      <c r="F83" s="770" t="str">
        <f>BASEBUDGETS!C2056</f>
        <v>acre</v>
      </c>
      <c r="G83" s="756" t="e">
        <f>IF(E83=0,0,BASEBUDGETS!D2057*E83)</f>
        <v>#DIV/0!</v>
      </c>
      <c r="H83" s="756" t="e">
        <f>IF(E83=0,0,BASEBUDGETS!D2056*E83)</f>
        <v>#DIV/0!</v>
      </c>
      <c r="I83" s="756">
        <v>0</v>
      </c>
      <c r="J83" s="765" t="e">
        <f t="shared" si="4"/>
        <v>#DIV/0!</v>
      </c>
    </row>
    <row r="84" spans="2:10" ht="21">
      <c r="C84" s="660" t="str">
        <f>TillageOperations!$B$31</f>
        <v>Grain Cart</v>
      </c>
      <c r="D84" s="765"/>
      <c r="E84" s="771" t="e">
        <f>BASEBUDGETS!E2058/BASEBUDGETS!C1971</f>
        <v>#DIV/0!</v>
      </c>
      <c r="F84" s="770" t="str">
        <f>BASEBUDGETS!C2058</f>
        <v>acre</v>
      </c>
      <c r="G84" s="756" t="e">
        <f>IF(E84=0,0,BASEBUDGETS!D2059*E84)</f>
        <v>#DIV/0!</v>
      </c>
      <c r="H84" s="756" t="e">
        <f>IF(E84=0,0,BASEBUDGETS!D2058*E84)</f>
        <v>#DIV/0!</v>
      </c>
      <c r="I84" s="756">
        <v>0</v>
      </c>
      <c r="J84" s="765" t="e">
        <f t="shared" si="4"/>
        <v>#DIV/0!</v>
      </c>
    </row>
    <row r="85" spans="2:10" ht="21">
      <c r="C85" s="660" t="str">
        <f>TillageOperations!$B$32</f>
        <v>Swather</v>
      </c>
      <c r="D85" s="765"/>
      <c r="E85" s="771" t="e">
        <f>BASEBUDGETS!E2060/BASEBUDGETS!C1971</f>
        <v>#DIV/0!</v>
      </c>
      <c r="F85" s="770" t="str">
        <f>BASEBUDGETS!C2060</f>
        <v>acre</v>
      </c>
      <c r="G85" s="756" t="e">
        <f>IF(E85=0,0,BASEBUDGETS!D2061*E85)</f>
        <v>#DIV/0!</v>
      </c>
      <c r="H85" s="756" t="e">
        <f>IF(E85=0,0,BASEBUDGETS!D2060*E85)</f>
        <v>#DIV/0!</v>
      </c>
      <c r="I85" s="756">
        <v>0</v>
      </c>
      <c r="J85" s="765" t="e">
        <f t="shared" si="4"/>
        <v>#DIV/0!</v>
      </c>
    </row>
    <row r="86" spans="2:10" ht="21">
      <c r="C86" s="660" t="str">
        <f>TillageOperations!$B$33</f>
        <v>Baler</v>
      </c>
      <c r="D86" s="765"/>
      <c r="E86" s="771" t="e">
        <f>BASEBUDGETS!E2062/BASEBUDGETS!C1971</f>
        <v>#DIV/0!</v>
      </c>
      <c r="F86" s="770" t="str">
        <f>BASEBUDGETS!C2062</f>
        <v>acre</v>
      </c>
      <c r="G86" s="756" t="e">
        <f>IF(E86=0,0,BASEBUDGETS!D2063*E86)</f>
        <v>#DIV/0!</v>
      </c>
      <c r="H86" s="756" t="e">
        <f>IF(E86=0,0,BASEBUDGETS!D2062*E86)</f>
        <v>#DIV/0!</v>
      </c>
      <c r="I86" s="756" t="e">
        <f>IF(E86=0,0,D89*E89)</f>
        <v>#DIV/0!</v>
      </c>
      <c r="J86" s="765" t="e">
        <f t="shared" si="4"/>
        <v>#DIV/0!</v>
      </c>
    </row>
    <row r="87" spans="2:10" ht="21">
      <c r="C87" s="660" t="str">
        <f>TillageOperations!$B$34</f>
        <v>Swather</v>
      </c>
      <c r="D87" s="765"/>
      <c r="E87" s="771" t="e">
        <f>BASEBUDGETS!E2064/BASEBUDGETS!C1971</f>
        <v>#DIV/0!</v>
      </c>
      <c r="F87" s="770" t="str">
        <f>BASEBUDGETS!C2064</f>
        <v>acre</v>
      </c>
      <c r="G87" s="756" t="e">
        <f>IF(E87=0,0,BASEBUDGETS!D2065*E87)</f>
        <v>#DIV/0!</v>
      </c>
      <c r="H87" s="756" t="e">
        <f>IF(E87=0,0,BASEBUDGETS!D2064*E87)</f>
        <v>#DIV/0!</v>
      </c>
      <c r="I87" s="756">
        <v>0</v>
      </c>
      <c r="J87" s="765" t="e">
        <f t="shared" si="4"/>
        <v>#DIV/0!</v>
      </c>
    </row>
    <row r="88" spans="2:10" ht="21">
      <c r="C88" s="660" t="str">
        <f>TillageOperations!$B$35</f>
        <v>Baler</v>
      </c>
      <c r="D88" s="765"/>
      <c r="E88" s="771" t="e">
        <f>BASEBUDGETS!E2066/BASEBUDGETS!C1971</f>
        <v>#DIV/0!</v>
      </c>
      <c r="F88" s="770" t="str">
        <f>BASEBUDGETS!C2066</f>
        <v>acre</v>
      </c>
      <c r="G88" s="756" t="e">
        <f>IF(E88=0,0,BASEBUDGETS!D2067*E88)</f>
        <v>#DIV/0!</v>
      </c>
      <c r="H88" s="756" t="e">
        <f>IF(E88=0,0,BASEBUDGETS!D2066*E88)</f>
        <v>#DIV/0!</v>
      </c>
      <c r="I88" s="756" t="e">
        <f>IF(E88=0,0,D89*E89)</f>
        <v>#DIV/0!</v>
      </c>
      <c r="J88" s="765" t="e">
        <f t="shared" si="4"/>
        <v>#DIV/0!</v>
      </c>
    </row>
    <row r="89" spans="2:10" ht="21">
      <c r="C89" s="660" t="str">
        <f>'Inputs&amp;PricesbyCrop'!$B$31</f>
        <v xml:space="preserve">   - Baling Twine</v>
      </c>
      <c r="D89" s="765">
        <f>BASEBUDGETS!D2068</f>
        <v>0</v>
      </c>
      <c r="E89" s="775" t="e">
        <f>BASEBUDGETS!E2068/BASEBUDGETS!C1971</f>
        <v>#DIV/0!</v>
      </c>
      <c r="F89" s="769" t="str">
        <f>'Inputs&amp;PricesbyCrop'!$C$31</f>
        <v>acre</v>
      </c>
      <c r="G89" s="756"/>
      <c r="H89" s="756"/>
      <c r="I89" s="756"/>
      <c r="J89" s="765"/>
    </row>
    <row r="90" spans="2:10" ht="21">
      <c r="C90" s="660" t="str">
        <f>TillageOperations!$B$36</f>
        <v>Bale Wagon</v>
      </c>
      <c r="D90" s="765"/>
      <c r="E90" s="771" t="e">
        <f>BASEBUDGETS!E2069/BASEBUDGETS!C1971</f>
        <v>#DIV/0!</v>
      </c>
      <c r="F90" s="770" t="str">
        <f>BASEBUDGETS!C2069</f>
        <v>acre</v>
      </c>
      <c r="G90" s="756" t="e">
        <f>IF(E90=0,0,BASEBUDGETS!D2070*E90)</f>
        <v>#DIV/0!</v>
      </c>
      <c r="H90" s="756" t="e">
        <f>IF(E90=0,0,BASEBUDGETS!D2069*E90)</f>
        <v>#DIV/0!</v>
      </c>
      <c r="I90" s="756">
        <v>0</v>
      </c>
      <c r="J90" s="765" t="e">
        <f t="shared" ref="J90:J92" si="6">G90+H90+I90</f>
        <v>#DIV/0!</v>
      </c>
    </row>
    <row r="91" spans="2:10" ht="21">
      <c r="C91" s="660" t="str">
        <f>BASEBUDGETS!B2083</f>
        <v>Additional Harvest Labor</v>
      </c>
      <c r="D91" s="765">
        <f>GeneralInputPrices!$D$32</f>
        <v>17.89</v>
      </c>
      <c r="E91" s="771" t="e">
        <f>BASEBUDGETS!E2083/BASEBUDGETS!C1971</f>
        <v>#DIV/0!</v>
      </c>
      <c r="F91" s="770" t="str">
        <f>BASEBUDGETS!C2083</f>
        <v>hour</v>
      </c>
      <c r="G91" s="756" t="e">
        <f>D91*E91</f>
        <v>#DIV/0!</v>
      </c>
      <c r="H91" s="756">
        <v>0</v>
      </c>
      <c r="I91" s="756">
        <v>0</v>
      </c>
      <c r="J91" s="765" t="e">
        <f t="shared" si="6"/>
        <v>#DIV/0!</v>
      </c>
    </row>
    <row r="92" spans="2:10" ht="21">
      <c r="C92" s="660" t="str">
        <f>BASEBUDGETS!B2084</f>
        <v>Additional Harvest Labor</v>
      </c>
      <c r="D92" s="765">
        <f>GeneralInputPrices!$D$32</f>
        <v>17.89</v>
      </c>
      <c r="E92" s="771" t="e">
        <f>BASEBUDGETS!E2084/BASEBUDGETS!C1971</f>
        <v>#DIV/0!</v>
      </c>
      <c r="F92" s="770" t="str">
        <f>BASEBUDGETS!C2084</f>
        <v>hour</v>
      </c>
      <c r="G92" s="756" t="e">
        <f>D92*E92</f>
        <v>#DIV/0!</v>
      </c>
      <c r="H92" s="756">
        <v>0</v>
      </c>
      <c r="I92" s="756">
        <v>0</v>
      </c>
      <c r="J92" s="765" t="e">
        <f t="shared" si="6"/>
        <v>#DIV/0!</v>
      </c>
    </row>
    <row r="93" spans="2:10" ht="21">
      <c r="B93" s="760" t="s">
        <v>184</v>
      </c>
      <c r="C93" s="760"/>
      <c r="D93" s="765"/>
      <c r="E93" s="771"/>
      <c r="F93" s="770"/>
      <c r="G93" s="756"/>
      <c r="H93" s="756"/>
      <c r="I93" s="756"/>
      <c r="J93" s="765"/>
    </row>
    <row r="94" spans="2:10" ht="21">
      <c r="C94" s="660" t="str">
        <f>BASEBUDGETS!B2085</f>
        <v>Other Expenses</v>
      </c>
      <c r="D94" s="765"/>
      <c r="E94" s="783">
        <f>BASEBUDGETS!D2085</f>
        <v>0.05</v>
      </c>
      <c r="F94" s="780" t="s">
        <v>10</v>
      </c>
      <c r="G94" s="756">
        <v>0</v>
      </c>
      <c r="H94" s="756">
        <v>0</v>
      </c>
      <c r="I94" s="756" t="e">
        <f>SUM(J9:J92)*E94</f>
        <v>#DIV/0!</v>
      </c>
      <c r="J94" s="765" t="e">
        <f>G94+H94+I94</f>
        <v>#DIV/0!</v>
      </c>
    </row>
    <row r="95" spans="2:10" ht="21">
      <c r="C95" s="660" t="str">
        <f>BASEBUDGETS!B2086</f>
        <v>Interest on Operating Capital</v>
      </c>
      <c r="D95" s="765"/>
      <c r="E95" s="783">
        <f>BASEBUDGETS!D2086</f>
        <v>0.06</v>
      </c>
      <c r="F95" s="780" t="s">
        <v>10</v>
      </c>
      <c r="G95" s="784">
        <v>0</v>
      </c>
      <c r="H95" s="784">
        <v>0</v>
      </c>
      <c r="I95" s="784" t="e">
        <f>SUM(J9:J94)*((E95/12)*GeneralInputPrices!$D$39)</f>
        <v>#DIV/0!</v>
      </c>
      <c r="J95" s="785" t="e">
        <f>G95+H95+I95</f>
        <v>#DIV/0!</v>
      </c>
    </row>
    <row r="96" spans="2:10" ht="21">
      <c r="B96" s="660" t="s">
        <v>153</v>
      </c>
      <c r="C96" s="660"/>
      <c r="D96" s="765"/>
      <c r="E96" s="758"/>
      <c r="F96" s="660"/>
      <c r="G96" s="756" t="e">
        <f>SUM(G9:G95)</f>
        <v>#DIV/0!</v>
      </c>
      <c r="H96" s="756" t="e">
        <f>SUM(H9:H95)</f>
        <v>#DIV/0!</v>
      </c>
      <c r="I96" s="756" t="e">
        <f>SUM(I9:I95)</f>
        <v>#DIV/0!</v>
      </c>
      <c r="J96" s="756" t="e">
        <f>SUM(J9:J95)</f>
        <v>#DIV/0!</v>
      </c>
    </row>
    <row r="97" spans="2:14" ht="20.100000000000001" customHeight="1"/>
    <row r="98" spans="2:14" ht="21">
      <c r="B98" s="787" t="s">
        <v>78</v>
      </c>
      <c r="C98" s="787"/>
      <c r="D98" s="787"/>
      <c r="E98" s="787"/>
      <c r="F98" s="787"/>
      <c r="G98" s="791"/>
      <c r="H98" s="792" t="s">
        <v>1</v>
      </c>
      <c r="I98" s="767" t="s">
        <v>24</v>
      </c>
      <c r="J98" s="767" t="s">
        <v>0</v>
      </c>
    </row>
    <row r="99" spans="2:14" s="611" customFormat="1" ht="21">
      <c r="B99" s="754" t="str">
        <f>BASEBUDGETS!B2121</f>
        <v>Crop Insurance</v>
      </c>
      <c r="C99" s="754"/>
      <c r="D99" s="754"/>
      <c r="E99" s="754"/>
      <c r="F99" s="754"/>
      <c r="G99" s="754"/>
      <c r="H99" s="770" t="str">
        <f>BASEBUDGETS!C2121</f>
        <v>acre</v>
      </c>
      <c r="I99" s="756" t="e">
        <f>BASEBUDGETS!F2121/BASEBUDGETS!C1971</f>
        <v>#DIV/0!</v>
      </c>
      <c r="J99" s="756" t="e">
        <f>I99</f>
        <v>#DIV/0!</v>
      </c>
      <c r="L99" s="653"/>
      <c r="M99" s="653"/>
      <c r="N99" s="653"/>
    </row>
    <row r="100" spans="2:14" ht="21">
      <c r="B100" s="760" t="str">
        <f>BASEBUDGETS!B2122</f>
        <v>Property Insurance</v>
      </c>
      <c r="C100" s="760"/>
      <c r="D100" s="760"/>
      <c r="E100" s="760"/>
      <c r="F100" s="760"/>
      <c r="H100" s="770" t="str">
        <f>BASEBUDGETS!C2122</f>
        <v>acre</v>
      </c>
      <c r="I100" s="824" t="e">
        <f>BASEBUDGETS!F2122/BASEBUDGETS!C1971</f>
        <v>#DIV/0!</v>
      </c>
      <c r="J100" s="824" t="e">
        <f>I100</f>
        <v>#DIV/0!</v>
      </c>
    </row>
    <row r="101" spans="2:14" ht="21">
      <c r="B101" s="760" t="str">
        <f>BASEBUDGETS!B2123</f>
        <v>Property Taxes</v>
      </c>
      <c r="C101" s="760"/>
      <c r="D101" s="760"/>
      <c r="E101" s="760"/>
      <c r="F101" s="760"/>
      <c r="H101" s="770" t="str">
        <f>BASEBUDGETS!C2123</f>
        <v>acre</v>
      </c>
      <c r="I101" s="756" t="e">
        <f>BASEBUDGETS!F2123/BASEBUDGETS!C1971</f>
        <v>#DIV/0!</v>
      </c>
      <c r="J101" s="756" t="e">
        <f t="shared" ref="J101:J104" si="7">I101</f>
        <v>#DIV/0!</v>
      </c>
    </row>
    <row r="102" spans="2:14" ht="21">
      <c r="B102" s="760" t="str">
        <f>BASEBUDGETS!B2126</f>
        <v>Licenses and Fees</v>
      </c>
      <c r="C102" s="760"/>
      <c r="D102" s="760"/>
      <c r="E102" s="760"/>
      <c r="F102" s="760"/>
      <c r="H102" s="770" t="str">
        <f>BASEBUDGETS!C2126</f>
        <v>acre</v>
      </c>
      <c r="I102" s="756" t="e">
        <f>BASEBUDGETS!F2126/BASEBUDGETS!C1971</f>
        <v>#DIV/0!</v>
      </c>
      <c r="J102" s="756" t="e">
        <f t="shared" si="7"/>
        <v>#DIV/0!</v>
      </c>
    </row>
    <row r="103" spans="2:14" ht="21">
      <c r="B103" s="794" t="s">
        <v>484</v>
      </c>
      <c r="C103" s="794"/>
      <c r="D103" s="794"/>
      <c r="E103" s="794"/>
      <c r="F103" s="794"/>
      <c r="G103" s="794"/>
      <c r="H103" s="770" t="s">
        <v>157</v>
      </c>
      <c r="I103" s="756">
        <f>IF('AcresYieldsPrices&amp;Water'!D9=0,0,((Fallow!$L$17*'AcresYieldsPrices&amp;Water'!T20)/'AcresYieldsPrices&amp;Water'!D14)*-1)</f>
        <v>0</v>
      </c>
      <c r="J103" s="765">
        <f>I103</f>
        <v>0</v>
      </c>
      <c r="M103" s="825">
        <f>I103*'AcresYieldsPrices&amp;Water'!D14</f>
        <v>0</v>
      </c>
    </row>
    <row r="104" spans="2:14" ht="21">
      <c r="B104" s="760" t="str">
        <f>BASEBUDGETS!B2124</f>
        <v>Annual Cash Rent Payment</v>
      </c>
      <c r="C104" s="760"/>
      <c r="D104" s="760"/>
      <c r="E104" s="760"/>
      <c r="F104" s="760"/>
      <c r="H104" s="770" t="str">
        <f>BASEBUDGETS!C2124</f>
        <v>acre</v>
      </c>
      <c r="I104" s="756" t="e">
        <f>BASEBUDGETS!F2124/BASEBUDGETS!C1971</f>
        <v>#DIV/0!</v>
      </c>
      <c r="J104" s="784" t="e">
        <f t="shared" si="7"/>
        <v>#DIV/0!</v>
      </c>
    </row>
    <row r="105" spans="2:14" ht="21">
      <c r="B105" s="760" t="s">
        <v>79</v>
      </c>
      <c r="C105" s="760"/>
      <c r="D105" s="760"/>
      <c r="E105" s="760"/>
      <c r="F105" s="760"/>
      <c r="G105" s="756"/>
      <c r="H105" s="756"/>
      <c r="I105" s="756"/>
      <c r="J105" s="765" t="e">
        <f>SUM(J99:J104)</f>
        <v>#DIV/0!</v>
      </c>
    </row>
    <row r="106" spans="2:14" ht="21">
      <c r="B106" s="782"/>
      <c r="C106" s="782"/>
      <c r="D106" s="782"/>
      <c r="E106" s="782"/>
      <c r="F106" s="782"/>
      <c r="G106" s="756"/>
      <c r="H106" s="756"/>
      <c r="I106" s="756"/>
      <c r="J106" s="765"/>
    </row>
    <row r="107" spans="2:14" ht="21">
      <c r="B107" s="805" t="s">
        <v>154</v>
      </c>
      <c r="C107" s="805"/>
      <c r="D107" s="805"/>
      <c r="E107" s="805"/>
      <c r="F107" s="805"/>
      <c r="G107" s="791"/>
      <c r="H107" s="792" t="s">
        <v>1</v>
      </c>
      <c r="I107" s="767" t="s">
        <v>24</v>
      </c>
      <c r="J107" s="767" t="s">
        <v>0</v>
      </c>
    </row>
    <row r="108" spans="2:14" ht="21">
      <c r="B108" s="760" t="s">
        <v>534</v>
      </c>
      <c r="C108" s="760"/>
      <c r="D108" s="760"/>
      <c r="E108" s="760"/>
      <c r="F108" s="760"/>
      <c r="G108" s="760"/>
      <c r="H108" s="770" t="s">
        <v>157</v>
      </c>
      <c r="I108" s="756" t="e">
        <f>SUM(BASEBUDGETS!F2090:F2092)/BASEBUDGETS!C1971</f>
        <v>#DIV/0!</v>
      </c>
      <c r="J108" s="765" t="e">
        <f>I108</f>
        <v>#DIV/0!</v>
      </c>
      <c r="M108" s="825" t="e">
        <f>I108*'AcresYieldsPrices&amp;Water'!D14</f>
        <v>#DIV/0!</v>
      </c>
    </row>
    <row r="109" spans="2:14" ht="21">
      <c r="B109" s="794" t="s">
        <v>156</v>
      </c>
      <c r="C109" s="794"/>
      <c r="D109" s="794"/>
      <c r="E109" s="794"/>
      <c r="F109" s="794"/>
      <c r="G109" s="756"/>
      <c r="H109" s="770" t="str">
        <f>BASEBUDGETS!C2090</f>
        <v>acre</v>
      </c>
      <c r="I109" s="758" t="e">
        <f>SUM(BASEBUDGETS!F2093:F2120)/BASEBUDGETS!C1971</f>
        <v>#DIV/0!</v>
      </c>
      <c r="J109" s="797" t="e">
        <f>I109</f>
        <v>#DIV/0!</v>
      </c>
    </row>
    <row r="110" spans="2:14" ht="21">
      <c r="B110" s="807" t="s">
        <v>77</v>
      </c>
      <c r="C110" s="807"/>
      <c r="D110" s="807"/>
      <c r="E110" s="807"/>
      <c r="F110" s="807"/>
      <c r="G110" s="756"/>
      <c r="H110" s="756"/>
      <c r="I110" s="756"/>
      <c r="J110" s="765" t="e">
        <f>J109+J108</f>
        <v>#DIV/0!</v>
      </c>
    </row>
    <row r="111" spans="2:14" ht="21">
      <c r="B111" s="660"/>
      <c r="C111" s="660"/>
      <c r="D111" s="765"/>
      <c r="E111" s="758"/>
      <c r="F111" s="660"/>
      <c r="G111" s="756"/>
      <c r="H111" s="756"/>
      <c r="I111" s="756"/>
      <c r="J111" s="765"/>
    </row>
    <row r="112" spans="2:14" ht="20.399999999999999">
      <c r="B112" s="808" t="s">
        <v>63</v>
      </c>
      <c r="C112" s="808"/>
      <c r="D112" s="808"/>
      <c r="E112" s="808"/>
      <c r="F112" s="808"/>
      <c r="G112" s="764"/>
      <c r="H112" s="764"/>
      <c r="I112" s="764"/>
      <c r="J112" s="801">
        <f>IF(I4=0,0,J96+J105+J110)</f>
        <v>0</v>
      </c>
    </row>
    <row r="113" spans="2:22" ht="20.399999999999999">
      <c r="B113" s="805" t="s">
        <v>64</v>
      </c>
      <c r="C113" s="805"/>
      <c r="D113" s="805"/>
      <c r="E113" s="805"/>
      <c r="F113" s="805"/>
      <c r="G113" s="803"/>
      <c r="H113" s="803"/>
      <c r="I113" s="803"/>
      <c r="J113" s="788">
        <f>J5-J112</f>
        <v>0</v>
      </c>
    </row>
    <row r="114" spans="2:22" ht="21" customHeight="1">
      <c r="B114" s="826" t="s">
        <v>10</v>
      </c>
      <c r="C114" s="826"/>
      <c r="D114" s="826"/>
      <c r="E114" s="826"/>
      <c r="F114" s="826"/>
      <c r="G114" s="826"/>
      <c r="H114" s="826"/>
      <c r="I114" s="826"/>
      <c r="J114" s="826"/>
    </row>
    <row r="115" spans="2:22" ht="21">
      <c r="B115" s="827"/>
      <c r="C115" s="827"/>
      <c r="D115" s="827"/>
      <c r="E115" s="827"/>
      <c r="F115" s="827"/>
      <c r="G115" s="827"/>
      <c r="H115" s="827"/>
      <c r="I115" s="827"/>
      <c r="J115" s="827"/>
    </row>
    <row r="117" spans="2:22" ht="21">
      <c r="O117" s="714"/>
      <c r="P117" s="714"/>
      <c r="Q117" s="714"/>
      <c r="R117" s="714"/>
      <c r="S117" s="714"/>
      <c r="T117" s="714"/>
      <c r="U117" s="714"/>
      <c r="V117" s="714"/>
    </row>
    <row r="118" spans="2:22" ht="21">
      <c r="O118" s="714"/>
      <c r="P118" s="714"/>
      <c r="Q118" s="714"/>
      <c r="R118" s="714"/>
      <c r="S118" s="714"/>
      <c r="T118" s="714"/>
      <c r="U118" s="714"/>
      <c r="V118" s="714"/>
    </row>
  </sheetData>
  <sheetProtection algorithmName="SHA-512" hashValue="QJxwAwXsqOLLwIL30Bl7agXSjz2vA2Uh2GwfepmXWSVj/IXdoMTRrY64BRfOHAVYGcMV2s2N+vCnsUQw1SAqzA==" saltValue="B/CxsPxSBKQZFzo6BhwdwQ==" spinCount="100000" sheet="1" objects="1" scenarios="1"/>
  <mergeCells count="22">
    <mergeCell ref="B2:F2"/>
    <mergeCell ref="B99:G99"/>
    <mergeCell ref="B76:C76"/>
    <mergeCell ref="B93:C93"/>
    <mergeCell ref="B3:C3"/>
    <mergeCell ref="B8:C8"/>
    <mergeCell ref="B31:C31"/>
    <mergeCell ref="G2:I2"/>
    <mergeCell ref="B4:E4"/>
    <mergeCell ref="B100:F100"/>
    <mergeCell ref="B101:F101"/>
    <mergeCell ref="B102:F102"/>
    <mergeCell ref="B104:F104"/>
    <mergeCell ref="B103:G103"/>
    <mergeCell ref="B112:F112"/>
    <mergeCell ref="B113:F113"/>
    <mergeCell ref="B114:J114"/>
    <mergeCell ref="B108:G108"/>
    <mergeCell ref="B105:F105"/>
    <mergeCell ref="B107:F107"/>
    <mergeCell ref="B109:F109"/>
    <mergeCell ref="B110:F110"/>
  </mergeCells>
  <pageMargins left="0.7" right="0.7" top="0.75" bottom="0.75" header="0.3" footer="0.3"/>
  <pageSetup scale="29" fitToHeight="2" orientation="portrait" horizontalDpi="0" verticalDpi="0"/>
  <ignoredErrors>
    <ignoredError sqref="B5:E5 B31:C31 B109:H109 B4 G9:J17 B93:J93 G4:J5 F4:F17 B9:D27 B95:J96 B94:H94 J94 F38:J39 C44 E44:H53 F65:J65 B76:C76 B74:C75 B112:J113 C35:C36 J32:J37 B104:J104 G77:J77 B77 E77:F77 G66:J66 B107:J107 B111:J111 B100:J102 I103:J103 B110:J110 F40:H43 B32:C34 G2 E9:E17 E32:I33 B38:C43 B45:C53 B55:C63 B78:C92 E31:J31 E18:J27 E74:J76 E35:I36 E78:J92 E34:H34 E38:E43 E55:J63 D74:D76 D31:D63 B99:J99 I40:J54 B105:J105 I37 C28:J30 B64:E64 B66 B65:D65 B68:B73 G68:J73 C66:F73 F64 D77 D80:D92 D78:D79 I109:J109 I108:J108 I64:J64" unlockedFormula="1"/>
  </ignoredErrors>
</worksheet>
</file>

<file path=xl/worksheets/sheet2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CEC1A-83E7-1242-95C4-1AB1E5670FA0}">
  <sheetPr codeName="Sheet33">
    <pageSetUpPr fitToPage="1"/>
  </sheetPr>
  <dimension ref="A1:N115"/>
  <sheetViews>
    <sheetView zoomScale="110" zoomScaleNormal="110" workbookViewId="0">
      <selection activeCell="G4" sqref="G4"/>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s="611" customFormat="1" ht="15" thickBot="1">
      <c r="D1" s="786"/>
      <c r="E1" s="774"/>
      <c r="G1" s="828"/>
      <c r="H1" s="828"/>
      <c r="I1" s="828"/>
      <c r="J1" s="757"/>
    </row>
    <row r="2" spans="2:14" s="611" customFormat="1" ht="22.8">
      <c r="B2" s="746" t="s">
        <v>488</v>
      </c>
      <c r="C2" s="746"/>
      <c r="D2" s="746"/>
      <c r="E2" s="746"/>
      <c r="F2" s="746"/>
      <c r="G2" s="829" t="str">
        <f>'AcresYieldsPrices&amp;Water'!B15</f>
        <v>Alt Crop #1</v>
      </c>
      <c r="H2" s="829"/>
      <c r="I2" s="829"/>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BASEBUDGETS!B2137</f>
        <v>Alt Crop #1</v>
      </c>
      <c r="C4" s="754"/>
      <c r="D4" s="754"/>
      <c r="E4" s="754"/>
      <c r="F4" s="755" t="str">
        <f>BASEBUDGETS!C2137</f>
        <v>bushel</v>
      </c>
      <c r="G4" s="756">
        <f>BASEBUDGETS!D2137</f>
        <v>0</v>
      </c>
      <c r="H4" s="757"/>
      <c r="I4" s="758">
        <f>IF(BASEBUDGETS!E2137=0,0,BASEBUDGETS!E2137/BASEBUDGETS!C2133)</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BASEBUDGETS!B2172</f>
        <v>V Ripper, Custom</v>
      </c>
      <c r="D9" s="765">
        <f>CustomOperations!Q5</f>
        <v>44.25</v>
      </c>
      <c r="E9" s="771" t="e">
        <f>BASEBUDGETS!E2172/BASEBUDGETS!C2133</f>
        <v>#DIV/0!</v>
      </c>
      <c r="F9" s="770" t="str">
        <f>BASEBUDGETS!C2172</f>
        <v>acre</v>
      </c>
      <c r="G9" s="756">
        <v>0</v>
      </c>
      <c r="H9" s="756">
        <v>0</v>
      </c>
      <c r="I9" s="756" t="e">
        <f>IF(E9=0,0,BASEBUDGETS!D2172*E9)</f>
        <v>#DIV/0!</v>
      </c>
      <c r="J9" s="765" t="e">
        <f>G9+H9+I9</f>
        <v>#DIV/0!</v>
      </c>
      <c r="L9" s="772">
        <f>N9*'AcresYieldsPrices&amp;Water'!D$15</f>
        <v>0</v>
      </c>
      <c r="M9" s="611" t="s">
        <v>394</v>
      </c>
      <c r="N9" s="653">
        <f>IFERROR(I37,0)</f>
        <v>0</v>
      </c>
    </row>
    <row r="10" spans="2:14" s="611" customFormat="1" ht="21">
      <c r="C10" s="660" t="str">
        <f>BASEBUDGETS!B2173</f>
        <v>Disk, Custom</v>
      </c>
      <c r="D10" s="765">
        <f>CustomOperations!Q7</f>
        <v>0</v>
      </c>
      <c r="E10" s="771" t="e">
        <f>BASEBUDGETS!E2173/BASEBUDGETS!C2133</f>
        <v>#DIV/0!</v>
      </c>
      <c r="F10" s="770" t="str">
        <f>BASEBUDGETS!C2173</f>
        <v>acre</v>
      </c>
      <c r="G10" s="756">
        <v>0</v>
      </c>
      <c r="H10" s="756">
        <v>0</v>
      </c>
      <c r="I10" s="756" t="e">
        <f>IF(E10=0,0,BASEBUDGETS!D2173*E10)</f>
        <v>#DIV/0!</v>
      </c>
      <c r="J10" s="765" t="e">
        <f>G10+H10+I10</f>
        <v>#DIV/0!</v>
      </c>
      <c r="L10" s="772">
        <f>N10*'AcresYieldsPrices&amp;Water'!D$15</f>
        <v>0</v>
      </c>
      <c r="M10" s="611" t="s">
        <v>395</v>
      </c>
      <c r="N10" s="653">
        <f>IFERROR(I44,0)</f>
        <v>0</v>
      </c>
    </row>
    <row r="11" spans="2:14" s="611" customFormat="1" ht="21">
      <c r="C11" s="660" t="str">
        <f>BASEBUDGETS!B2174</f>
        <v>Drag, Custom</v>
      </c>
      <c r="D11" s="765">
        <f>CustomOperations!Q9</f>
        <v>0</v>
      </c>
      <c r="E11" s="771" t="e">
        <f>BASEBUDGETS!E2174/BASEBUDGETS!C2133</f>
        <v>#DIV/0!</v>
      </c>
      <c r="F11" s="770" t="str">
        <f>BASEBUDGETS!C2174</f>
        <v>acre</v>
      </c>
      <c r="G11" s="756">
        <v>0</v>
      </c>
      <c r="H11" s="756">
        <v>0</v>
      </c>
      <c r="I11" s="756" t="e">
        <f>IF(E11=0,0,BASEBUDGETS!D2174*E11)</f>
        <v>#DIV/0!</v>
      </c>
      <c r="J11" s="765" t="e">
        <f t="shared" ref="J11:J30" si="0">G11+H11+I11</f>
        <v>#DIV/0!</v>
      </c>
      <c r="L11" s="772">
        <f>N11*'AcresYieldsPrices&amp;Water'!D$15</f>
        <v>0</v>
      </c>
      <c r="M11" s="611" t="s">
        <v>396</v>
      </c>
      <c r="N11" s="653">
        <f>IFERROR(I54,0)</f>
        <v>0</v>
      </c>
    </row>
    <row r="12" spans="2:14" s="611" customFormat="1" ht="21">
      <c r="C12" s="660" t="str">
        <f>BASEBUDGETS!B2175</f>
        <v>Chisel, Custom</v>
      </c>
      <c r="D12" s="765">
        <f>CustomOperations!Q11</f>
        <v>0</v>
      </c>
      <c r="E12" s="771" t="e">
        <f>BASEBUDGETS!E2175/BASEBUDGETS!C2133</f>
        <v>#DIV/0!</v>
      </c>
      <c r="F12" s="770" t="str">
        <f>BASEBUDGETS!C2175</f>
        <v>acre</v>
      </c>
      <c r="G12" s="756">
        <v>0</v>
      </c>
      <c r="H12" s="756">
        <v>0</v>
      </c>
      <c r="I12" s="756" t="e">
        <f>IF(E12=0,0,BASEBUDGETS!D2175*E12)</f>
        <v>#DIV/0!</v>
      </c>
      <c r="J12" s="765" t="e">
        <f t="shared" si="0"/>
        <v>#DIV/0!</v>
      </c>
      <c r="L12" s="772">
        <f>N12*'AcresYieldsPrices&amp;Water'!D$15</f>
        <v>0</v>
      </c>
      <c r="M12" s="611" t="s">
        <v>392</v>
      </c>
      <c r="N12" s="653">
        <f>IFERROR(E29+E30+E74+E75+E91+E92+E72+E69+E66,0)</f>
        <v>0</v>
      </c>
    </row>
    <row r="13" spans="2:14" s="611" customFormat="1" ht="21">
      <c r="C13" s="660" t="str">
        <f>BASEBUDGETS!B2176</f>
        <v>Moldboard Plow, Custom</v>
      </c>
      <c r="D13" s="765">
        <f>CustomOperations!Q13</f>
        <v>0</v>
      </c>
      <c r="E13" s="771" t="e">
        <f>BASEBUDGETS!E2176/BASEBUDGETS!C2133</f>
        <v>#DIV/0!</v>
      </c>
      <c r="F13" s="770" t="str">
        <f>BASEBUDGETS!C2176</f>
        <v>acre</v>
      </c>
      <c r="G13" s="756">
        <v>0</v>
      </c>
      <c r="H13" s="756">
        <v>0</v>
      </c>
      <c r="I13" s="756" t="e">
        <f>IF(E13=0,0,BASEBUDGETS!D2176*E13)</f>
        <v>#DIV/0!</v>
      </c>
      <c r="J13" s="765" t="e">
        <f t="shared" si="0"/>
        <v>#DIV/0!</v>
      </c>
      <c r="L13" s="772">
        <f>N13*'AcresYieldsPrices&amp;Water'!D$15</f>
        <v>0</v>
      </c>
      <c r="M13" s="611" t="s">
        <v>393</v>
      </c>
      <c r="N13" s="653">
        <f>IFERROR(((SUM(G18:G28)+G36+G34+G35+G43+G42+G53+G63+SUM(G80:G90))/[2]GeneralInputPrices!$D$20),0)</f>
        <v>0</v>
      </c>
    </row>
    <row r="14" spans="2:14" s="611" customFormat="1" ht="21">
      <c r="C14" s="660" t="str">
        <f>BASEBUDGETS!B2177</f>
        <v>Landplane, Custom</v>
      </c>
      <c r="D14" s="765">
        <f>CustomOperations!Q15</f>
        <v>17.940000000000001</v>
      </c>
      <c r="E14" s="771" t="e">
        <f>BASEBUDGETS!E2177/BASEBUDGETS!C2133</f>
        <v>#DIV/0!</v>
      </c>
      <c r="F14" s="770" t="str">
        <f>BASEBUDGETS!C2177</f>
        <v>acre</v>
      </c>
      <c r="G14" s="756">
        <v>0</v>
      </c>
      <c r="H14" s="756">
        <v>0</v>
      </c>
      <c r="I14" s="756" t="e">
        <f>IF(E14=0,0,BASEBUDGETS!D2177*E14)</f>
        <v>#DIV/0!</v>
      </c>
      <c r="J14" s="765" t="e">
        <f t="shared" si="0"/>
        <v>#DIV/0!</v>
      </c>
      <c r="L14" s="772">
        <f>N14*'AcresYieldsPrices&amp;Water'!D$15</f>
        <v>0</v>
      </c>
      <c r="M14" s="611" t="s">
        <v>186</v>
      </c>
      <c r="N14" s="653">
        <f>IFERROR(H96,0)</f>
        <v>0</v>
      </c>
    </row>
    <row r="15" spans="2:14" s="611" customFormat="1" ht="21">
      <c r="C15" s="660" t="str">
        <f>BASEBUDGETS!B2178</f>
        <v>Float, Custom</v>
      </c>
      <c r="D15" s="765">
        <f>CustomOperations!Q17</f>
        <v>17.940000000000001</v>
      </c>
      <c r="E15" s="771" t="e">
        <f>BASEBUDGETS!E2178/BASEBUDGETS!C2133</f>
        <v>#DIV/0!</v>
      </c>
      <c r="F15" s="770" t="str">
        <f>BASEBUDGETS!C2178</f>
        <v>acre</v>
      </c>
      <c r="G15" s="756">
        <v>0</v>
      </c>
      <c r="H15" s="756">
        <v>0</v>
      </c>
      <c r="I15" s="756" t="e">
        <f>IF(E15=0,0,BASEBUDGETS!D2178*E15)</f>
        <v>#DIV/0!</v>
      </c>
      <c r="J15" s="765" t="e">
        <f t="shared" si="0"/>
        <v>#DIV/0!</v>
      </c>
      <c r="L15" s="772">
        <f>N15*'AcresYieldsPrices&amp;Water'!D$15</f>
        <v>0</v>
      </c>
      <c r="M15" s="611" t="s">
        <v>401</v>
      </c>
      <c r="N15" s="653">
        <f>IFERROR(J111,0)</f>
        <v>0</v>
      </c>
    </row>
    <row r="16" spans="2:14" s="611" customFormat="1" ht="21">
      <c r="C16" s="660" t="str">
        <f>BASEBUDGETS!B2179</f>
        <v>Lister, Custom</v>
      </c>
      <c r="D16" s="765">
        <f>CustomOperations!Q19</f>
        <v>20.38</v>
      </c>
      <c r="E16" s="771" t="e">
        <f>BASEBUDGETS!E2179/BASEBUDGETS!C2133</f>
        <v>#DIV/0!</v>
      </c>
      <c r="F16" s="770" t="str">
        <f>BASEBUDGETS!C2179</f>
        <v>acre</v>
      </c>
      <c r="G16" s="756">
        <v>0</v>
      </c>
      <c r="H16" s="756">
        <v>0</v>
      </c>
      <c r="I16" s="756" t="e">
        <f>IF(E16=0,0,BASEBUDGETS!D2179*E16)</f>
        <v>#DIV/0!</v>
      </c>
      <c r="J16" s="765" t="e">
        <f t="shared" si="0"/>
        <v>#DIV/0!</v>
      </c>
      <c r="L16" s="772">
        <f>N16*'AcresYieldsPrices&amp;Water'!D$15</f>
        <v>0</v>
      </c>
      <c r="M16" s="611" t="s">
        <v>405</v>
      </c>
      <c r="N16" s="653">
        <f>IFERROR((J79+J78+J77+J62+J52+J41+J40+J33+J32+SUM(J9:J17)),0)</f>
        <v>0</v>
      </c>
    </row>
    <row r="17" spans="2:10" s="611" customFormat="1" ht="21">
      <c r="C17" s="660" t="str">
        <f>BASEBUDGETS!B2180</f>
        <v>Bed Shape, Custom</v>
      </c>
      <c r="D17" s="765">
        <f>CustomOperations!Q21</f>
        <v>13.69</v>
      </c>
      <c r="E17" s="771" t="e">
        <f>BASEBUDGETS!E2180/BASEBUDGETS!C2133</f>
        <v>#DIV/0!</v>
      </c>
      <c r="F17" s="770" t="str">
        <f>BASEBUDGETS!C2180</f>
        <v>acre</v>
      </c>
      <c r="G17" s="756">
        <v>0</v>
      </c>
      <c r="H17" s="756">
        <v>0</v>
      </c>
      <c r="I17" s="756" t="e">
        <f>IF(E17=0,0,BASEBUDGETS!D2180*E17)</f>
        <v>#DIV/0!</v>
      </c>
      <c r="J17" s="765" t="e">
        <f t="shared" si="0"/>
        <v>#DIV/0!</v>
      </c>
    </row>
    <row r="18" spans="2:10" s="611" customFormat="1" ht="21">
      <c r="C18" s="660" t="str">
        <f>TillageOperations!$B$7</f>
        <v>V-Ripper</v>
      </c>
      <c r="D18" s="765"/>
      <c r="E18" s="771" t="e">
        <f>BASEBUDGETS!E2184/BASEBUDGETS!C2133</f>
        <v>#DIV/0!</v>
      </c>
      <c r="F18" s="770" t="str">
        <f>BASEBUDGETS!C2184</f>
        <v>acre</v>
      </c>
      <c r="G18" s="756" t="e">
        <f>IF(E18=0,0,BASEBUDGETS!D2185*E18)</f>
        <v>#DIV/0!</v>
      </c>
      <c r="H18" s="756" t="e">
        <f>IF(E18=0,0,BASEBUDGETS!D2184*E18)</f>
        <v>#DIV/0!</v>
      </c>
      <c r="I18" s="756">
        <v>0</v>
      </c>
      <c r="J18" s="765" t="e">
        <f t="shared" si="0"/>
        <v>#DIV/0!</v>
      </c>
    </row>
    <row r="19" spans="2:10" s="611" customFormat="1" ht="21">
      <c r="C19" s="660" t="str">
        <f>TillageOperations!$B$8</f>
        <v>Offset Disk</v>
      </c>
      <c r="D19" s="765"/>
      <c r="E19" s="771" t="e">
        <f>BASEBUDGETS!E2186/BASEBUDGETS!C2133</f>
        <v>#DIV/0!</v>
      </c>
      <c r="F19" s="770" t="str">
        <f>BASEBUDGETS!C2186</f>
        <v>acre</v>
      </c>
      <c r="G19" s="756" t="e">
        <f>IF(E19=0,0,BASEBUDGETS!D2187*E19)</f>
        <v>#DIV/0!</v>
      </c>
      <c r="H19" s="756" t="e">
        <f>IF(E19=0,0,BASEBUDGETS!D2186*E19)</f>
        <v>#DIV/0!</v>
      </c>
      <c r="I19" s="756">
        <v>0</v>
      </c>
      <c r="J19" s="765" t="e">
        <f t="shared" si="0"/>
        <v>#DIV/0!</v>
      </c>
    </row>
    <row r="20" spans="2:10" s="611" customFormat="1" ht="21">
      <c r="C20" s="660" t="str">
        <f>TillageOperations!$B$9</f>
        <v>Drag</v>
      </c>
      <c r="D20" s="765"/>
      <c r="E20" s="771" t="e">
        <f>BASEBUDGETS!E2188/BASEBUDGETS!C2133</f>
        <v>#DIV/0!</v>
      </c>
      <c r="F20" s="770" t="str">
        <f>BASEBUDGETS!C2188</f>
        <v>acre</v>
      </c>
      <c r="G20" s="756" t="e">
        <f>IF(E20=0,0,BASEBUDGETS!D2189*E20)</f>
        <v>#DIV/0!</v>
      </c>
      <c r="H20" s="756" t="e">
        <f>IF(E20=0,0,BASEBUDGETS!D2188*E20)</f>
        <v>#DIV/0!</v>
      </c>
      <c r="I20" s="756">
        <v>0</v>
      </c>
      <c r="J20" s="765" t="e">
        <f t="shared" si="0"/>
        <v>#DIV/0!</v>
      </c>
    </row>
    <row r="21" spans="2:10" s="611" customFormat="1" ht="21">
      <c r="C21" s="660" t="str">
        <f>TillageOperations!$B$10</f>
        <v>Chisel</v>
      </c>
      <c r="D21" s="765"/>
      <c r="E21" s="771" t="e">
        <f>BASEBUDGETS!E2190/BASEBUDGETS!C2133</f>
        <v>#DIV/0!</v>
      </c>
      <c r="F21" s="770" t="str">
        <f>BASEBUDGETS!C2190</f>
        <v>acre</v>
      </c>
      <c r="G21" s="756" t="e">
        <f>IF(E21=0,0,BASEBUDGETS!D2191*E21)</f>
        <v>#DIV/0!</v>
      </c>
      <c r="H21" s="756" t="e">
        <f>IF(E21=0,0,BASEBUDGETS!D2190*E21)</f>
        <v>#DIV/0!</v>
      </c>
      <c r="I21" s="756">
        <v>0</v>
      </c>
      <c r="J21" s="765" t="e">
        <f t="shared" si="0"/>
        <v>#DIV/0!</v>
      </c>
    </row>
    <row r="22" spans="2:10" s="611" customFormat="1" ht="21">
      <c r="C22" s="660" t="str">
        <f>TillageOperations!$B$11</f>
        <v>Moldboard Plow</v>
      </c>
      <c r="D22" s="765"/>
      <c r="E22" s="771" t="e">
        <f>BASEBUDGETS!E2192/BASEBUDGETS!C2133</f>
        <v>#DIV/0!</v>
      </c>
      <c r="F22" s="770" t="str">
        <f>BASEBUDGETS!C2192</f>
        <v>acre</v>
      </c>
      <c r="G22" s="756" t="e">
        <f>IF(E22=0,0,BASEBUDGETS!D2193*E22)</f>
        <v>#DIV/0!</v>
      </c>
      <c r="H22" s="756" t="e">
        <f>IF(E22=0,0,BASEBUDGETS!D2192*E22)</f>
        <v>#DIV/0!</v>
      </c>
      <c r="I22" s="756">
        <v>0</v>
      </c>
      <c r="J22" s="765" t="e">
        <f t="shared" si="0"/>
        <v>#DIV/0!</v>
      </c>
    </row>
    <row r="23" spans="2:10" s="611" customFormat="1" ht="21">
      <c r="C23" s="660" t="str">
        <f>TillageOperations!$B$12</f>
        <v>Cultivator</v>
      </c>
      <c r="D23" s="765"/>
      <c r="E23" s="771" t="e">
        <f>BASEBUDGETS!E2194/BASEBUDGETS!C2133</f>
        <v>#DIV/0!</v>
      </c>
      <c r="F23" s="770" t="str">
        <f>BASEBUDGETS!C2194</f>
        <v>acre</v>
      </c>
      <c r="G23" s="756" t="e">
        <f>IF(E23=0,0,BASEBUDGETS!D2195*E23)</f>
        <v>#DIV/0!</v>
      </c>
      <c r="H23" s="756" t="e">
        <f>IF(E23=0,0,BASEBUDGETS!D2194*E23)</f>
        <v>#DIV/0!</v>
      </c>
      <c r="I23" s="756">
        <v>0</v>
      </c>
      <c r="J23" s="765" t="e">
        <f t="shared" si="0"/>
        <v>#DIV/0!</v>
      </c>
    </row>
    <row r="24" spans="2:10" s="611" customFormat="1" ht="21">
      <c r="C24" s="660" t="str">
        <f>TillageOperations!$B$13</f>
        <v>Landplane</v>
      </c>
      <c r="D24" s="765"/>
      <c r="E24" s="771" t="e">
        <f>BASEBUDGETS!E2196/BASEBUDGETS!C2133</f>
        <v>#DIV/0!</v>
      </c>
      <c r="F24" s="770" t="str">
        <f>BASEBUDGETS!C2196</f>
        <v>acre</v>
      </c>
      <c r="G24" s="756" t="e">
        <f>IF(E24=0,0,BASEBUDGETS!D2197*E24)</f>
        <v>#DIV/0!</v>
      </c>
      <c r="H24" s="756" t="e">
        <f>IF(E24=0,0,BASEBUDGETS!D2196*E24)</f>
        <v>#DIV/0!</v>
      </c>
      <c r="I24" s="756">
        <v>0</v>
      </c>
      <c r="J24" s="765" t="e">
        <f t="shared" si="0"/>
        <v>#DIV/0!</v>
      </c>
    </row>
    <row r="25" spans="2:10" s="611" customFormat="1" ht="21">
      <c r="C25" s="660" t="str">
        <f>TillageOperations!$B$14</f>
        <v>Float</v>
      </c>
      <c r="D25" s="765"/>
      <c r="E25" s="771" t="e">
        <f>BASEBUDGETS!E2198/BASEBUDGETS!C2133</f>
        <v>#DIV/0!</v>
      </c>
      <c r="F25" s="770" t="str">
        <f>BASEBUDGETS!C2198</f>
        <v>acre</v>
      </c>
      <c r="G25" s="756" t="e">
        <f>IF(E25=0,0,BASEBUDGETS!D2199*E25)</f>
        <v>#DIV/0!</v>
      </c>
      <c r="H25" s="756" t="e">
        <f>IF(E25=0,0,BASEBUDGETS!D2198*E25)</f>
        <v>#DIV/0!</v>
      </c>
      <c r="I25" s="756">
        <v>0</v>
      </c>
      <c r="J25" s="765" t="e">
        <f t="shared" si="0"/>
        <v>#DIV/0!</v>
      </c>
    </row>
    <row r="26" spans="2:10" s="611" customFormat="1" ht="21">
      <c r="C26" s="660" t="str">
        <f>TillageOperations!$B$15</f>
        <v>Lister</v>
      </c>
      <c r="D26" s="765"/>
      <c r="E26" s="771" t="e">
        <f>BASEBUDGETS!E2200/BASEBUDGETS!C2133</f>
        <v>#DIV/0!</v>
      </c>
      <c r="F26" s="770" t="str">
        <f>BASEBUDGETS!C2200</f>
        <v>acre</v>
      </c>
      <c r="G26" s="756" t="e">
        <f>IF(E26=0,0,BASEBUDGETS!D2201*E26)</f>
        <v>#DIV/0!</v>
      </c>
      <c r="H26" s="756" t="e">
        <f>IF(E26=0,0,BASEBUDGETS!D2200*E26)</f>
        <v>#DIV/0!</v>
      </c>
      <c r="I26" s="756">
        <v>0</v>
      </c>
      <c r="J26" s="765" t="e">
        <f t="shared" si="0"/>
        <v>#DIV/0!</v>
      </c>
    </row>
    <row r="27" spans="2:10" s="611" customFormat="1" ht="21">
      <c r="C27" s="660" t="str">
        <f>TillageOperations!$B$16</f>
        <v>Bed Shaper</v>
      </c>
      <c r="D27" s="765"/>
      <c r="E27" s="771" t="e">
        <f>BASEBUDGETS!E2202/BASEBUDGETS!C2133</f>
        <v>#DIV/0!</v>
      </c>
      <c r="F27" s="770" t="str">
        <f>BASEBUDGETS!C2202</f>
        <v>acre</v>
      </c>
      <c r="G27" s="756" t="e">
        <f>IF(E27=0,0,BASEBUDGETS!D2203*E27)</f>
        <v>#DIV/0!</v>
      </c>
      <c r="H27" s="756" t="e">
        <f>IF(E27=0,0,BASEBUDGETS!D2202*E27)</f>
        <v>#DIV/0!</v>
      </c>
      <c r="I27" s="756">
        <v>0</v>
      </c>
      <c r="J27" s="765" t="e">
        <f t="shared" si="0"/>
        <v>#DIV/0!</v>
      </c>
    </row>
    <row r="28" spans="2:10" s="611" customFormat="1" ht="21">
      <c r="C28" s="660" t="str">
        <f>TillageOperations!$B$17</f>
        <v>Cotton Shredder/Root Puller</v>
      </c>
      <c r="D28" s="765"/>
      <c r="E28" s="771" t="e">
        <f>BASEBUDGETS!E2216/BASEBUDGETS!C2133</f>
        <v>#DIV/0!</v>
      </c>
      <c r="F28" s="770" t="str">
        <f>BASEBUDGETS!C2216</f>
        <v>acre</v>
      </c>
      <c r="G28" s="756" t="e">
        <f>IF(E28=0,0,BASEBUDGETS!D2217*E28)</f>
        <v>#DIV/0!</v>
      </c>
      <c r="H28" s="756" t="e">
        <f>IF(E28=0,0,BASEBUDGETS!D2216*E28)</f>
        <v>#DIV/0!</v>
      </c>
      <c r="I28" s="756">
        <v>0</v>
      </c>
      <c r="J28" s="765" t="e">
        <f>G28+H28+I28</f>
        <v>#DIV/0!</v>
      </c>
    </row>
    <row r="29" spans="2:10" s="611" customFormat="1" ht="21">
      <c r="C29" s="660" t="str">
        <f>BASEBUDGETS!B2241</f>
        <v>Additional Land Prep. Labor</v>
      </c>
      <c r="D29" s="765">
        <f>GeneralInputPrices!$D$30</f>
        <v>14.55</v>
      </c>
      <c r="E29" s="758" t="e">
        <f>BASEBUDGETS!E2241/BASEBUDGETS!C2133</f>
        <v>#DIV/0!</v>
      </c>
      <c r="F29" s="773" t="str">
        <f>BASEBUDGETS!C2241</f>
        <v>hour</v>
      </c>
      <c r="G29" s="756" t="e">
        <f>D29*E29</f>
        <v>#DIV/0!</v>
      </c>
      <c r="H29" s="756">
        <v>0</v>
      </c>
      <c r="I29" s="756">
        <v>0</v>
      </c>
      <c r="J29" s="765" t="e">
        <f t="shared" si="0"/>
        <v>#DIV/0!</v>
      </c>
    </row>
    <row r="30" spans="2:10" s="611" customFormat="1" ht="21">
      <c r="C30" s="660" t="str">
        <f>BASEBUDGETS!B2242</f>
        <v>Additional Land Prep. Labor</v>
      </c>
      <c r="D30" s="765">
        <f>GeneralInputPrices!$D$30</f>
        <v>14.55</v>
      </c>
      <c r="E30" s="758" t="e">
        <f>BASEBUDGETS!E2242/BASEBUDGETS!C2133</f>
        <v>#DIV/0!</v>
      </c>
      <c r="F30" s="773" t="str">
        <f>BASEBUDGETS!C2242</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BASEBUDGETS!B2169</f>
        <v>Drill, Custom</v>
      </c>
      <c r="D32" s="765">
        <f>CustomOperations!Q24</f>
        <v>0</v>
      </c>
      <c r="E32" s="771" t="e">
        <f>BASEBUDGETS!E2169/BASEBUDGETS!C2133</f>
        <v>#DIV/0!</v>
      </c>
      <c r="F32" s="770" t="str">
        <f>BASEBUDGETS!C2169</f>
        <v>acre</v>
      </c>
      <c r="G32" s="756">
        <v>0</v>
      </c>
      <c r="H32" s="756">
        <v>0</v>
      </c>
      <c r="I32" s="756" t="e">
        <f>IF(E32=0,0,(BASEBUDGETS!D2169*E32))</f>
        <v>#DIV/0!</v>
      </c>
      <c r="J32" s="765" t="e">
        <f t="shared" ref="J32:J34" si="1">G32+H32+I32</f>
        <v>#DIV/0!</v>
      </c>
    </row>
    <row r="33" spans="3:10" s="611" customFormat="1" ht="21">
      <c r="C33" s="660" t="str">
        <f>BASEBUDGETS!B2170</f>
        <v>Row Planter, Custom</v>
      </c>
      <c r="D33" s="765">
        <f>CustomOperations!Q26</f>
        <v>0</v>
      </c>
      <c r="E33" s="771" t="e">
        <f>BASEBUDGETS!E2170/BASEBUDGETS!C2133</f>
        <v>#DIV/0!</v>
      </c>
      <c r="F33" s="770" t="str">
        <f>BASEBUDGETS!C2170</f>
        <v>acre</v>
      </c>
      <c r="G33" s="756">
        <v>0</v>
      </c>
      <c r="H33" s="756">
        <v>0</v>
      </c>
      <c r="I33" s="756" t="e">
        <f>IF(E33=0,0,(BASEBUDGETS!D2170*E33))</f>
        <v>#DIV/0!</v>
      </c>
      <c r="J33" s="765" t="e">
        <f t="shared" si="1"/>
        <v>#DIV/0!</v>
      </c>
    </row>
    <row r="34" spans="3:10" s="611" customFormat="1" ht="21">
      <c r="C34" s="660" t="str">
        <f>TillageOperations!$B$21</f>
        <v>Drill</v>
      </c>
      <c r="D34" s="765"/>
      <c r="E34" s="771" t="e">
        <f>BASEBUDGETS!E2208/BASEBUDGETS!C2133</f>
        <v>#DIV/0!</v>
      </c>
      <c r="F34" s="770" t="str">
        <f>BASEBUDGETS!C2208</f>
        <v>acre</v>
      </c>
      <c r="G34" s="756" t="e">
        <f>IF(E34=0,0,BASEBUDGETS!D2209*E34)</f>
        <v>#DIV/0!</v>
      </c>
      <c r="H34" s="756" t="e">
        <f>IF(E34=0,0,BASEBUDGETS!D2208*E34)</f>
        <v>#DIV/0!</v>
      </c>
      <c r="I34" s="756">
        <v>0</v>
      </c>
      <c r="J34" s="765" t="e">
        <f t="shared" si="1"/>
        <v>#DIV/0!</v>
      </c>
    </row>
    <row r="35" spans="3:10" s="611" customFormat="1" ht="21">
      <c r="C35" s="660" t="str">
        <f>TillageOperations!$B$19</f>
        <v>Row Planter</v>
      </c>
      <c r="D35" s="765"/>
      <c r="E35" s="771" t="e">
        <f>BASEBUDGETS!E2204/BASEBUDGETS!C2133</f>
        <v>#DIV/0!</v>
      </c>
      <c r="F35" s="770" t="str">
        <f>BASEBUDGETS!C2204</f>
        <v>acre</v>
      </c>
      <c r="G35" s="756" t="e">
        <f>IF(E35=0,0,BASEBUDGETS!D2205*E35)</f>
        <v>#DIV/0!</v>
      </c>
      <c r="H35" s="756" t="e">
        <f>IF(E35=0,0,BASEBUDGETS!D2204*E35)</f>
        <v>#DIV/0!</v>
      </c>
      <c r="I35" s="756">
        <v>0</v>
      </c>
      <c r="J35" s="765" t="e">
        <f>G35+H35+I35</f>
        <v>#DIV/0!</v>
      </c>
    </row>
    <row r="36" spans="3:10" s="611" customFormat="1" ht="21">
      <c r="C36" s="660" t="str">
        <f>TillageOperations!$B$22</f>
        <v>Transplanter</v>
      </c>
      <c r="D36" s="765"/>
      <c r="E36" s="771" t="e">
        <f>BASEBUDGETS!E2239/BASEBUDGETS!C2133</f>
        <v>#DIV/0!</v>
      </c>
      <c r="F36" s="770" t="str">
        <f>BASEBUDGETS!C2239</f>
        <v>acre</v>
      </c>
      <c r="G36" s="756" t="e">
        <f>IF(E36=0,0,BASEBUDGETS!D2240*E36)</f>
        <v>#DIV/0!</v>
      </c>
      <c r="H36" s="756" t="e">
        <f>IF(E36=0,0,BASEBUDGETS!D2239*E36)</f>
        <v>#DIV/0!</v>
      </c>
      <c r="I36" s="756">
        <v>0</v>
      </c>
      <c r="J36" s="765" t="e">
        <f>G36+H36+I36</f>
        <v>#DIV/0!</v>
      </c>
    </row>
    <row r="37" spans="3:10" s="611" customFormat="1" ht="21">
      <c r="C37" s="660" t="s">
        <v>439</v>
      </c>
      <c r="D37" s="765"/>
      <c r="E37" s="771"/>
      <c r="F37" s="770"/>
      <c r="G37" s="756">
        <v>0</v>
      </c>
      <c r="H37" s="756">
        <v>0</v>
      </c>
      <c r="I37" s="756" t="e">
        <f>(D38*E38)+(D39*E39)</f>
        <v>#DIV/0!</v>
      </c>
      <c r="J37" s="765" t="e">
        <f>G37+H37+I37</f>
        <v>#DIV/0!</v>
      </c>
    </row>
    <row r="38" spans="3:10" s="611" customFormat="1" ht="21">
      <c r="C38" s="660" t="str">
        <f>BASEBUDGETS!B2141</f>
        <v xml:space="preserve">   - Seed</v>
      </c>
      <c r="D38" s="765">
        <f>BASEBUDGETS!D2141</f>
        <v>0</v>
      </c>
      <c r="E38" s="775" t="e">
        <f>BASEBUDGETS!E2141/BASEBUDGETS!C2133</f>
        <v>#DIV/0!</v>
      </c>
      <c r="F38" s="769" t="str">
        <f>BASEBUDGETS!C2141</f>
        <v>pounds</v>
      </c>
      <c r="G38" s="757"/>
      <c r="H38" s="757"/>
      <c r="I38" s="757"/>
      <c r="J38" s="757"/>
    </row>
    <row r="39" spans="3:10" s="611" customFormat="1" ht="21">
      <c r="C39" s="660" t="str">
        <f>BASEBUDGETS!B2142</f>
        <v xml:space="preserve">   - Inoculant</v>
      </c>
      <c r="D39" s="765">
        <f>BASEBUDGETS!D2142</f>
        <v>3</v>
      </c>
      <c r="E39" s="775" t="e">
        <f>BASEBUDGETS!E2142/BASEBUDGETS!C2133</f>
        <v>#DIV/0!</v>
      </c>
      <c r="F39" s="769" t="str">
        <f>BASEBUDGETS!C2142</f>
        <v>pounds</v>
      </c>
      <c r="G39" s="765"/>
      <c r="H39" s="765"/>
      <c r="I39" s="765"/>
      <c r="J39" s="765"/>
    </row>
    <row r="40" spans="3:10" s="611" customFormat="1" ht="21">
      <c r="C40" s="660" t="str">
        <f>BASEBUDGETS!B2181</f>
        <v>Fertilizer Spreader, Custom</v>
      </c>
      <c r="D40" s="765">
        <f>CustomOperations!Q32</f>
        <v>10.08</v>
      </c>
      <c r="E40" s="771" t="e">
        <f>BASEBUDGETS!E2181/BASEBUDGETS!C2133</f>
        <v>#DIV/0!</v>
      </c>
      <c r="F40" s="770" t="str">
        <f>BASEBUDGETS!C2181</f>
        <v>acre</v>
      </c>
      <c r="G40" s="756">
        <v>0</v>
      </c>
      <c r="H40" s="756">
        <v>0</v>
      </c>
      <c r="I40" s="756" t="e">
        <f>IF(E40=0,0,BASEBUDGETS!D2181*E40)</f>
        <v>#DIV/0!</v>
      </c>
      <c r="J40" s="765" t="e">
        <f>G40+H40+I40</f>
        <v>#DIV/0!</v>
      </c>
    </row>
    <row r="41" spans="3:10" s="611" customFormat="1" ht="21">
      <c r="C41" s="660" t="str">
        <f>BASEBUDGETS!B2182</f>
        <v>Laser Landplaning, Custom</v>
      </c>
      <c r="D41" s="765">
        <f>CustomOperations!Q34</f>
        <v>0</v>
      </c>
      <c r="E41" s="771" t="e">
        <f>BASEBUDGETS!E2182/BASEBUDGETS!C2133</f>
        <v>#DIV/0!</v>
      </c>
      <c r="F41" s="770" t="str">
        <f>BASEBUDGETS!C2182</f>
        <v>acre</v>
      </c>
      <c r="G41" s="756">
        <v>0</v>
      </c>
      <c r="H41" s="756">
        <v>0</v>
      </c>
      <c r="I41" s="756" t="e">
        <f>IF(E41=0,0,BASEBUDGETS!D2182*E41)</f>
        <v>#DIV/0!</v>
      </c>
      <c r="J41" s="765" t="e">
        <f>G41+H41+I41</f>
        <v>#DIV/0!</v>
      </c>
    </row>
    <row r="42" spans="3:10" s="611" customFormat="1" ht="21">
      <c r="C42" s="660" t="str">
        <f>TillageOperations!$B$23</f>
        <v>Fertilizer Spreader</v>
      </c>
      <c r="D42" s="765"/>
      <c r="E42" s="771" t="e">
        <f>BASEBUDGETS!E2233/BASEBUDGETS!C2133</f>
        <v>#DIV/0!</v>
      </c>
      <c r="F42" s="770" t="str">
        <f>BASEBUDGETS!C2233</f>
        <v>acre</v>
      </c>
      <c r="G42" s="756" t="e">
        <f>IF(E42=0,0,BASEBUDGETS!D2234*E42)</f>
        <v>#DIV/0!</v>
      </c>
      <c r="H42" s="756" t="e">
        <f>IF(E42=0,0,BASEBUDGETS!D2233*E42)</f>
        <v>#DIV/0!</v>
      </c>
      <c r="I42" s="756">
        <v>0</v>
      </c>
      <c r="J42" s="765" t="e">
        <f>G42+H42+I42</f>
        <v>#DIV/0!</v>
      </c>
    </row>
    <row r="43" spans="3:10" s="611" customFormat="1" ht="21">
      <c r="C43" s="660" t="str">
        <f>TillageOperations!$B$24</f>
        <v>Fertilizer Injection System</v>
      </c>
      <c r="D43" s="765"/>
      <c r="E43" s="771" t="e">
        <f>BASEBUDGETS!E2235/BASEBUDGETS!C2133</f>
        <v>#DIV/0!</v>
      </c>
      <c r="F43" s="770" t="str">
        <f>BASEBUDGETS!C2235</f>
        <v>acre</v>
      </c>
      <c r="G43" s="756" t="e">
        <f>IF(E43=0,0,BASEBUDGETS!D2236*E43)</f>
        <v>#DIV/0!</v>
      </c>
      <c r="H43" s="756" t="e">
        <f>IF(E43=0,0,BASEBUDGETS!D2235*E43)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BASEBUDGETS!B2143</f>
        <v xml:space="preserve">   - Nitrogen</v>
      </c>
      <c r="D45" s="765">
        <f>BASEBUDGETS!D2143</f>
        <v>0.46</v>
      </c>
      <c r="E45" s="775" t="e">
        <f>BASEBUDGETS!E2143/BASEBUDGETS!C2133</f>
        <v>#DIV/0!</v>
      </c>
      <c r="F45" s="769" t="str">
        <f>BASEBUDGETS!C2143</f>
        <v>pounds</v>
      </c>
      <c r="G45" s="765"/>
      <c r="H45" s="765"/>
      <c r="I45" s="765"/>
      <c r="J45" s="765"/>
    </row>
    <row r="46" spans="3:10" s="611" customFormat="1" ht="21">
      <c r="C46" s="660" t="str">
        <f>BASEBUDGETS!B2144</f>
        <v xml:space="preserve">   - Phosphorus</v>
      </c>
      <c r="D46" s="765">
        <f>BASEBUDGETS!D2144</f>
        <v>0.36</v>
      </c>
      <c r="E46" s="775" t="e">
        <f>BASEBUDGETS!E2144/BASEBUDGETS!C2133</f>
        <v>#DIV/0!</v>
      </c>
      <c r="F46" s="769" t="str">
        <f>BASEBUDGETS!C2144</f>
        <v>pounds</v>
      </c>
      <c r="G46" s="765"/>
      <c r="H46" s="765"/>
      <c r="I46" s="765"/>
      <c r="J46" s="765"/>
    </row>
    <row r="47" spans="3:10" s="611" customFormat="1" ht="21">
      <c r="C47" s="660" t="str">
        <f>BASEBUDGETS!B2145</f>
        <v xml:space="preserve">   - Anhydrous Ammonia</v>
      </c>
      <c r="D47" s="765">
        <f>BASEBUDGETS!D2145</f>
        <v>0.21</v>
      </c>
      <c r="E47" s="775" t="e">
        <f>BASEBUDGETS!E2145/BASEBUDGETS!C2133</f>
        <v>#DIV/0!</v>
      </c>
      <c r="F47" s="769" t="str">
        <f>BASEBUDGETS!C2145</f>
        <v>pounds</v>
      </c>
      <c r="G47" s="765"/>
      <c r="H47" s="765"/>
      <c r="I47" s="765"/>
      <c r="J47" s="765"/>
    </row>
    <row r="48" spans="3:10" s="611" customFormat="1" ht="21">
      <c r="C48" s="660" t="str">
        <f>BASEBUDGETS!B2146</f>
        <v xml:space="preserve">   - Trace Elements</v>
      </c>
      <c r="D48" s="765">
        <f>BASEBUDGETS!D2146</f>
        <v>0.24</v>
      </c>
      <c r="E48" s="775" t="e">
        <f>BASEBUDGETS!E2146/BASEBUDGETS!C2133</f>
        <v>#DIV/0!</v>
      </c>
      <c r="F48" s="769" t="str">
        <f>BASEBUDGETS!C2146</f>
        <v>pounds</v>
      </c>
      <c r="G48" s="765"/>
      <c r="H48" s="765"/>
      <c r="I48" s="765"/>
      <c r="J48" s="765"/>
    </row>
    <row r="49" spans="3:10" s="611" customFormat="1" ht="21">
      <c r="C49" s="660" t="str">
        <f>BASEBUDGETS!B2147</f>
        <v xml:space="preserve">   - Nitrogen</v>
      </c>
      <c r="D49" s="765">
        <f>BASEBUDGETS!D2147</f>
        <v>0</v>
      </c>
      <c r="E49" s="775" t="e">
        <f>BASEBUDGETS!E2147/BASEBUDGETS!C2133</f>
        <v>#DIV/0!</v>
      </c>
      <c r="F49" s="769" t="str">
        <f>BASEBUDGETS!C2147</f>
        <v>acre</v>
      </c>
      <c r="G49" s="765"/>
      <c r="H49" s="765"/>
      <c r="I49" s="765"/>
      <c r="J49" s="765"/>
    </row>
    <row r="50" spans="3:10" s="611" customFormat="1" ht="21">
      <c r="C50" s="660" t="str">
        <f>BASEBUDGETS!B2148</f>
        <v xml:space="preserve">   - Phosphorus</v>
      </c>
      <c r="D50" s="765">
        <f>BASEBUDGETS!D2148</f>
        <v>0</v>
      </c>
      <c r="E50" s="775" t="e">
        <f>BASEBUDGETS!E2148/BASEBUDGETS!C2133</f>
        <v>#DIV/0!</v>
      </c>
      <c r="F50" s="769" t="str">
        <f>BASEBUDGETS!C2148</f>
        <v>acre</v>
      </c>
      <c r="G50" s="765"/>
      <c r="H50" s="765"/>
      <c r="I50" s="765"/>
      <c r="J50" s="765"/>
    </row>
    <row r="51" spans="3:10" s="611" customFormat="1" ht="21">
      <c r="C51" s="660" t="str">
        <f>BASEBUDGETS!B2149</f>
        <v xml:space="preserve">   - Fertilizer - Anhydrous Applicator</v>
      </c>
      <c r="D51" s="765">
        <f>BASEBUDGETS!D2149</f>
        <v>0</v>
      </c>
      <c r="E51" s="775" t="e">
        <f>BASEBUDGETS!E2149/BASEBUDGETS!C2133</f>
        <v>#DIV/0!</v>
      </c>
      <c r="F51" s="769" t="str">
        <f>BASEBUDGETS!C2149</f>
        <v>acre</v>
      </c>
      <c r="G51" s="765"/>
      <c r="H51" s="765"/>
      <c r="I51" s="765"/>
      <c r="J51" s="765"/>
    </row>
    <row r="52" spans="3:10" s="611" customFormat="1" ht="21">
      <c r="C52" s="660" t="str">
        <f>BASEBUDGETS!B2183</f>
        <v>Boom Sprayer, Custom</v>
      </c>
      <c r="D52" s="765">
        <f>CustomOperations!Q30</f>
        <v>10.050000000000001</v>
      </c>
      <c r="E52" s="771" t="e">
        <f>BASEBUDGETS!E2183/BASEBUDGETS!C2133</f>
        <v>#DIV/0!</v>
      </c>
      <c r="F52" s="770" t="str">
        <f>BASEBUDGETS!C2183</f>
        <v>acre</v>
      </c>
      <c r="G52" s="756">
        <v>0</v>
      </c>
      <c r="H52" s="756">
        <v>0</v>
      </c>
      <c r="I52" s="756" t="e">
        <f>IF(E52=0,0,BASEBUDGETS!D2183*E52)</f>
        <v>#DIV/0!</v>
      </c>
      <c r="J52" s="765" t="e">
        <f>G52+H52+I52</f>
        <v>#DIV/0!</v>
      </c>
    </row>
    <row r="53" spans="3:10" s="611" customFormat="1" ht="21">
      <c r="C53" s="660" t="str">
        <f>TillageOperations!$B$25</f>
        <v>Boom Sprayer</v>
      </c>
      <c r="D53" s="765"/>
      <c r="E53" s="771" t="e">
        <f>BASEBUDGETS!E2237/BASEBUDGETS!C2133</f>
        <v>#DIV/0!</v>
      </c>
      <c r="F53" s="770" t="str">
        <f>BASEBUDGETS!C2237</f>
        <v>acre</v>
      </c>
      <c r="G53" s="756" t="e">
        <f>IF(E53=0,0,BASEBUDGETS!D2238*E53)</f>
        <v>#DIV/0!</v>
      </c>
      <c r="H53" s="756" t="e">
        <f>IF(E53=0,0,BASEBUDGETS!D2237*E53)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BASEBUDGETS!B2150</f>
        <v xml:space="preserve">   - Prowl</v>
      </c>
      <c r="D55" s="765">
        <f>BASEBUDGETS!D2150</f>
        <v>6.0625</v>
      </c>
      <c r="E55" s="775" t="e">
        <f>BASEBUDGETS!E2150/BASEBUDGETS!C2133</f>
        <v>#DIV/0!</v>
      </c>
      <c r="F55" s="769" t="str">
        <f>BASEBUDGETS!C2150</f>
        <v>pints</v>
      </c>
      <c r="G55" s="765"/>
      <c r="H55" s="765"/>
      <c r="I55" s="765"/>
      <c r="J55" s="765"/>
    </row>
    <row r="56" spans="3:10" s="611" customFormat="1" ht="21">
      <c r="C56" s="660" t="str">
        <f>BASEBUDGETS!B2151</f>
        <v xml:space="preserve">   - Aim</v>
      </c>
      <c r="D56" s="765">
        <f>BASEBUDGETS!D2151</f>
        <v>5.9375</v>
      </c>
      <c r="E56" s="775" t="e">
        <f>BASEBUDGETS!E2151/BASEBUDGETS!C2133</f>
        <v>#DIV/0!</v>
      </c>
      <c r="F56" s="769" t="str">
        <f>BASEBUDGETS!C2151</f>
        <v>ounces</v>
      </c>
      <c r="G56" s="765"/>
      <c r="H56" s="765"/>
      <c r="I56" s="765"/>
      <c r="J56" s="765"/>
    </row>
    <row r="57" spans="3:10" s="611" customFormat="1" ht="21">
      <c r="C57" s="660" t="str">
        <f>BASEBUDGETS!B2152</f>
        <v xml:space="preserve">   - Fusilade</v>
      </c>
      <c r="D57" s="765">
        <f>BASEBUDGETS!D2152</f>
        <v>1.25</v>
      </c>
      <c r="E57" s="775" t="e">
        <f>BASEBUDGETS!E2152/BASEBUDGETS!C2133</f>
        <v>#DIV/0!</v>
      </c>
      <c r="F57" s="769" t="str">
        <f>BASEBUDGETS!C2152</f>
        <v>ounces</v>
      </c>
      <c r="G57" s="765"/>
      <c r="H57" s="765"/>
      <c r="I57" s="765"/>
      <c r="J57" s="765"/>
    </row>
    <row r="58" spans="3:10" s="611" customFormat="1" ht="21">
      <c r="C58" s="660" t="str">
        <f>BASEBUDGETS!B2153</f>
        <v xml:space="preserve">   - Herbicides</v>
      </c>
      <c r="D58" s="765">
        <f>BASEBUDGETS!D2153</f>
        <v>0</v>
      </c>
      <c r="E58" s="775" t="e">
        <f>BASEBUDGETS!E2153/BASEBUDGETS!C2133</f>
        <v>#DIV/0!</v>
      </c>
      <c r="F58" s="769" t="str">
        <f>BASEBUDGETS!C2153</f>
        <v>acre</v>
      </c>
      <c r="G58" s="765"/>
      <c r="H58" s="765"/>
      <c r="I58" s="765"/>
      <c r="J58" s="765"/>
    </row>
    <row r="59" spans="3:10" s="611" customFormat="1" ht="21">
      <c r="C59" s="660" t="str">
        <f>BASEBUDGETS!B2154</f>
        <v xml:space="preserve">   - Herbicide - #2</v>
      </c>
      <c r="D59" s="765">
        <f>BASEBUDGETS!D2154</f>
        <v>0</v>
      </c>
      <c r="E59" s="775" t="e">
        <f>BASEBUDGETS!E2154/BASEBUDGETS!C2133</f>
        <v>#DIV/0!</v>
      </c>
      <c r="F59" s="769" t="str">
        <f>BASEBUDGETS!C2154</f>
        <v>acre</v>
      </c>
      <c r="G59" s="765"/>
      <c r="H59" s="765"/>
      <c r="I59" s="765"/>
      <c r="J59" s="765"/>
    </row>
    <row r="60" spans="3:10" s="611" customFormat="1" ht="21">
      <c r="C60" s="660" t="str">
        <f>BASEBUDGETS!B2155</f>
        <v xml:space="preserve">   - Insecticides</v>
      </c>
      <c r="D60" s="765">
        <f>BASEBUDGETS!D2155</f>
        <v>0</v>
      </c>
      <c r="E60" s="775" t="e">
        <f>BASEBUDGETS!E2155/BASEBUDGETS!C2133</f>
        <v>#DIV/0!</v>
      </c>
      <c r="F60" s="769" t="str">
        <f>BASEBUDGETS!C2155</f>
        <v>acre</v>
      </c>
      <c r="G60" s="765"/>
      <c r="H60" s="765"/>
      <c r="I60" s="765"/>
      <c r="J60" s="765"/>
    </row>
    <row r="61" spans="3:10" s="611" customFormat="1" ht="21">
      <c r="C61" s="660" t="str">
        <f>BASEBUDGETS!B2156</f>
        <v xml:space="preserve">   - Insecticide - #2</v>
      </c>
      <c r="D61" s="765">
        <f>BASEBUDGETS!D2156</f>
        <v>0</v>
      </c>
      <c r="E61" s="775" t="e">
        <f>BASEBUDGETS!E2156/BASEBUDGETS!C2133</f>
        <v>#DIV/0!</v>
      </c>
      <c r="F61" s="769" t="str">
        <f>BASEBUDGETS!C2156</f>
        <v>acre</v>
      </c>
      <c r="G61" s="765"/>
      <c r="H61" s="765"/>
      <c r="I61" s="765"/>
      <c r="J61" s="765"/>
    </row>
    <row r="62" spans="3:10" s="611" customFormat="1" ht="21">
      <c r="C62" s="660" t="str">
        <f>BASEBUDGETS!B2171</f>
        <v>Row Cultivator, Custom</v>
      </c>
      <c r="D62" s="765">
        <f>CustomOperations!Q28</f>
        <v>0</v>
      </c>
      <c r="E62" s="771" t="e">
        <f>BASEBUDGETS!E2171/BASEBUDGETS!C2133</f>
        <v>#DIV/0!</v>
      </c>
      <c r="F62" s="770" t="str">
        <f>BASEBUDGETS!C2171</f>
        <v>acre</v>
      </c>
      <c r="G62" s="756">
        <v>0</v>
      </c>
      <c r="H62" s="756">
        <v>0</v>
      </c>
      <c r="I62" s="756" t="e">
        <f>IF(E62=0,0,BASEBUDGETS!D2171*E62)</f>
        <v>#DIV/0!</v>
      </c>
      <c r="J62" s="765" t="e">
        <f>G62+H62+I62</f>
        <v>#DIV/0!</v>
      </c>
    </row>
    <row r="63" spans="3:10" s="611" customFormat="1" ht="21">
      <c r="C63" s="660" t="str">
        <f>TillageOperations!$B$20</f>
        <v>Row Cultivator</v>
      </c>
      <c r="D63" s="765"/>
      <c r="E63" s="771" t="e">
        <f>BASEBUDGETS!E2206/BASEBUDGETS!C2133</f>
        <v>#DIV/0!</v>
      </c>
      <c r="F63" s="770" t="str">
        <f>BASEBUDGETS!C2206</f>
        <v>acre</v>
      </c>
      <c r="G63" s="756" t="e">
        <f>IF(E63=0,0,BASEBUDGETS!D2207*E63)</f>
        <v>#DIV/0!</v>
      </c>
      <c r="H63" s="756" t="e">
        <f>IF(E63=0,0,BASEBUDGETS!D2206*E63)</f>
        <v>#DIV/0!</v>
      </c>
      <c r="I63" s="756">
        <v>0</v>
      </c>
      <c r="J63" s="765" t="e">
        <f>G63+H63+I63</f>
        <v>#DIV/0!</v>
      </c>
    </row>
    <row r="64" spans="3:10" s="611" customFormat="1" ht="21">
      <c r="C64" s="660" t="s">
        <v>151</v>
      </c>
      <c r="D64" s="765"/>
      <c r="E64" s="776" t="s">
        <v>10</v>
      </c>
      <c r="F64" s="777" t="s">
        <v>10</v>
      </c>
      <c r="G64" s="756" t="e">
        <f>(D66*E66)+(D69*E69)+(D72*E72)</f>
        <v>#DIV/0!</v>
      </c>
      <c r="H64" s="756">
        <v>0</v>
      </c>
      <c r="I64" s="678" t="e">
        <f>(D65*E65)+(D68*E68)+(D71*E71)+(D67*E67)+(D70*E70)+(D73*E73)</f>
        <v>#DIV/0!</v>
      </c>
      <c r="J64" s="765" t="e">
        <f>G64+H64+I64</f>
        <v>#DIV/0!</v>
      </c>
    </row>
    <row r="65" spans="2:10" s="611" customFormat="1" ht="21">
      <c r="B65" s="660"/>
      <c r="C65" s="660" t="str">
        <f>BASEBUDGETS!B2157</f>
        <v>Flood - Irrigation Water</v>
      </c>
      <c r="D65" s="765">
        <f>BASEBUDGETS!D2157</f>
        <v>55</v>
      </c>
      <c r="E65" s="775" t="e">
        <f>BASEBUDGETS!E2157/BASEBUDGETS!C$2133</f>
        <v>#DIV/0!</v>
      </c>
      <c r="F65" s="769" t="str">
        <f>BASEBUDGETS!C2157</f>
        <v>ac ft</v>
      </c>
      <c r="G65" s="756"/>
      <c r="H65" s="756"/>
      <c r="I65" s="765"/>
      <c r="J65" s="765"/>
    </row>
    <row r="66" spans="2:10" s="611" customFormat="1" ht="21">
      <c r="B66" s="660"/>
      <c r="C66" s="660" t="str">
        <f>BASEBUDGETS!B2158</f>
        <v>Flood - Irrigation Labor</v>
      </c>
      <c r="D66" s="765">
        <f>BASEBUDGETS!D2158</f>
        <v>14.55</v>
      </c>
      <c r="E66" s="775" t="e">
        <f>BASEBUDGETS!E2158/BASEBUDGETS!C$2133</f>
        <v>#DIV/0!</v>
      </c>
      <c r="F66" s="769" t="str">
        <f>BASEBUDGETS!C2158</f>
        <v>hour</v>
      </c>
      <c r="G66" s="756"/>
      <c r="H66" s="756"/>
      <c r="I66" s="765"/>
      <c r="J66" s="765"/>
    </row>
    <row r="67" spans="2:10" s="611" customFormat="1" ht="21">
      <c r="C67" s="660" t="str">
        <f>BASEBUDGETS!B2159</f>
        <v xml:space="preserve">   - Annual Repairs &amp; Maintenance</v>
      </c>
      <c r="D67" s="765">
        <f>BASEBUDGETS!D2159</f>
        <v>3</v>
      </c>
      <c r="E67" s="775" t="e">
        <f>BASEBUDGETS!E2159/BASEBUDGETS!C$2133</f>
        <v>#DIV/0!</v>
      </c>
      <c r="F67" s="769" t="str">
        <f>BASEBUDGETS!C2159</f>
        <v>acre</v>
      </c>
      <c r="G67" s="757"/>
      <c r="H67" s="757"/>
      <c r="I67" s="756"/>
      <c r="J67" s="778" t="s">
        <v>10</v>
      </c>
    </row>
    <row r="68" spans="2:10" s="611" customFormat="1" ht="21">
      <c r="C68" s="660" t="str">
        <f>BASEBUDGETS!B2160</f>
        <v>Drip-tape - Irrigation Water</v>
      </c>
      <c r="D68" s="765">
        <f>BASEBUDGETS!D2160</f>
        <v>55</v>
      </c>
      <c r="E68" s="775" t="e">
        <f>BASEBUDGETS!E2160/BASEBUDGETS!C$2133</f>
        <v>#DIV/0!</v>
      </c>
      <c r="F68" s="769" t="str">
        <f>BASEBUDGETS!C2160</f>
        <v>ac ft</v>
      </c>
      <c r="G68" s="756"/>
      <c r="H68" s="756"/>
      <c r="I68" s="756"/>
      <c r="J68" s="765"/>
    </row>
    <row r="69" spans="2:10" s="611" customFormat="1" ht="21">
      <c r="C69" s="660" t="str">
        <f>BASEBUDGETS!B2161</f>
        <v>Drip-tape - Irrigation Labor</v>
      </c>
      <c r="D69" s="765">
        <f>BASEBUDGETS!D2161</f>
        <v>14.55</v>
      </c>
      <c r="E69" s="775" t="e">
        <f>BASEBUDGETS!E2161/BASEBUDGETS!C$2133</f>
        <v>#DIV/0!</v>
      </c>
      <c r="F69" s="769" t="str">
        <f>BASEBUDGETS!C2161</f>
        <v>hour</v>
      </c>
      <c r="G69" s="756"/>
      <c r="H69" s="756"/>
      <c r="I69" s="756"/>
      <c r="J69" s="765"/>
    </row>
    <row r="70" spans="2:10" s="611" customFormat="1" ht="21">
      <c r="C70" s="660" t="str">
        <f>BASEBUDGETS!B2162</f>
        <v xml:space="preserve">   - Annual Repairs &amp; Maintenance</v>
      </c>
      <c r="D70" s="765">
        <f>BASEBUDGETS!D2162</f>
        <v>7.5</v>
      </c>
      <c r="E70" s="775" t="e">
        <f>BASEBUDGETS!E2162/BASEBUDGETS!C$2133</f>
        <v>#DIV/0!</v>
      </c>
      <c r="F70" s="769" t="str">
        <f>BASEBUDGETS!C2162</f>
        <v>acre</v>
      </c>
      <c r="G70" s="756"/>
      <c r="H70" s="756"/>
      <c r="I70" s="756"/>
      <c r="J70" s="765"/>
    </row>
    <row r="71" spans="2:10" s="611" customFormat="1" ht="21">
      <c r="C71" s="660" t="str">
        <f>BASEBUDGETS!B2163</f>
        <v>Sprinkler - Irrigation Water</v>
      </c>
      <c r="D71" s="765">
        <f>BASEBUDGETS!D2163</f>
        <v>55</v>
      </c>
      <c r="E71" s="775" t="e">
        <f>BASEBUDGETS!E2163/BASEBUDGETS!C$2133</f>
        <v>#DIV/0!</v>
      </c>
      <c r="F71" s="769" t="str">
        <f>BASEBUDGETS!C2163</f>
        <v>ac ft</v>
      </c>
      <c r="G71" s="756"/>
      <c r="H71" s="756"/>
      <c r="I71" s="756"/>
      <c r="J71" s="765"/>
    </row>
    <row r="72" spans="2:10" s="611" customFormat="1" ht="21">
      <c r="C72" s="660" t="str">
        <f>BASEBUDGETS!B2164</f>
        <v>Sprinkler - Irrigation Labor</v>
      </c>
      <c r="D72" s="765">
        <f>BASEBUDGETS!D2164</f>
        <v>14.55</v>
      </c>
      <c r="E72" s="775" t="e">
        <f>BASEBUDGETS!E2164/BASEBUDGETS!C$2133</f>
        <v>#DIV/0!</v>
      </c>
      <c r="F72" s="769" t="str">
        <f>BASEBUDGETS!C2164</f>
        <v>hour</v>
      </c>
      <c r="G72" s="756"/>
      <c r="H72" s="756"/>
      <c r="I72" s="756"/>
      <c r="J72" s="765"/>
    </row>
    <row r="73" spans="2:10" s="611" customFormat="1" ht="21">
      <c r="C73" s="660" t="str">
        <f>BASEBUDGETS!B2165</f>
        <v xml:space="preserve">   - Annual Repairs &amp; Maintenance</v>
      </c>
      <c r="D73" s="765">
        <f>BASEBUDGETS!D2165</f>
        <v>15</v>
      </c>
      <c r="E73" s="775" t="e">
        <f>BASEBUDGETS!E2165/BASEBUDGETS!C$2133</f>
        <v>#DIV/0!</v>
      </c>
      <c r="F73" s="769" t="str">
        <f>BASEBUDGETS!C2165</f>
        <v>acre</v>
      </c>
      <c r="G73" s="756"/>
      <c r="H73" s="756"/>
      <c r="I73" s="756"/>
      <c r="J73" s="765"/>
    </row>
    <row r="74" spans="2:10" s="611" customFormat="1" ht="21">
      <c r="C74" s="660" t="str">
        <f>BASEBUDGETS!B2243</f>
        <v>Additional Crop Prod. Labor</v>
      </c>
      <c r="D74" s="765">
        <f>GeneralInputPrices!$D$31</f>
        <v>14.55</v>
      </c>
      <c r="E74" s="771" t="e">
        <f>BASEBUDGETS!E2243/BASEBUDGETS!C2133</f>
        <v>#DIV/0!</v>
      </c>
      <c r="F74" s="770" t="str">
        <f>BASEBUDGETS!C2243</f>
        <v>hour</v>
      </c>
      <c r="G74" s="756" t="e">
        <f>D74*E74</f>
        <v>#DIV/0!</v>
      </c>
      <c r="H74" s="756">
        <v>0</v>
      </c>
      <c r="I74" s="756">
        <v>0</v>
      </c>
      <c r="J74" s="765" t="e">
        <f t="shared" ref="J74:J75" si="2">G74+H74+I74</f>
        <v>#DIV/0!</v>
      </c>
    </row>
    <row r="75" spans="2:10" s="611" customFormat="1" ht="21">
      <c r="C75" s="660" t="str">
        <f>BASEBUDGETS!B2244</f>
        <v>Additional Crop Prod. Labor</v>
      </c>
      <c r="D75" s="765">
        <f>GeneralInputPrices!$D$31</f>
        <v>14.55</v>
      </c>
      <c r="E75" s="771" t="e">
        <f>BASEBUDGETS!E2244/BASEBUDGETS!C2133</f>
        <v>#DIV/0!</v>
      </c>
      <c r="F75" s="770" t="str">
        <f>BASEBUDGETS!C2244</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BASEBUDGETS!B2166</f>
        <v>Harvest, Custom</v>
      </c>
      <c r="D77" s="765">
        <f>CustomOperations!Q37</f>
        <v>25</v>
      </c>
      <c r="E77" s="771" t="e">
        <f>BASEBUDGETS!E2166/BASEBUDGETS!C2133</f>
        <v>#DIV/0!</v>
      </c>
      <c r="F77" s="770" t="str">
        <f>BASEBUDGETS!C2166</f>
        <v>acre</v>
      </c>
      <c r="G77" s="756">
        <v>0</v>
      </c>
      <c r="H77" s="756">
        <v>0</v>
      </c>
      <c r="I77" s="756" t="e">
        <f>IF(E77=0,0,BASEBUDGETS!D2166*E77)</f>
        <v>#DIV/0!</v>
      </c>
      <c r="J77" s="765" t="e">
        <f t="shared" ref="J77:J88" si="3">G77+H77+I77</f>
        <v>#DIV/0!</v>
      </c>
    </row>
    <row r="78" spans="2:10" s="611" customFormat="1" ht="21">
      <c r="C78" s="660" t="str">
        <f>BASEBUDGETS!B2167</f>
        <v>Hauling, Custom</v>
      </c>
      <c r="D78" s="765">
        <f>CustomOperations!Q39</f>
        <v>0</v>
      </c>
      <c r="E78" s="771" t="e">
        <f>BASEBUDGETS!E2167/BASEBUDGETS!C2133</f>
        <v>#DIV/0!</v>
      </c>
      <c r="F78" s="770" t="str">
        <f>BASEBUDGETS!C2167</f>
        <v>mile</v>
      </c>
      <c r="G78" s="756">
        <v>0</v>
      </c>
      <c r="H78" s="756">
        <v>0</v>
      </c>
      <c r="I78" s="756" t="e">
        <f>IF(E78=0,0,BASEBUDGETS!D2167*E78)</f>
        <v>#DIV/0!</v>
      </c>
      <c r="J78" s="765" t="e">
        <f t="shared" si="3"/>
        <v>#DIV/0!</v>
      </c>
    </row>
    <row r="79" spans="2:10" s="611" customFormat="1" ht="21">
      <c r="C79" s="660" t="str">
        <f>BASEBUDGETS!B2168</f>
        <v>Gin Cotton/Drying/Swathing, Custom</v>
      </c>
      <c r="D79" s="765">
        <f>CustomOperations!Q41</f>
        <v>0</v>
      </c>
      <c r="E79" s="771" t="e">
        <f>BASEBUDGETS!E2168/BASEBUDGETS!C2133</f>
        <v>#DIV/0!</v>
      </c>
      <c r="F79" s="770" t="str">
        <f>BASEBUDGETS!C2168</f>
        <v>bale</v>
      </c>
      <c r="G79" s="756">
        <v>0</v>
      </c>
      <c r="H79" s="756">
        <v>0</v>
      </c>
      <c r="I79" s="756" t="e">
        <f>IF(E79=0,0,BASEBUDGETS!D2168*E79)</f>
        <v>#DIV/0!</v>
      </c>
      <c r="J79" s="765" t="e">
        <f t="shared" si="3"/>
        <v>#DIV/0!</v>
      </c>
    </row>
    <row r="80" spans="2:10" s="611" customFormat="1" ht="21">
      <c r="C80" s="660" t="str">
        <f>TillageOperations!$B$27</f>
        <v>Cotton Picker</v>
      </c>
      <c r="D80" s="765"/>
      <c r="E80" s="771" t="e">
        <f>BASEBUDGETS!E2210/BASEBUDGETS!C2133</f>
        <v>#DIV/0!</v>
      </c>
      <c r="F80" s="770" t="str">
        <f>BASEBUDGETS!C2210</f>
        <v>acre</v>
      </c>
      <c r="G80" s="756" t="e">
        <f>IF(E80=0,0,BASEBUDGETS!D2211*E80)</f>
        <v>#DIV/0!</v>
      </c>
      <c r="H80" s="756" t="e">
        <f>IF(E80=0,0,BASEBUDGETS!D2210*E80)</f>
        <v>#DIV/0!</v>
      </c>
      <c r="I80" s="756">
        <v>0</v>
      </c>
      <c r="J80" s="765" t="e">
        <f t="shared" si="3"/>
        <v>#DIV/0!</v>
      </c>
    </row>
    <row r="81" spans="2:10" s="611" customFormat="1" ht="21">
      <c r="C81" s="781" t="s">
        <v>287</v>
      </c>
      <c r="D81" s="765"/>
      <c r="E81" s="771" t="e">
        <f>BASEBUDGETS!E2212/BASEBUDGETS!C2133</f>
        <v>#DIV/0!</v>
      </c>
      <c r="F81" s="770" t="str">
        <f>BASEBUDGETS!C2212</f>
        <v>acre</v>
      </c>
      <c r="G81" s="756" t="e">
        <f>IF(E81=0,0,BASEBUDGETS!D2213*E81)</f>
        <v>#DIV/0!</v>
      </c>
      <c r="H81" s="756" t="e">
        <f>IF(E81=0,0,BASEBUDGETS!D2212*E81)</f>
        <v>#DIV/0!</v>
      </c>
      <c r="I81" s="756">
        <v>0</v>
      </c>
      <c r="J81" s="765" t="e">
        <f t="shared" si="3"/>
        <v>#DIV/0!</v>
      </c>
    </row>
    <row r="82" spans="2:10" s="611" customFormat="1" ht="21">
      <c r="C82" s="660" t="str">
        <f>TillageOperations!$B$29</f>
        <v>Haul Cotton</v>
      </c>
      <c r="D82" s="765"/>
      <c r="E82" s="771" t="e">
        <f>BASEBUDGETS!E2214/BASEBUDGETS!C2133</f>
        <v>#DIV/0!</v>
      </c>
      <c r="F82" s="770" t="str">
        <f>BASEBUDGETS!C2214</f>
        <v>acre</v>
      </c>
      <c r="G82" s="756" t="e">
        <f>IF(E82=0,0,BASEBUDGETS!D2215*E82)</f>
        <v>#DIV/0!</v>
      </c>
      <c r="H82" s="756" t="e">
        <f>IF(E82=0,0,BASEBUDGETS!D2214*E82)</f>
        <v>#DIV/0!</v>
      </c>
      <c r="I82" s="756">
        <v>0</v>
      </c>
      <c r="J82" s="765" t="e">
        <f t="shared" si="3"/>
        <v>#DIV/0!</v>
      </c>
    </row>
    <row r="83" spans="2:10" s="611" customFormat="1" ht="21">
      <c r="C83" s="660" t="str">
        <f>TillageOperations!$B$30</f>
        <v>Combine</v>
      </c>
      <c r="D83" s="765"/>
      <c r="E83" s="771" t="e">
        <f>BASEBUDGETS!E2218/BASEBUDGETS!C2133</f>
        <v>#DIV/0!</v>
      </c>
      <c r="F83" s="770" t="str">
        <f>BASEBUDGETS!C2218</f>
        <v>acre</v>
      </c>
      <c r="G83" s="756" t="e">
        <f>IF(E83=0,0,BASEBUDGETS!D2219*E83)</f>
        <v>#DIV/0!</v>
      </c>
      <c r="H83" s="756" t="e">
        <f>IF(E83=0,0,BASEBUDGETS!D2218*E83)</f>
        <v>#DIV/0!</v>
      </c>
      <c r="I83" s="756">
        <v>0</v>
      </c>
      <c r="J83" s="765" t="e">
        <f t="shared" si="3"/>
        <v>#DIV/0!</v>
      </c>
    </row>
    <row r="84" spans="2:10" s="611" customFormat="1" ht="21">
      <c r="C84" s="660" t="str">
        <f>TillageOperations!$B$31</f>
        <v>Grain Cart</v>
      </c>
      <c r="D84" s="765"/>
      <c r="E84" s="771" t="e">
        <f>BASEBUDGETS!E2220/BASEBUDGETS!C2133</f>
        <v>#DIV/0!</v>
      </c>
      <c r="F84" s="770" t="str">
        <f>BASEBUDGETS!C2220</f>
        <v>acre</v>
      </c>
      <c r="G84" s="756" t="e">
        <f>IF(E84=0,0,BASEBUDGETS!D2221*E84)</f>
        <v>#DIV/0!</v>
      </c>
      <c r="H84" s="756" t="e">
        <f>IF(E84=0,0,BASEBUDGETS!D2220*E84)</f>
        <v>#DIV/0!</v>
      </c>
      <c r="I84" s="756">
        <v>0</v>
      </c>
      <c r="J84" s="765" t="e">
        <f t="shared" si="3"/>
        <v>#DIV/0!</v>
      </c>
    </row>
    <row r="85" spans="2:10" s="611" customFormat="1" ht="21">
      <c r="C85" s="660" t="str">
        <f>TillageOperations!$B$32</f>
        <v>Swather</v>
      </c>
      <c r="D85" s="765"/>
      <c r="E85" s="771" t="e">
        <f>BASEBUDGETS!E2222/BASEBUDGETS!C2133</f>
        <v>#DIV/0!</v>
      </c>
      <c r="F85" s="770" t="str">
        <f>BASEBUDGETS!C2222</f>
        <v>acre</v>
      </c>
      <c r="G85" s="756" t="e">
        <f>IF(E85=0,0,BASEBUDGETS!D2223*E85)</f>
        <v>#DIV/0!</v>
      </c>
      <c r="H85" s="756" t="e">
        <f>IF(E85=0,0,BASEBUDGETS!D2222*E85)</f>
        <v>#DIV/0!</v>
      </c>
      <c r="I85" s="756">
        <v>0</v>
      </c>
      <c r="J85" s="765" t="e">
        <f t="shared" si="3"/>
        <v>#DIV/0!</v>
      </c>
    </row>
    <row r="86" spans="2:10" s="611" customFormat="1" ht="21">
      <c r="C86" s="660" t="str">
        <f>TillageOperations!$B$33</f>
        <v>Baler</v>
      </c>
      <c r="D86" s="765"/>
      <c r="E86" s="771" t="e">
        <f>BASEBUDGETS!E2224/BASEBUDGETS!C2133</f>
        <v>#DIV/0!</v>
      </c>
      <c r="F86" s="770" t="str">
        <f>BASEBUDGETS!C2224</f>
        <v>acre</v>
      </c>
      <c r="G86" s="756" t="e">
        <f>IF(E86=0,0,BASEBUDGETS!D2225*E86)</f>
        <v>#DIV/0!</v>
      </c>
      <c r="H86" s="756" t="e">
        <f>IF(E86=0,0,BASEBUDGETS!D2224*E86)</f>
        <v>#DIV/0!</v>
      </c>
      <c r="I86" s="756" t="e">
        <f>IF(E86=0,0,D89*E89)</f>
        <v>#DIV/0!</v>
      </c>
      <c r="J86" s="765" t="e">
        <f t="shared" si="3"/>
        <v>#DIV/0!</v>
      </c>
    </row>
    <row r="87" spans="2:10" s="611" customFormat="1" ht="21">
      <c r="C87" s="660" t="str">
        <f>TillageOperations!$B$34</f>
        <v>Swather</v>
      </c>
      <c r="D87" s="765"/>
      <c r="E87" s="771" t="e">
        <f>BASEBUDGETS!E2226/BASEBUDGETS!C2133</f>
        <v>#DIV/0!</v>
      </c>
      <c r="F87" s="770" t="str">
        <f>BASEBUDGETS!C2226</f>
        <v>acre</v>
      </c>
      <c r="G87" s="756" t="e">
        <f>IF(E87=0,0,BASEBUDGETS!D2227*E87)</f>
        <v>#DIV/0!</v>
      </c>
      <c r="H87" s="756" t="e">
        <f>IF(E87=0,0,BASEBUDGETS!D2226*E87)</f>
        <v>#DIV/0!</v>
      </c>
      <c r="I87" s="756">
        <v>0</v>
      </c>
      <c r="J87" s="765" t="e">
        <f t="shared" si="3"/>
        <v>#DIV/0!</v>
      </c>
    </row>
    <row r="88" spans="2:10" s="611" customFormat="1" ht="21">
      <c r="C88" s="660" t="str">
        <f>TillageOperations!$B$35</f>
        <v>Baler</v>
      </c>
      <c r="D88" s="765"/>
      <c r="E88" s="771" t="e">
        <f>BASEBUDGETS!E2228/BASEBUDGETS!C2133</f>
        <v>#DIV/0!</v>
      </c>
      <c r="F88" s="770" t="str">
        <f>BASEBUDGETS!C2228</f>
        <v>acre</v>
      </c>
      <c r="G88" s="756" t="e">
        <f>IF(E88=0,0,BASEBUDGETS!D2229*E88)</f>
        <v>#DIV/0!</v>
      </c>
      <c r="H88" s="756" t="e">
        <f>IF(E88=0,0,BASEBUDGETS!D2228*E88)</f>
        <v>#DIV/0!</v>
      </c>
      <c r="I88" s="756" t="e">
        <f>IF(E88=0,0,D89*E89)</f>
        <v>#DIV/0!</v>
      </c>
      <c r="J88" s="765" t="e">
        <f t="shared" si="3"/>
        <v>#DIV/0!</v>
      </c>
    </row>
    <row r="89" spans="2:10" s="611" customFormat="1" ht="21">
      <c r="C89" s="660" t="str">
        <f>'Inputs&amp;PricesbyCrop'!$B$31</f>
        <v xml:space="preserve">   - Baling Twine</v>
      </c>
      <c r="D89" s="765">
        <f>BASEBUDGETS!D2230</f>
        <v>0</v>
      </c>
      <c r="E89" s="775" t="e">
        <f>BASEBUDGETS!E2230/BASEBUDGETS!C2133</f>
        <v>#DIV/0!</v>
      </c>
      <c r="F89" s="769" t="str">
        <f>'Inputs&amp;PricesbyCrop'!$C$31</f>
        <v>acre</v>
      </c>
      <c r="G89" s="756"/>
      <c r="H89" s="756"/>
      <c r="I89" s="756"/>
      <c r="J89" s="765"/>
    </row>
    <row r="90" spans="2:10" s="611" customFormat="1" ht="21">
      <c r="C90" s="660" t="str">
        <f>TillageOperations!$B$36</f>
        <v>Bale Wagon</v>
      </c>
      <c r="D90" s="765"/>
      <c r="E90" s="771" t="e">
        <f>BASEBUDGETS!E2231/BASEBUDGETS!C2133</f>
        <v>#DIV/0!</v>
      </c>
      <c r="F90" s="770" t="str">
        <f>BASEBUDGETS!C2231</f>
        <v>acre</v>
      </c>
      <c r="G90" s="756" t="e">
        <f>IF(E90=0,0,BASEBUDGETS!D2232*E90)</f>
        <v>#DIV/0!</v>
      </c>
      <c r="H90" s="756" t="e">
        <f>IF(E90=0,0,BASEBUDGETS!D2231*E90)</f>
        <v>#DIV/0!</v>
      </c>
      <c r="I90" s="756">
        <v>0</v>
      </c>
      <c r="J90" s="765" t="e">
        <f t="shared" ref="J90:J92" si="4">G90+H90+I90</f>
        <v>#DIV/0!</v>
      </c>
    </row>
    <row r="91" spans="2:10" s="611" customFormat="1" ht="21">
      <c r="C91" s="660" t="str">
        <f>BASEBUDGETS!B2245</f>
        <v>Additional Harvest Labor</v>
      </c>
      <c r="D91" s="765">
        <f>GeneralInputPrices!$D$32</f>
        <v>17.89</v>
      </c>
      <c r="E91" s="771" t="e">
        <f>BASEBUDGETS!E2245/BASEBUDGETS!C2133</f>
        <v>#DIV/0!</v>
      </c>
      <c r="F91" s="770" t="str">
        <f>BASEBUDGETS!C2245</f>
        <v>hour</v>
      </c>
      <c r="G91" s="756" t="e">
        <f>D91*E91</f>
        <v>#DIV/0!</v>
      </c>
      <c r="H91" s="756">
        <v>0</v>
      </c>
      <c r="I91" s="756">
        <v>0</v>
      </c>
      <c r="J91" s="765" t="e">
        <f t="shared" si="4"/>
        <v>#DIV/0!</v>
      </c>
    </row>
    <row r="92" spans="2:10" s="611" customFormat="1" ht="21">
      <c r="C92" s="660" t="str">
        <f>BASEBUDGETS!B2246</f>
        <v>Additional Harvest Labor</v>
      </c>
      <c r="D92" s="765">
        <f>GeneralInputPrices!$D$32</f>
        <v>17.89</v>
      </c>
      <c r="E92" s="771" t="e">
        <f>BASEBUDGETS!E2246/BASEBUDGETS!C2133</f>
        <v>#DIV/0!</v>
      </c>
      <c r="F92" s="770" t="str">
        <f>BASEBUDGETS!C2246</f>
        <v>hour</v>
      </c>
      <c r="G92" s="756" t="e">
        <f>D92*E92</f>
        <v>#DIV/0!</v>
      </c>
      <c r="H92" s="756">
        <v>0</v>
      </c>
      <c r="I92" s="756">
        <v>0</v>
      </c>
      <c r="J92" s="765" t="e">
        <f t="shared" si="4"/>
        <v>#DIV/0!</v>
      </c>
    </row>
    <row r="93" spans="2:10" s="611" customFormat="1" ht="21">
      <c r="B93" s="760" t="s">
        <v>184</v>
      </c>
      <c r="C93" s="760"/>
      <c r="D93" s="765"/>
      <c r="E93" s="771"/>
      <c r="F93" s="770"/>
      <c r="G93" s="756"/>
      <c r="H93" s="756"/>
      <c r="I93" s="756"/>
      <c r="J93" s="765"/>
    </row>
    <row r="94" spans="2:10" s="611" customFormat="1" ht="21">
      <c r="C94" s="660" t="str">
        <f>BASEBUDGETS!B2247</f>
        <v>Other Expenses</v>
      </c>
      <c r="D94" s="765"/>
      <c r="E94" s="783">
        <f>BASEBUDGETS!D2247</f>
        <v>0.05</v>
      </c>
      <c r="F94" s="780" t="s">
        <v>10</v>
      </c>
      <c r="G94" s="756">
        <v>0</v>
      </c>
      <c r="H94" s="756">
        <v>0</v>
      </c>
      <c r="I94" s="756" t="e">
        <f>SUM(J9:J92)*E94</f>
        <v>#DIV/0!</v>
      </c>
      <c r="J94" s="765" t="e">
        <f>G94+H94+I94</f>
        <v>#DIV/0!</v>
      </c>
    </row>
    <row r="95" spans="2:10" s="611" customFormat="1" ht="21">
      <c r="C95" s="660" t="str">
        <f>BASEBUDGETS!B2248</f>
        <v>Interest on Operating Capital</v>
      </c>
      <c r="D95" s="765"/>
      <c r="E95" s="783">
        <f>BASEBUDGETS!D2248</f>
        <v>0.06</v>
      </c>
      <c r="F95" s="780" t="s">
        <v>10</v>
      </c>
      <c r="G95" s="784">
        <v>0</v>
      </c>
      <c r="H95" s="784">
        <v>0</v>
      </c>
      <c r="I95" s="784" t="e">
        <f>SUM(J9:J94)*((E95/12)*GeneralInputPrices!$D$39)</f>
        <v>#DIV/0!</v>
      </c>
      <c r="J95" s="785" t="e">
        <f>G95+H95+I95</f>
        <v>#DIV/0!</v>
      </c>
    </row>
    <row r="96" spans="2:10" s="611" customFormat="1" ht="21">
      <c r="B96" s="660" t="s">
        <v>153</v>
      </c>
      <c r="C96" s="660"/>
      <c r="D96" s="765"/>
      <c r="E96" s="758"/>
      <c r="F96" s="660"/>
      <c r="G96" s="756" t="e">
        <f>SUM(G9:G95)</f>
        <v>#DIV/0!</v>
      </c>
      <c r="H96" s="756" t="e">
        <f>SUM(H9:H95)</f>
        <v>#DIV/0!</v>
      </c>
      <c r="I96" s="756" t="e">
        <f>SUM(I9:I95)</f>
        <v>#DIV/0!</v>
      </c>
      <c r="J96" s="756" t="e">
        <f>SUM(J9:J95)</f>
        <v>#DIV/0!</v>
      </c>
    </row>
    <row r="97" spans="2:10" s="611" customFormat="1">
      <c r="D97" s="786"/>
      <c r="E97" s="774"/>
      <c r="G97" s="757"/>
      <c r="H97" s="757"/>
      <c r="I97" s="757"/>
      <c r="J97" s="757"/>
    </row>
    <row r="98" spans="2:10" s="611" customFormat="1" ht="21">
      <c r="B98" s="660" t="s">
        <v>155</v>
      </c>
      <c r="C98" s="660"/>
      <c r="D98" s="765"/>
      <c r="E98" s="758"/>
      <c r="F98" s="660"/>
      <c r="G98" s="756"/>
      <c r="H98" s="756"/>
      <c r="I98" s="756"/>
      <c r="J98" s="756" t="e">
        <f>J5-J96</f>
        <v>#DIV/0!</v>
      </c>
    </row>
    <row r="99" spans="2:10" s="611" customFormat="1">
      <c r="D99" s="786"/>
      <c r="E99" s="774"/>
      <c r="G99" s="757"/>
      <c r="H99" s="757"/>
      <c r="I99" s="757"/>
      <c r="J99" s="757"/>
    </row>
    <row r="100" spans="2:10" s="611" customFormat="1" ht="21">
      <c r="B100" s="787" t="s">
        <v>78</v>
      </c>
      <c r="C100" s="787"/>
      <c r="D100" s="787"/>
      <c r="E100" s="787"/>
      <c r="F100" s="787"/>
      <c r="G100" s="791"/>
      <c r="H100" s="792" t="s">
        <v>1</v>
      </c>
      <c r="I100" s="767" t="s">
        <v>24</v>
      </c>
      <c r="J100" s="767" t="s">
        <v>0</v>
      </c>
    </row>
    <row r="101" spans="2:10" s="611" customFormat="1" ht="21">
      <c r="B101" s="754" t="str">
        <f>BASEBUDGETS!B2283</f>
        <v>Crop Insurance</v>
      </c>
      <c r="C101" s="754"/>
      <c r="D101" s="754"/>
      <c r="E101" s="754"/>
      <c r="F101" s="754"/>
      <c r="G101" s="757"/>
      <c r="H101" s="770" t="str">
        <f>BASEBUDGETS!C2283</f>
        <v>acre</v>
      </c>
      <c r="I101" s="756" t="e">
        <f>BASEBUDGETS!F2283/BASEBUDGETS!C2133</f>
        <v>#DIV/0!</v>
      </c>
      <c r="J101" s="756" t="e">
        <f>I101</f>
        <v>#DIV/0!</v>
      </c>
    </row>
    <row r="102" spans="2:10" s="611" customFormat="1" ht="21">
      <c r="B102" s="760" t="str">
        <f>BASEBUDGETS!B2284</f>
        <v>Property Insurance</v>
      </c>
      <c r="C102" s="760"/>
      <c r="D102" s="760"/>
      <c r="E102" s="760"/>
      <c r="F102" s="760"/>
      <c r="G102" s="757"/>
      <c r="H102" s="770" t="str">
        <f>BASEBUDGETS!C2284</f>
        <v>acre</v>
      </c>
      <c r="I102" s="756" t="e">
        <f>BASEBUDGETS!F2284/BASEBUDGETS!C2133</f>
        <v>#DIV/0!</v>
      </c>
      <c r="J102" s="756" t="e">
        <f>I102</f>
        <v>#DIV/0!</v>
      </c>
    </row>
    <row r="103" spans="2:10" s="611" customFormat="1" ht="21">
      <c r="B103" s="760" t="str">
        <f>BASEBUDGETS!B2285</f>
        <v>Property Taxes</v>
      </c>
      <c r="C103" s="760"/>
      <c r="D103" s="760"/>
      <c r="E103" s="760"/>
      <c r="F103" s="760"/>
      <c r="G103" s="757"/>
      <c r="H103" s="770" t="str">
        <f>BASEBUDGETS!C2285</f>
        <v>acre</v>
      </c>
      <c r="I103" s="756" t="e">
        <f>BASEBUDGETS!F2285/BASEBUDGETS!C2133</f>
        <v>#DIV/0!</v>
      </c>
      <c r="J103" s="756" t="e">
        <f t="shared" ref="J103:J106" si="5">I103</f>
        <v>#DIV/0!</v>
      </c>
    </row>
    <row r="104" spans="2:10" s="611" customFormat="1" ht="21">
      <c r="B104" s="760" t="str">
        <f>BASEBUDGETS!B2288</f>
        <v>Licenses and Fees</v>
      </c>
      <c r="C104" s="760"/>
      <c r="D104" s="760"/>
      <c r="E104" s="760"/>
      <c r="F104" s="760"/>
      <c r="G104" s="757"/>
      <c r="H104" s="770" t="str">
        <f>BASEBUDGETS!C2288</f>
        <v>acre</v>
      </c>
      <c r="I104" s="756" t="e">
        <f>BASEBUDGETS!F2288/BASEBUDGETS!C2133</f>
        <v>#DIV/0!</v>
      </c>
      <c r="J104" s="756" t="e">
        <f t="shared" si="5"/>
        <v>#DIV/0!</v>
      </c>
    </row>
    <row r="105" spans="2:10" s="611" customFormat="1" ht="21">
      <c r="B105" s="794" t="s">
        <v>484</v>
      </c>
      <c r="C105" s="794"/>
      <c r="D105" s="794"/>
      <c r="E105" s="794"/>
      <c r="F105" s="794"/>
      <c r="G105" s="794"/>
      <c r="H105" s="770" t="s">
        <v>157</v>
      </c>
      <c r="I105" s="756">
        <f>IF('AcresYieldsPrices&amp;Water'!D9=0,0,((Fallow!$L$17*'AcresYieldsPrices&amp;Water'!T21)/'AcresYieldsPrices&amp;Water'!D15)*-1)</f>
        <v>0</v>
      </c>
      <c r="J105" s="765">
        <f>I105</f>
        <v>0</v>
      </c>
    </row>
    <row r="106" spans="2:10" s="611" customFormat="1" ht="21">
      <c r="B106" s="760" t="str">
        <f>BASEBUDGETS!B2286</f>
        <v>Annual Cash Rent Payment</v>
      </c>
      <c r="C106" s="760"/>
      <c r="D106" s="760"/>
      <c r="E106" s="760"/>
      <c r="F106" s="760"/>
      <c r="G106" s="757"/>
      <c r="H106" s="770" t="str">
        <f>BASEBUDGETS!C2286</f>
        <v>acre</v>
      </c>
      <c r="I106" s="756" t="e">
        <f>BASEBUDGETS!F2286/BASEBUDGETS!C2133</f>
        <v>#DIV/0!</v>
      </c>
      <c r="J106" s="784" t="e">
        <f t="shared" si="5"/>
        <v>#DIV/0!</v>
      </c>
    </row>
    <row r="107" spans="2:10" s="611" customFormat="1" ht="21">
      <c r="B107" s="760" t="s">
        <v>79</v>
      </c>
      <c r="C107" s="760"/>
      <c r="D107" s="760"/>
      <c r="E107" s="760"/>
      <c r="F107" s="760"/>
      <c r="G107" s="756"/>
      <c r="H107" s="756"/>
      <c r="I107" s="756"/>
      <c r="J107" s="765" t="e">
        <f>SUM(J101:J106)</f>
        <v>#DIV/0!</v>
      </c>
    </row>
    <row r="108" spans="2:10" s="611" customFormat="1">
      <c r="D108" s="786"/>
      <c r="E108" s="774"/>
      <c r="G108" s="757"/>
      <c r="H108" s="757"/>
      <c r="I108" s="757"/>
      <c r="J108" s="786"/>
    </row>
    <row r="109" spans="2:10" s="611" customFormat="1" ht="21">
      <c r="B109" s="805" t="s">
        <v>154</v>
      </c>
      <c r="C109" s="805"/>
      <c r="D109" s="805"/>
      <c r="E109" s="805"/>
      <c r="F109" s="805"/>
      <c r="G109" s="791"/>
      <c r="H109" s="792" t="s">
        <v>1</v>
      </c>
      <c r="I109" s="767" t="s">
        <v>24</v>
      </c>
      <c r="J109" s="767" t="s">
        <v>0</v>
      </c>
    </row>
    <row r="110" spans="2:10" s="611" customFormat="1" ht="21">
      <c r="B110" s="760" t="s">
        <v>534</v>
      </c>
      <c r="C110" s="760"/>
      <c r="D110" s="760"/>
      <c r="E110" s="760"/>
      <c r="F110" s="760"/>
      <c r="G110" s="760"/>
      <c r="H110" s="770" t="s">
        <v>157</v>
      </c>
      <c r="I110" s="756" t="e">
        <f>SUM(BASEBUDGETS!F2252:F2254)/BASEBUDGETS!C2133</f>
        <v>#DIV/0!</v>
      </c>
      <c r="J110" s="765" t="e">
        <f>I110</f>
        <v>#DIV/0!</v>
      </c>
    </row>
    <row r="111" spans="2:10" s="611" customFormat="1" ht="21">
      <c r="B111" s="794" t="s">
        <v>156</v>
      </c>
      <c r="C111" s="794"/>
      <c r="D111" s="794"/>
      <c r="E111" s="794"/>
      <c r="F111" s="794"/>
      <c r="G111" s="756"/>
      <c r="H111" s="770" t="str">
        <f>BASEBUDGETS!C2252</f>
        <v>acre</v>
      </c>
      <c r="I111" s="758" t="e">
        <f>SUM(BASEBUDGETS!F2255:F2282)/BASEBUDGETS!C2133</f>
        <v>#DIV/0!</v>
      </c>
      <c r="J111" s="797" t="e">
        <f>I111</f>
        <v>#DIV/0!</v>
      </c>
    </row>
    <row r="112" spans="2:10" s="611" customFormat="1" ht="21">
      <c r="B112" s="807" t="s">
        <v>77</v>
      </c>
      <c r="C112" s="807"/>
      <c r="D112" s="807"/>
      <c r="E112" s="807"/>
      <c r="F112" s="807"/>
      <c r="G112" s="756"/>
      <c r="H112" s="756"/>
      <c r="I112" s="756"/>
      <c r="J112" s="678" t="e">
        <f>J111+J110</f>
        <v>#DIV/0!</v>
      </c>
    </row>
    <row r="113" spans="2:10" s="611" customFormat="1" ht="21">
      <c r="B113" s="660"/>
      <c r="C113" s="660"/>
      <c r="D113" s="765"/>
      <c r="E113" s="758"/>
      <c r="F113" s="660"/>
      <c r="G113" s="756"/>
      <c r="H113" s="756"/>
      <c r="I113" s="756"/>
      <c r="J113" s="765"/>
    </row>
    <row r="114" spans="2:10" s="611" customFormat="1" ht="20.399999999999999">
      <c r="B114" s="808" t="s">
        <v>63</v>
      </c>
      <c r="C114" s="808"/>
      <c r="D114" s="808"/>
      <c r="E114" s="808"/>
      <c r="F114" s="808"/>
      <c r="G114" s="764"/>
      <c r="H114" s="764"/>
      <c r="I114" s="764"/>
      <c r="J114" s="801">
        <f>IF(I4=0,0,J96+J107+J112)</f>
        <v>0</v>
      </c>
    </row>
    <row r="115" spans="2:10" ht="20.399999999999999">
      <c r="B115" s="805" t="s">
        <v>64</v>
      </c>
      <c r="C115" s="805"/>
      <c r="D115" s="805"/>
      <c r="E115" s="805"/>
      <c r="F115" s="805"/>
      <c r="G115" s="803"/>
      <c r="H115" s="803"/>
      <c r="I115" s="803"/>
      <c r="J115" s="788">
        <f>J5-J114</f>
        <v>0</v>
      </c>
    </row>
  </sheetData>
  <sheetProtection algorithmName="SHA-512" hashValue="56B4IsOCG/nF/XpjAW+dG33lX08WE5pi2UbZUdeQcJoqku7yRKEbw49oTXBxHCBBa8MkeRZKuZD6m8hlRSh31g==" saltValue="Ul50mr+YaA3lMQQQsQHzfg==" spinCount="100000" sheet="1" objects="1" scenarios="1"/>
  <mergeCells count="21">
    <mergeCell ref="B114:F114"/>
    <mergeCell ref="B115:F115"/>
    <mergeCell ref="B104:F104"/>
    <mergeCell ref="B106:F106"/>
    <mergeCell ref="B107:F107"/>
    <mergeCell ref="B109:F109"/>
    <mergeCell ref="B111:F111"/>
    <mergeCell ref="B112:F112"/>
    <mergeCell ref="B105:G105"/>
    <mergeCell ref="B93:C93"/>
    <mergeCell ref="B101:F101"/>
    <mergeCell ref="B102:F102"/>
    <mergeCell ref="B2:F2"/>
    <mergeCell ref="B110:G110"/>
    <mergeCell ref="G2:I2"/>
    <mergeCell ref="B103:F103"/>
    <mergeCell ref="B3:C3"/>
    <mergeCell ref="B8:C8"/>
    <mergeCell ref="B31:C31"/>
    <mergeCell ref="B76:C76"/>
    <mergeCell ref="B4:E4"/>
  </mergeCells>
  <pageMargins left="0.7" right="0.7" top="0.75" bottom="0.75" header="0.3" footer="0.3"/>
  <pageSetup scale="57" orientation="portrait" horizontalDpi="0" verticalDpi="0"/>
  <ignoredErrors>
    <ignoredError sqref="B97:J97 B5:J5 B114:H114 K38:K53 B94:D96 B99:J100 B98:I98 B111:H113 K29:K36 B29:C31 G2 B32:C36 B38:C53 B74:C76 B77:C82 B101:H104 B9:D27 K9:K27 K67:K92 B83:D92 C28:D28 B4 F4:J4 D29:D65 B55:C65 K55:K65 B67:B73 C66:D73 D74:D82 B106:H109 F66:F73" unlockedFormula="1"/>
    <ignoredError sqref="E94:J96 J52:J54 E52:H53 J98 E32:I36 E45:J51 E38:H44 I101:J104 E74:J92 E9:J31 J32:J44 I37:I44 E55:J63 F65:J65 G67:J73 E64:F64 I113:J114 I105:J109 J111 I111 I110:J110 I64:J64 E66:E73 I112:J112" evalError="1" unlockedFormula="1"/>
    <ignoredError sqref="E93:J93 I53 E54:H54 I115:J115 G64:H64 E65" evalError="1"/>
  </ignoredErrors>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DFE25-5BDF-CD4A-8B73-415C23594ECD}">
  <sheetPr codeName="Sheet34">
    <pageSetUpPr fitToPage="1"/>
  </sheetPr>
  <dimension ref="A1:W116"/>
  <sheetViews>
    <sheetView zoomScale="110" zoomScaleNormal="110" workbookViewId="0">
      <selection sqref="A1:XFD1048576"/>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23" width="11.44140625" style="611"/>
    <col min="24" max="16384" width="11.44140625" style="653"/>
  </cols>
  <sheetData>
    <row r="1" spans="2:14" ht="15" thickBot="1">
      <c r="G1" s="828"/>
      <c r="H1" s="828"/>
      <c r="I1" s="828"/>
    </row>
    <row r="2" spans="2:14" ht="22.8">
      <c r="B2" s="746" t="s">
        <v>488</v>
      </c>
      <c r="C2" s="746"/>
      <c r="D2" s="746"/>
      <c r="E2" s="746"/>
      <c r="F2" s="746"/>
      <c r="G2" s="829" t="str">
        <f>'AcresYieldsPrices&amp;Water'!B16</f>
        <v>Alt Crop #2</v>
      </c>
      <c r="H2" s="829"/>
      <c r="I2" s="829"/>
      <c r="J2" s="747" t="s">
        <v>487</v>
      </c>
    </row>
    <row r="3" spans="2:14" ht="22.8">
      <c r="B3" s="748" t="s">
        <v>22</v>
      </c>
      <c r="C3" s="748"/>
      <c r="D3" s="749"/>
      <c r="E3" s="750"/>
      <c r="F3" s="751" t="s">
        <v>1</v>
      </c>
      <c r="G3" s="752" t="s">
        <v>24</v>
      </c>
      <c r="H3" s="753"/>
      <c r="I3" s="752" t="s">
        <v>25</v>
      </c>
      <c r="J3" s="752" t="s">
        <v>0</v>
      </c>
    </row>
    <row r="4" spans="2:14" ht="21">
      <c r="B4" s="754" t="str">
        <f>BASEBUDGETS!B2299</f>
        <v>Alt Crop #2</v>
      </c>
      <c r="C4" s="754"/>
      <c r="D4" s="754"/>
      <c r="E4" s="754"/>
      <c r="F4" s="755" t="str">
        <f>BASEBUDGETS!C2299</f>
        <v>bushel</v>
      </c>
      <c r="G4" s="756">
        <f>BASEBUDGETS!D2299</f>
        <v>0</v>
      </c>
      <c r="I4" s="758">
        <f>IF(BASEBUDGETS!E2299=0,0,BASEBUDGETS!E2299/BASEBUDGETS!C2295)</f>
        <v>0</v>
      </c>
      <c r="J4" s="761">
        <f>G4*I4</f>
        <v>0</v>
      </c>
    </row>
    <row r="5" spans="2:14" ht="20.399999999999999">
      <c r="B5" s="679" t="s">
        <v>27</v>
      </c>
      <c r="C5" s="679"/>
      <c r="D5" s="762"/>
      <c r="E5" s="763"/>
      <c r="F5" s="679"/>
      <c r="G5" s="764"/>
      <c r="H5" s="764"/>
      <c r="I5" s="764"/>
      <c r="J5" s="764">
        <f>SUM(J4:J4)</f>
        <v>0</v>
      </c>
    </row>
    <row r="6" spans="2:14" ht="21">
      <c r="B6" s="660"/>
      <c r="C6" s="660"/>
      <c r="D6" s="765"/>
      <c r="E6" s="758"/>
      <c r="F6" s="660"/>
      <c r="G6" s="756"/>
      <c r="H6" s="756"/>
      <c r="I6" s="756"/>
      <c r="J6" s="756"/>
    </row>
    <row r="7" spans="2:14" ht="21">
      <c r="B7" s="766" t="s">
        <v>76</v>
      </c>
      <c r="C7" s="766"/>
      <c r="D7" s="767" t="s">
        <v>45</v>
      </c>
      <c r="E7" s="810" t="s">
        <v>25</v>
      </c>
      <c r="F7" s="811" t="s">
        <v>1</v>
      </c>
      <c r="G7" s="812" t="s">
        <v>149</v>
      </c>
      <c r="H7" s="812" t="s">
        <v>8</v>
      </c>
      <c r="I7" s="812" t="s">
        <v>150</v>
      </c>
      <c r="J7" s="812" t="s">
        <v>7</v>
      </c>
    </row>
    <row r="8" spans="2:14" ht="21">
      <c r="B8" s="754" t="s">
        <v>210</v>
      </c>
      <c r="C8" s="754"/>
      <c r="D8" s="765"/>
      <c r="E8" s="758"/>
      <c r="F8" s="769"/>
      <c r="G8" s="770"/>
      <c r="H8" s="770"/>
      <c r="I8" s="770"/>
    </row>
    <row r="9" spans="2:14" ht="21">
      <c r="C9" s="660" t="str">
        <f>BASEBUDGETS!B2334</f>
        <v>V Ripper, Custom</v>
      </c>
      <c r="D9" s="765">
        <f>CustomOperations!R5</f>
        <v>44.25</v>
      </c>
      <c r="E9" s="771" t="e">
        <f>BASEBUDGETS!E2334/BASEBUDGETS!C2295</f>
        <v>#DIV/0!</v>
      </c>
      <c r="F9" s="770" t="str">
        <f>BASEBUDGETS!C2334</f>
        <v>acre</v>
      </c>
      <c r="G9" s="756">
        <v>0</v>
      </c>
      <c r="H9" s="756">
        <v>0</v>
      </c>
      <c r="I9" s="756" t="e">
        <f>IF(E9=0,0,BASEBUDGETS!D2334*E9)</f>
        <v>#DIV/0!</v>
      </c>
      <c r="J9" s="765" t="e">
        <f>G9+H9+I9</f>
        <v>#DIV/0!</v>
      </c>
      <c r="L9" s="772">
        <f>N9*'AcresYieldsPrices&amp;Water'!D$16</f>
        <v>0</v>
      </c>
      <c r="M9" s="611" t="s">
        <v>394</v>
      </c>
      <c r="N9" s="653">
        <f>IFERROR(I37,0)</f>
        <v>0</v>
      </c>
    </row>
    <row r="10" spans="2:14" ht="21">
      <c r="C10" s="660" t="str">
        <f>BASEBUDGETS!B2335</f>
        <v>Disk, Custom</v>
      </c>
      <c r="D10" s="765">
        <f>CustomOperations!R7</f>
        <v>0</v>
      </c>
      <c r="E10" s="771" t="e">
        <f>BASEBUDGETS!E2335/BASEBUDGETS!C2295</f>
        <v>#DIV/0!</v>
      </c>
      <c r="F10" s="770" t="str">
        <f>BASEBUDGETS!C2335</f>
        <v>acre</v>
      </c>
      <c r="G10" s="756">
        <v>0</v>
      </c>
      <c r="H10" s="756">
        <v>0</v>
      </c>
      <c r="I10" s="756" t="e">
        <f>IF(E10=0,0,BASEBUDGETS!D2335*E10)</f>
        <v>#DIV/0!</v>
      </c>
      <c r="J10" s="765" t="e">
        <f>G10+H10+I10</f>
        <v>#DIV/0!</v>
      </c>
      <c r="L10" s="772">
        <f>N10*'AcresYieldsPrices&amp;Water'!D$16</f>
        <v>0</v>
      </c>
      <c r="M10" s="611" t="s">
        <v>395</v>
      </c>
      <c r="N10" s="653">
        <f>IFERROR(I44,0)</f>
        <v>0</v>
      </c>
    </row>
    <row r="11" spans="2:14" ht="21">
      <c r="C11" s="660" t="str">
        <f>BASEBUDGETS!B2336</f>
        <v>Drag, Custom</v>
      </c>
      <c r="D11" s="765">
        <f>CustomOperations!R9</f>
        <v>0</v>
      </c>
      <c r="E11" s="771" t="e">
        <f>BASEBUDGETS!E2336/BASEBUDGETS!C2295</f>
        <v>#DIV/0!</v>
      </c>
      <c r="F11" s="770" t="str">
        <f>BASEBUDGETS!C2336</f>
        <v>acre</v>
      </c>
      <c r="G11" s="756">
        <v>0</v>
      </c>
      <c r="H11" s="756">
        <v>0</v>
      </c>
      <c r="I11" s="756" t="e">
        <f>IF(E11=0,0,BASEBUDGETS!D2336*E11)</f>
        <v>#DIV/0!</v>
      </c>
      <c r="J11" s="765" t="e">
        <f t="shared" ref="J11:J30" si="0">G11+H11+I11</f>
        <v>#DIV/0!</v>
      </c>
      <c r="L11" s="772">
        <f>N11*'AcresYieldsPrices&amp;Water'!D$16</f>
        <v>0</v>
      </c>
      <c r="M11" s="611" t="s">
        <v>396</v>
      </c>
      <c r="N11" s="653">
        <f>IFERROR(I54,0)</f>
        <v>0</v>
      </c>
    </row>
    <row r="12" spans="2:14" ht="21">
      <c r="C12" s="660" t="str">
        <f>BASEBUDGETS!B2337</f>
        <v>Chisel, Custom</v>
      </c>
      <c r="D12" s="765">
        <f>CustomOperations!R11</f>
        <v>0</v>
      </c>
      <c r="E12" s="771" t="e">
        <f>BASEBUDGETS!E2337/BASEBUDGETS!C2295</f>
        <v>#DIV/0!</v>
      </c>
      <c r="F12" s="770" t="str">
        <f>BASEBUDGETS!C2337</f>
        <v>acre</v>
      </c>
      <c r="G12" s="756">
        <v>0</v>
      </c>
      <c r="H12" s="756">
        <v>0</v>
      </c>
      <c r="I12" s="756" t="e">
        <f>IF(E12=0,0,BASEBUDGETS!D2337*E12)</f>
        <v>#DIV/0!</v>
      </c>
      <c r="J12" s="765" t="e">
        <f t="shared" si="0"/>
        <v>#DIV/0!</v>
      </c>
      <c r="L12" s="772">
        <f>N12*'AcresYieldsPrices&amp;Water'!D$16</f>
        <v>0</v>
      </c>
      <c r="M12" s="611" t="s">
        <v>392</v>
      </c>
      <c r="N12" s="653">
        <f>IFERROR(E29+E30+E75+E76+E92+E93+E72+E69+E66,0)</f>
        <v>0</v>
      </c>
    </row>
    <row r="13" spans="2:14" ht="21">
      <c r="C13" s="660" t="str">
        <f>BASEBUDGETS!B2338</f>
        <v>Moldboard Plow, Custom</v>
      </c>
      <c r="D13" s="765">
        <f>CustomOperations!R13</f>
        <v>0</v>
      </c>
      <c r="E13" s="771" t="e">
        <f>BASEBUDGETS!E2338/BASEBUDGETS!C2295</f>
        <v>#DIV/0!</v>
      </c>
      <c r="F13" s="770" t="str">
        <f>BASEBUDGETS!C2338</f>
        <v>acre</v>
      </c>
      <c r="G13" s="756">
        <v>0</v>
      </c>
      <c r="H13" s="756">
        <v>0</v>
      </c>
      <c r="I13" s="756" t="e">
        <f>IF(E13=0,0,BASEBUDGETS!D2338*E13)</f>
        <v>#DIV/0!</v>
      </c>
      <c r="J13" s="765" t="e">
        <f t="shared" si="0"/>
        <v>#DIV/0!</v>
      </c>
      <c r="L13" s="772">
        <f>N13*'AcresYieldsPrices&amp;Water'!D$16</f>
        <v>0</v>
      </c>
      <c r="M13" s="611" t="s">
        <v>393</v>
      </c>
      <c r="N13" s="653">
        <f>IFERROR(((SUM(G18:G28)+G36+G34+G35+G43+G42+G53+G63+SUM(G81:G91))/[2]GeneralInputPrices!$D$20),0)</f>
        <v>0</v>
      </c>
    </row>
    <row r="14" spans="2:14" ht="21">
      <c r="C14" s="660" t="str">
        <f>BASEBUDGETS!B2339</f>
        <v>Landplane, Custom</v>
      </c>
      <c r="D14" s="765">
        <f>CustomOperations!R15</f>
        <v>17.940000000000001</v>
      </c>
      <c r="E14" s="771" t="e">
        <f>BASEBUDGETS!E2339/BASEBUDGETS!C2295</f>
        <v>#DIV/0!</v>
      </c>
      <c r="F14" s="770" t="str">
        <f>BASEBUDGETS!C2339</f>
        <v>acre</v>
      </c>
      <c r="G14" s="756">
        <v>0</v>
      </c>
      <c r="H14" s="756">
        <v>0</v>
      </c>
      <c r="I14" s="756" t="e">
        <f>IF(E14=0,0,BASEBUDGETS!D2339*E14)</f>
        <v>#DIV/0!</v>
      </c>
      <c r="J14" s="765" t="e">
        <f t="shared" si="0"/>
        <v>#DIV/0!</v>
      </c>
      <c r="L14" s="772">
        <f>N14*'AcresYieldsPrices&amp;Water'!D$16</f>
        <v>0</v>
      </c>
      <c r="M14" s="611" t="s">
        <v>186</v>
      </c>
      <c r="N14" s="653">
        <f>IFERROR(H97,0)</f>
        <v>0</v>
      </c>
    </row>
    <row r="15" spans="2:14" ht="21">
      <c r="C15" s="660" t="str">
        <f>BASEBUDGETS!B2340</f>
        <v>Float, Custom</v>
      </c>
      <c r="D15" s="765">
        <f>CustomOperations!R17</f>
        <v>17.940000000000001</v>
      </c>
      <c r="E15" s="771" t="e">
        <f>BASEBUDGETS!E2340/BASEBUDGETS!C2295</f>
        <v>#DIV/0!</v>
      </c>
      <c r="F15" s="770" t="str">
        <f>BASEBUDGETS!C2340</f>
        <v>acre</v>
      </c>
      <c r="G15" s="756">
        <v>0</v>
      </c>
      <c r="H15" s="756">
        <v>0</v>
      </c>
      <c r="I15" s="756" t="e">
        <f>IF(E15=0,0,BASEBUDGETS!D2340*E15)</f>
        <v>#DIV/0!</v>
      </c>
      <c r="J15" s="765" t="e">
        <f t="shared" si="0"/>
        <v>#DIV/0!</v>
      </c>
      <c r="L15" s="772">
        <f>N15*'AcresYieldsPrices&amp;Water'!D$16</f>
        <v>0</v>
      </c>
      <c r="M15" s="611" t="s">
        <v>401</v>
      </c>
      <c r="N15" s="653">
        <f>IFERROR(J112,0)</f>
        <v>0</v>
      </c>
    </row>
    <row r="16" spans="2:14" ht="21">
      <c r="C16" s="660" t="str">
        <f>BASEBUDGETS!B2341</f>
        <v>Lister, Custom</v>
      </c>
      <c r="D16" s="765">
        <f>CustomOperations!R19</f>
        <v>20.38</v>
      </c>
      <c r="E16" s="771" t="e">
        <f>BASEBUDGETS!E2341/BASEBUDGETS!C2295</f>
        <v>#DIV/0!</v>
      </c>
      <c r="F16" s="770" t="str">
        <f>BASEBUDGETS!C2341</f>
        <v>acre</v>
      </c>
      <c r="G16" s="756">
        <v>0</v>
      </c>
      <c r="H16" s="756">
        <v>0</v>
      </c>
      <c r="I16" s="756" t="e">
        <f>IF(E16=0,0,BASEBUDGETS!D2341*E16)</f>
        <v>#DIV/0!</v>
      </c>
      <c r="J16" s="765" t="e">
        <f t="shared" si="0"/>
        <v>#DIV/0!</v>
      </c>
      <c r="L16" s="772">
        <f>N16*'AcresYieldsPrices&amp;Water'!D$16</f>
        <v>0</v>
      </c>
      <c r="M16" s="611" t="s">
        <v>405</v>
      </c>
      <c r="N16" s="653">
        <f>IFERROR((J80+J79+J78+J62+J52+J41+J40+J33+J32+SUM(J9:J17)),0)</f>
        <v>0</v>
      </c>
    </row>
    <row r="17" spans="2:10" ht="21">
      <c r="C17" s="660" t="str">
        <f>BASEBUDGETS!B2342</f>
        <v>Bed Shape, Custom</v>
      </c>
      <c r="D17" s="765">
        <f>CustomOperations!R21</f>
        <v>13.69</v>
      </c>
      <c r="E17" s="771" t="e">
        <f>BASEBUDGETS!E2342/BASEBUDGETS!C2295</f>
        <v>#DIV/0!</v>
      </c>
      <c r="F17" s="770" t="str">
        <f>BASEBUDGETS!C2342</f>
        <v>acre</v>
      </c>
      <c r="G17" s="756">
        <v>0</v>
      </c>
      <c r="H17" s="756">
        <v>0</v>
      </c>
      <c r="I17" s="756" t="e">
        <f>IF(E17=0,0,BASEBUDGETS!D2342*E17)</f>
        <v>#DIV/0!</v>
      </c>
      <c r="J17" s="765" t="e">
        <f t="shared" si="0"/>
        <v>#DIV/0!</v>
      </c>
    </row>
    <row r="18" spans="2:10" ht="21">
      <c r="C18" s="660" t="str">
        <f>TillageOperations!$B$7</f>
        <v>V-Ripper</v>
      </c>
      <c r="D18" s="765"/>
      <c r="E18" s="771" t="e">
        <f>BASEBUDGETS!E2346/BASEBUDGETS!C2295</f>
        <v>#DIV/0!</v>
      </c>
      <c r="F18" s="770" t="str">
        <f>BASEBUDGETS!C2346</f>
        <v>acre</v>
      </c>
      <c r="G18" s="756" t="e">
        <f>IF(E18=0,0,BASEBUDGETS!D2347*E18)</f>
        <v>#DIV/0!</v>
      </c>
      <c r="H18" s="756" t="e">
        <f>IF(E18=0,0,BASEBUDGETS!D2346*E18)</f>
        <v>#DIV/0!</v>
      </c>
      <c r="I18" s="756">
        <v>0</v>
      </c>
      <c r="J18" s="765" t="e">
        <f t="shared" si="0"/>
        <v>#DIV/0!</v>
      </c>
    </row>
    <row r="19" spans="2:10" ht="21">
      <c r="C19" s="660" t="str">
        <f>TillageOperations!$B$8</f>
        <v>Offset Disk</v>
      </c>
      <c r="D19" s="765"/>
      <c r="E19" s="771" t="e">
        <f>BASEBUDGETS!E2348/BASEBUDGETS!C2295</f>
        <v>#DIV/0!</v>
      </c>
      <c r="F19" s="770" t="str">
        <f>BASEBUDGETS!C2348</f>
        <v>acre</v>
      </c>
      <c r="G19" s="756" t="e">
        <f>IF(E19=0,0,BASEBUDGETS!D2349*E19)</f>
        <v>#DIV/0!</v>
      </c>
      <c r="H19" s="756" t="e">
        <f>IF(E19=0,0,BASEBUDGETS!D2348*E19)</f>
        <v>#DIV/0!</v>
      </c>
      <c r="I19" s="756">
        <v>0</v>
      </c>
      <c r="J19" s="765" t="e">
        <f t="shared" si="0"/>
        <v>#DIV/0!</v>
      </c>
    </row>
    <row r="20" spans="2:10" ht="21">
      <c r="C20" s="660" t="str">
        <f>TillageOperations!$B$9</f>
        <v>Drag</v>
      </c>
      <c r="D20" s="765"/>
      <c r="E20" s="771" t="e">
        <f>BASEBUDGETS!E2350/BASEBUDGETS!C2295</f>
        <v>#DIV/0!</v>
      </c>
      <c r="F20" s="770" t="str">
        <f>BASEBUDGETS!C2350</f>
        <v>acre</v>
      </c>
      <c r="G20" s="756" t="e">
        <f>IF(E20=0,0,BASEBUDGETS!D2351*E20)</f>
        <v>#DIV/0!</v>
      </c>
      <c r="H20" s="756" t="e">
        <f>IF(E20=0,0,BASEBUDGETS!D2350*E20)</f>
        <v>#DIV/0!</v>
      </c>
      <c r="I20" s="756">
        <v>0</v>
      </c>
      <c r="J20" s="765" t="e">
        <f t="shared" si="0"/>
        <v>#DIV/0!</v>
      </c>
    </row>
    <row r="21" spans="2:10" ht="21">
      <c r="C21" s="660" t="str">
        <f>TillageOperations!$B$10</f>
        <v>Chisel</v>
      </c>
      <c r="D21" s="765"/>
      <c r="E21" s="771" t="e">
        <f>BASEBUDGETS!E2352/BASEBUDGETS!C2295</f>
        <v>#DIV/0!</v>
      </c>
      <c r="F21" s="770" t="str">
        <f>BASEBUDGETS!C2352</f>
        <v>acre</v>
      </c>
      <c r="G21" s="756" t="e">
        <f>IF(E21=0,0,BASEBUDGETS!D2353*E21)</f>
        <v>#DIV/0!</v>
      </c>
      <c r="H21" s="756" t="e">
        <f>IF(E21=0,0,BASEBUDGETS!D2352*E21)</f>
        <v>#DIV/0!</v>
      </c>
      <c r="I21" s="756">
        <v>0</v>
      </c>
      <c r="J21" s="765" t="e">
        <f t="shared" si="0"/>
        <v>#DIV/0!</v>
      </c>
    </row>
    <row r="22" spans="2:10" ht="21">
      <c r="C22" s="660" t="str">
        <f>TillageOperations!$B$11</f>
        <v>Moldboard Plow</v>
      </c>
      <c r="D22" s="765"/>
      <c r="E22" s="771" t="e">
        <f>BASEBUDGETS!E2354/BASEBUDGETS!C2295</f>
        <v>#DIV/0!</v>
      </c>
      <c r="F22" s="770" t="str">
        <f>BASEBUDGETS!C2354</f>
        <v>acre</v>
      </c>
      <c r="G22" s="756" t="e">
        <f>IF(E22=0,0,BASEBUDGETS!D2355*E22)</f>
        <v>#DIV/0!</v>
      </c>
      <c r="H22" s="756" t="e">
        <f>IF(E22=0,0,BASEBUDGETS!D2354*E22)</f>
        <v>#DIV/0!</v>
      </c>
      <c r="I22" s="756">
        <v>0</v>
      </c>
      <c r="J22" s="765" t="e">
        <f t="shared" si="0"/>
        <v>#DIV/0!</v>
      </c>
    </row>
    <row r="23" spans="2:10" ht="21">
      <c r="C23" s="660" t="str">
        <f>TillageOperations!$B$12</f>
        <v>Cultivator</v>
      </c>
      <c r="D23" s="765"/>
      <c r="E23" s="771" t="e">
        <f>BASEBUDGETS!E2356/BASEBUDGETS!C2295</f>
        <v>#DIV/0!</v>
      </c>
      <c r="F23" s="770" t="str">
        <f>BASEBUDGETS!C2356</f>
        <v>acre</v>
      </c>
      <c r="G23" s="756" t="e">
        <f>IF(E23=0,0,BASEBUDGETS!D2357*E23)</f>
        <v>#DIV/0!</v>
      </c>
      <c r="H23" s="756" t="e">
        <f>IF(E23=0,0,BASEBUDGETS!D2356*E23)</f>
        <v>#DIV/0!</v>
      </c>
      <c r="I23" s="756">
        <v>0</v>
      </c>
      <c r="J23" s="765" t="e">
        <f t="shared" si="0"/>
        <v>#DIV/0!</v>
      </c>
    </row>
    <row r="24" spans="2:10" ht="21">
      <c r="C24" s="660" t="str">
        <f>TillageOperations!$B$13</f>
        <v>Landplane</v>
      </c>
      <c r="D24" s="765"/>
      <c r="E24" s="771" t="e">
        <f>BASEBUDGETS!E2358/BASEBUDGETS!C2295</f>
        <v>#DIV/0!</v>
      </c>
      <c r="F24" s="770" t="str">
        <f>BASEBUDGETS!C2358</f>
        <v>acre</v>
      </c>
      <c r="G24" s="756" t="e">
        <f>IF(E24=0,0,BASEBUDGETS!D2359*E24)</f>
        <v>#DIV/0!</v>
      </c>
      <c r="H24" s="756" t="e">
        <f>IF(E24=0,0,BASEBUDGETS!D2358*E24)</f>
        <v>#DIV/0!</v>
      </c>
      <c r="I24" s="756">
        <v>0</v>
      </c>
      <c r="J24" s="765" t="e">
        <f t="shared" si="0"/>
        <v>#DIV/0!</v>
      </c>
    </row>
    <row r="25" spans="2:10" ht="21">
      <c r="C25" s="660" t="str">
        <f>TillageOperations!$B$14</f>
        <v>Float</v>
      </c>
      <c r="D25" s="765"/>
      <c r="E25" s="771" t="e">
        <f>BASEBUDGETS!E2360/BASEBUDGETS!C2295</f>
        <v>#DIV/0!</v>
      </c>
      <c r="F25" s="770" t="str">
        <f>BASEBUDGETS!C2360</f>
        <v>acre</v>
      </c>
      <c r="G25" s="756" t="e">
        <f>IF(E25=0,0,BASEBUDGETS!D2361*E25)</f>
        <v>#DIV/0!</v>
      </c>
      <c r="H25" s="756" t="e">
        <f>IF(E25=0,0,BASEBUDGETS!D2360*E25)</f>
        <v>#DIV/0!</v>
      </c>
      <c r="I25" s="756">
        <v>0</v>
      </c>
      <c r="J25" s="765" t="e">
        <f t="shared" si="0"/>
        <v>#DIV/0!</v>
      </c>
    </row>
    <row r="26" spans="2:10" ht="21">
      <c r="C26" s="660" t="str">
        <f>TillageOperations!$B$15</f>
        <v>Lister</v>
      </c>
      <c r="D26" s="765"/>
      <c r="E26" s="771" t="e">
        <f>BASEBUDGETS!E2362/BASEBUDGETS!C2295</f>
        <v>#DIV/0!</v>
      </c>
      <c r="F26" s="770" t="str">
        <f>BASEBUDGETS!C2362</f>
        <v>acre</v>
      </c>
      <c r="G26" s="756" t="e">
        <f>IF(E26=0,0,BASEBUDGETS!D2363*E26)</f>
        <v>#DIV/0!</v>
      </c>
      <c r="H26" s="756" t="e">
        <f>IF(E26=0,0,BASEBUDGETS!D2362*E26)</f>
        <v>#DIV/0!</v>
      </c>
      <c r="I26" s="756">
        <v>0</v>
      </c>
      <c r="J26" s="765" t="e">
        <f t="shared" si="0"/>
        <v>#DIV/0!</v>
      </c>
    </row>
    <row r="27" spans="2:10" ht="21">
      <c r="C27" s="660" t="str">
        <f>TillageOperations!$B$16</f>
        <v>Bed Shaper</v>
      </c>
      <c r="D27" s="765"/>
      <c r="E27" s="771" t="e">
        <f>BASEBUDGETS!E2364/BASEBUDGETS!C2295</f>
        <v>#DIV/0!</v>
      </c>
      <c r="F27" s="770" t="str">
        <f>BASEBUDGETS!C2364</f>
        <v>acre</v>
      </c>
      <c r="G27" s="756" t="e">
        <f>IF(E27=0,0,BASEBUDGETS!D2365*E27)</f>
        <v>#DIV/0!</v>
      </c>
      <c r="H27" s="756" t="e">
        <f>IF(E27=0,0,BASEBUDGETS!D2364*E27)</f>
        <v>#DIV/0!</v>
      </c>
      <c r="I27" s="756">
        <v>0</v>
      </c>
      <c r="J27" s="765" t="e">
        <f t="shared" si="0"/>
        <v>#DIV/0!</v>
      </c>
    </row>
    <row r="28" spans="2:10" ht="21">
      <c r="C28" s="660" t="str">
        <f>TillageOperations!$B$17</f>
        <v>Cotton Shredder/Root Puller</v>
      </c>
      <c r="D28" s="765"/>
      <c r="E28" s="771" t="e">
        <f>BASEBUDGETS!E2378/BASEBUDGETS!C2295</f>
        <v>#DIV/0!</v>
      </c>
      <c r="F28" s="770" t="str">
        <f>BASEBUDGETS!C2378</f>
        <v>acre</v>
      </c>
      <c r="G28" s="756" t="e">
        <f>IF(E28=0,0,BASEBUDGETS!D2379*E28)</f>
        <v>#DIV/0!</v>
      </c>
      <c r="H28" s="756" t="e">
        <f>IF(E28=0,0,BASEBUDGETS!D2378*E28)</f>
        <v>#DIV/0!</v>
      </c>
      <c r="I28" s="756">
        <v>0</v>
      </c>
      <c r="J28" s="765" t="e">
        <f>G28+H28+I28</f>
        <v>#DIV/0!</v>
      </c>
    </row>
    <row r="29" spans="2:10" ht="21">
      <c r="C29" s="660" t="str">
        <f>BASEBUDGETS!B2403</f>
        <v>Additional Land Prep. Labor</v>
      </c>
      <c r="D29" s="765">
        <f>GeneralInputPrices!$D$30</f>
        <v>14.55</v>
      </c>
      <c r="E29" s="758" t="e">
        <f>BASEBUDGETS!E2403/BASEBUDGETS!C2295</f>
        <v>#DIV/0!</v>
      </c>
      <c r="F29" s="773" t="str">
        <f>BASEBUDGETS!C2403</f>
        <v>hour</v>
      </c>
      <c r="G29" s="756" t="e">
        <f>D29*E29</f>
        <v>#DIV/0!</v>
      </c>
      <c r="H29" s="756">
        <v>0</v>
      </c>
      <c r="I29" s="756">
        <v>0</v>
      </c>
      <c r="J29" s="765" t="e">
        <f t="shared" si="0"/>
        <v>#DIV/0!</v>
      </c>
    </row>
    <row r="30" spans="2:10" ht="21">
      <c r="C30" s="660" t="str">
        <f>BASEBUDGETS!B2404</f>
        <v>Additional Land Prep. Labor</v>
      </c>
      <c r="D30" s="765">
        <f>GeneralInputPrices!$D$30</f>
        <v>14.55</v>
      </c>
      <c r="E30" s="758" t="e">
        <f>BASEBUDGETS!E2404/BASEBUDGETS!C2295</f>
        <v>#DIV/0!</v>
      </c>
      <c r="F30" s="773" t="str">
        <f>BASEBUDGETS!C2404</f>
        <v>hour</v>
      </c>
      <c r="G30" s="756" t="e">
        <f>D30*E30</f>
        <v>#DIV/0!</v>
      </c>
      <c r="H30" s="756">
        <v>0</v>
      </c>
      <c r="I30" s="756">
        <v>0</v>
      </c>
      <c r="J30" s="765" t="e">
        <f t="shared" si="0"/>
        <v>#DIV/0!</v>
      </c>
    </row>
    <row r="31" spans="2:10" ht="21">
      <c r="B31" s="760" t="s">
        <v>175</v>
      </c>
      <c r="C31" s="760"/>
      <c r="D31" s="765"/>
    </row>
    <row r="32" spans="2:10" ht="21">
      <c r="C32" s="660" t="str">
        <f>BASEBUDGETS!B2331</f>
        <v>Drill, Custom</v>
      </c>
      <c r="D32" s="765">
        <f>CustomOperations!R24</f>
        <v>0</v>
      </c>
      <c r="E32" s="771" t="e">
        <f>BASEBUDGETS!E2331/BASEBUDGETS!C2295</f>
        <v>#DIV/0!</v>
      </c>
      <c r="F32" s="770" t="str">
        <f>BASEBUDGETS!C2331</f>
        <v>acre</v>
      </c>
      <c r="G32" s="756">
        <v>0</v>
      </c>
      <c r="H32" s="756">
        <v>0</v>
      </c>
      <c r="I32" s="756" t="e">
        <f>IF(E32=0,0,(BASEBUDGETS!D2331*E32))</f>
        <v>#DIV/0!</v>
      </c>
      <c r="J32" s="765" t="e">
        <f t="shared" ref="J32:J34" si="1">G32+H32+I32</f>
        <v>#DIV/0!</v>
      </c>
    </row>
    <row r="33" spans="3:10" ht="21">
      <c r="C33" s="660" t="str">
        <f>BASEBUDGETS!B2332</f>
        <v>Row Planter, Custom</v>
      </c>
      <c r="D33" s="765">
        <f>CustomOperations!R26</f>
        <v>0</v>
      </c>
      <c r="E33" s="771" t="e">
        <f>BASEBUDGETS!E2332/BASEBUDGETS!C2295</f>
        <v>#DIV/0!</v>
      </c>
      <c r="F33" s="770" t="str">
        <f>BASEBUDGETS!C2332</f>
        <v>acre</v>
      </c>
      <c r="G33" s="756">
        <v>0</v>
      </c>
      <c r="H33" s="756">
        <v>0</v>
      </c>
      <c r="I33" s="756" t="e">
        <f>IF(E33=0,0,(BASEBUDGETS!D2332*E33))</f>
        <v>#DIV/0!</v>
      </c>
      <c r="J33" s="765" t="e">
        <f t="shared" si="1"/>
        <v>#DIV/0!</v>
      </c>
    </row>
    <row r="34" spans="3:10" ht="21">
      <c r="C34" s="660" t="str">
        <f>TillageOperations!$B$21</f>
        <v>Drill</v>
      </c>
      <c r="D34" s="765"/>
      <c r="E34" s="771" t="e">
        <f>BASEBUDGETS!E2370/BASEBUDGETS!C2295</f>
        <v>#DIV/0!</v>
      </c>
      <c r="F34" s="770" t="str">
        <f>BASEBUDGETS!C2370</f>
        <v>acre</v>
      </c>
      <c r="G34" s="756" t="e">
        <f>IF(E34=0,0,BASEBUDGETS!D2371*E34)</f>
        <v>#DIV/0!</v>
      </c>
      <c r="H34" s="756" t="e">
        <f>IF(E34=0,0,BASEBUDGETS!D2370*E34)</f>
        <v>#DIV/0!</v>
      </c>
      <c r="I34" s="756">
        <v>0</v>
      </c>
      <c r="J34" s="765" t="e">
        <f t="shared" si="1"/>
        <v>#DIV/0!</v>
      </c>
    </row>
    <row r="35" spans="3:10" ht="21">
      <c r="C35" s="660" t="str">
        <f>TillageOperations!$B$19</f>
        <v>Row Planter</v>
      </c>
      <c r="D35" s="765"/>
      <c r="E35" s="771" t="e">
        <f>BASEBUDGETS!E2366/BASEBUDGETS!C2295</f>
        <v>#DIV/0!</v>
      </c>
      <c r="F35" s="770" t="str">
        <f>BASEBUDGETS!C2366</f>
        <v>acre</v>
      </c>
      <c r="G35" s="756" t="e">
        <f>IF(E35=0,0,BASEBUDGETS!D2367*E35)</f>
        <v>#DIV/0!</v>
      </c>
      <c r="H35" s="756" t="e">
        <f>IF(E35=0,0,BASEBUDGETS!D2366*E35)</f>
        <v>#DIV/0!</v>
      </c>
      <c r="I35" s="756">
        <v>0</v>
      </c>
      <c r="J35" s="765" t="e">
        <f>G35+H35+I35</f>
        <v>#DIV/0!</v>
      </c>
    </row>
    <row r="36" spans="3:10" ht="21">
      <c r="C36" s="660" t="str">
        <f>TillageOperations!$B$22</f>
        <v>Transplanter</v>
      </c>
      <c r="D36" s="765"/>
      <c r="E36" s="771" t="e">
        <f>BASEBUDGETS!E2401/BASEBUDGETS!C2295</f>
        <v>#DIV/0!</v>
      </c>
      <c r="F36" s="770" t="str">
        <f>BASEBUDGETS!C2401</f>
        <v>acre</v>
      </c>
      <c r="G36" s="756" t="e">
        <f>IF(E36=0,0,BASEBUDGETS!D2402*E36)</f>
        <v>#DIV/0!</v>
      </c>
      <c r="H36" s="756" t="e">
        <f>IF(E36=0,0,BASEBUDGETS!D2401*E36)</f>
        <v>#DIV/0!</v>
      </c>
      <c r="I36" s="756">
        <v>0</v>
      </c>
      <c r="J36" s="765" t="e">
        <f>G36+H36+I36</f>
        <v>#DIV/0!</v>
      </c>
    </row>
    <row r="37" spans="3:10" ht="21">
      <c r="C37" s="660" t="s">
        <v>439</v>
      </c>
      <c r="D37" s="765"/>
      <c r="E37" s="771"/>
      <c r="F37" s="770"/>
      <c r="G37" s="756">
        <v>0</v>
      </c>
      <c r="H37" s="756">
        <v>0</v>
      </c>
      <c r="I37" s="756" t="e">
        <f>(D38*E38)+(D39*E39)</f>
        <v>#DIV/0!</v>
      </c>
      <c r="J37" s="765" t="e">
        <f>G37+H37+I37</f>
        <v>#DIV/0!</v>
      </c>
    </row>
    <row r="38" spans="3:10" ht="21">
      <c r="C38" s="660" t="str">
        <f>BASEBUDGETS!B2303</f>
        <v xml:space="preserve">   - Seed</v>
      </c>
      <c r="D38" s="765">
        <f>BASEBUDGETS!D2303</f>
        <v>0</v>
      </c>
      <c r="E38" s="775" t="e">
        <f>BASEBUDGETS!E2303/BASEBUDGETS!C2295</f>
        <v>#DIV/0!</v>
      </c>
      <c r="F38" s="769" t="str">
        <f>BASEBUDGETS!C2303</f>
        <v>pounds</v>
      </c>
    </row>
    <row r="39" spans="3:10" ht="21">
      <c r="C39" s="660" t="str">
        <f>BASEBUDGETS!B2304</f>
        <v xml:space="preserve">   - Inoculant</v>
      </c>
      <c r="D39" s="765">
        <f>BASEBUDGETS!D2304</f>
        <v>3</v>
      </c>
      <c r="E39" s="775" t="e">
        <f>BASEBUDGETS!E2304/BASEBUDGETS!C2295</f>
        <v>#DIV/0!</v>
      </c>
      <c r="F39" s="769" t="str">
        <f>BASEBUDGETS!C2304</f>
        <v>pounds</v>
      </c>
      <c r="G39" s="765"/>
      <c r="H39" s="765"/>
      <c r="I39" s="765"/>
      <c r="J39" s="765"/>
    </row>
    <row r="40" spans="3:10" ht="21">
      <c r="C40" s="660" t="str">
        <f>BASEBUDGETS!B2343</f>
        <v>Fertilizer Spreader, Custom</v>
      </c>
      <c r="D40" s="765">
        <f>CustomOperations!R32</f>
        <v>10.08</v>
      </c>
      <c r="E40" s="771" t="e">
        <f>BASEBUDGETS!E2343/BASEBUDGETS!C2295</f>
        <v>#DIV/0!</v>
      </c>
      <c r="F40" s="770" t="str">
        <f>BASEBUDGETS!C2343</f>
        <v>acre</v>
      </c>
      <c r="G40" s="756">
        <v>0</v>
      </c>
      <c r="H40" s="756">
        <v>0</v>
      </c>
      <c r="I40" s="756" t="e">
        <f>IF(E40=0,0,BASEBUDGETS!D2343*E40)</f>
        <v>#DIV/0!</v>
      </c>
      <c r="J40" s="765" t="e">
        <f>G40+H40+I40</f>
        <v>#DIV/0!</v>
      </c>
    </row>
    <row r="41" spans="3:10" ht="21">
      <c r="C41" s="660" t="str">
        <f>BASEBUDGETS!B2344</f>
        <v>Laser Landplaning, Custom</v>
      </c>
      <c r="D41" s="765">
        <f>CustomOperations!R34</f>
        <v>0</v>
      </c>
      <c r="E41" s="771" t="e">
        <f>BASEBUDGETS!E2344/BASEBUDGETS!C2295</f>
        <v>#DIV/0!</v>
      </c>
      <c r="F41" s="770" t="str">
        <f>BASEBUDGETS!C2344</f>
        <v>acre</v>
      </c>
      <c r="G41" s="756">
        <v>0</v>
      </c>
      <c r="H41" s="756">
        <v>0</v>
      </c>
      <c r="I41" s="756" t="e">
        <f>IF(E41=0,0,BASEBUDGETS!D2344*E41)</f>
        <v>#DIV/0!</v>
      </c>
      <c r="J41" s="765" t="e">
        <f>G41+H41+I41</f>
        <v>#DIV/0!</v>
      </c>
    </row>
    <row r="42" spans="3:10" ht="21">
      <c r="C42" s="660" t="str">
        <f>TillageOperations!$B$23</f>
        <v>Fertilizer Spreader</v>
      </c>
      <c r="D42" s="765"/>
      <c r="E42" s="771" t="e">
        <f>BASEBUDGETS!E2395/BASEBUDGETS!C2295</f>
        <v>#DIV/0!</v>
      </c>
      <c r="F42" s="770" t="str">
        <f>BASEBUDGETS!C2395</f>
        <v>acre</v>
      </c>
      <c r="G42" s="756" t="e">
        <f>IF(E42=0,0,BASEBUDGETS!D2396*E42)</f>
        <v>#DIV/0!</v>
      </c>
      <c r="H42" s="756" t="e">
        <f>IF(E42=0,0,BASEBUDGETS!D2395*E42)</f>
        <v>#DIV/0!</v>
      </c>
      <c r="I42" s="756">
        <v>0</v>
      </c>
      <c r="J42" s="765" t="e">
        <f>G42+H42+I42</f>
        <v>#DIV/0!</v>
      </c>
    </row>
    <row r="43" spans="3:10" ht="21">
      <c r="C43" s="660" t="str">
        <f>TillageOperations!$B$24</f>
        <v>Fertilizer Injection System</v>
      </c>
      <c r="D43" s="765"/>
      <c r="E43" s="771" t="e">
        <f>BASEBUDGETS!E2397/BASEBUDGETS!C2295</f>
        <v>#DIV/0!</v>
      </c>
      <c r="F43" s="770" t="str">
        <f>BASEBUDGETS!C2397</f>
        <v>acre</v>
      </c>
      <c r="G43" s="756" t="e">
        <f>IF(E43=0,0,BASEBUDGETS!D2398*E43)</f>
        <v>#DIV/0!</v>
      </c>
      <c r="H43" s="756" t="e">
        <f>IF(E43=0,0,BASEBUDGETS!D2397*E43)</f>
        <v>#DIV/0!</v>
      </c>
      <c r="I43" s="756">
        <v>0</v>
      </c>
      <c r="J43" s="765" t="e">
        <f>G43+H43+I43</f>
        <v>#DIV/0!</v>
      </c>
    </row>
    <row r="44" spans="3:10" ht="21">
      <c r="C44" s="660" t="s">
        <v>407</v>
      </c>
      <c r="D44" s="765"/>
      <c r="E44" s="771"/>
      <c r="F44" s="770"/>
      <c r="G44" s="756">
        <v>0</v>
      </c>
      <c r="H44" s="756">
        <v>0</v>
      </c>
      <c r="I44" s="756" t="e">
        <f>(D45*E45)+(D46*E46)+(D47*E47)+(D48*E48)+(D49*E49)+(D50*E50)+(D51*E51)</f>
        <v>#DIV/0!</v>
      </c>
      <c r="J44" s="765" t="e">
        <f>G44+H44+I44</f>
        <v>#DIV/0!</v>
      </c>
    </row>
    <row r="45" spans="3:10" ht="21">
      <c r="C45" s="660" t="str">
        <f>BASEBUDGETS!B2305</f>
        <v xml:space="preserve">   - Nitrogen</v>
      </c>
      <c r="D45" s="765">
        <f>BASEBUDGETS!D2305</f>
        <v>0.46</v>
      </c>
      <c r="E45" s="775" t="e">
        <f>BASEBUDGETS!E2305/BASEBUDGETS!C2295</f>
        <v>#DIV/0!</v>
      </c>
      <c r="F45" s="769" t="str">
        <f>BASEBUDGETS!C2305</f>
        <v>pounds</v>
      </c>
      <c r="G45" s="765"/>
      <c r="H45" s="765"/>
      <c r="I45" s="765"/>
      <c r="J45" s="765"/>
    </row>
    <row r="46" spans="3:10" ht="21">
      <c r="C46" s="660" t="str">
        <f>BASEBUDGETS!B2306</f>
        <v xml:space="preserve">   - Phosphorus</v>
      </c>
      <c r="D46" s="765">
        <f>BASEBUDGETS!D2306</f>
        <v>0.36</v>
      </c>
      <c r="E46" s="775" t="e">
        <f>BASEBUDGETS!E2306/BASEBUDGETS!C2295</f>
        <v>#DIV/0!</v>
      </c>
      <c r="F46" s="769" t="str">
        <f>BASEBUDGETS!C2306</f>
        <v>pounds</v>
      </c>
      <c r="G46" s="765"/>
      <c r="H46" s="765"/>
      <c r="I46" s="765"/>
      <c r="J46" s="765"/>
    </row>
    <row r="47" spans="3:10" ht="21">
      <c r="C47" s="660" t="str">
        <f>BASEBUDGETS!B2307</f>
        <v xml:space="preserve">   - Anhydrous Ammonia</v>
      </c>
      <c r="D47" s="765">
        <f>BASEBUDGETS!D2307</f>
        <v>0.21</v>
      </c>
      <c r="E47" s="775" t="e">
        <f>BASEBUDGETS!E2307/BASEBUDGETS!C2295</f>
        <v>#DIV/0!</v>
      </c>
      <c r="F47" s="769" t="str">
        <f>BASEBUDGETS!C2307</f>
        <v>pounds</v>
      </c>
      <c r="G47" s="765"/>
      <c r="H47" s="765"/>
      <c r="I47" s="765"/>
      <c r="J47" s="765"/>
    </row>
    <row r="48" spans="3:10" ht="21">
      <c r="C48" s="660" t="str">
        <f>BASEBUDGETS!B2308</f>
        <v xml:space="preserve">   - Trace Elements</v>
      </c>
      <c r="D48" s="765">
        <f>BASEBUDGETS!D2308</f>
        <v>0.24</v>
      </c>
      <c r="E48" s="775" t="e">
        <f>BASEBUDGETS!E2308/BASEBUDGETS!C2295</f>
        <v>#DIV/0!</v>
      </c>
      <c r="F48" s="769" t="str">
        <f>BASEBUDGETS!C2308</f>
        <v>pounds</v>
      </c>
      <c r="G48" s="765"/>
      <c r="H48" s="765"/>
      <c r="I48" s="765"/>
      <c r="J48" s="765"/>
    </row>
    <row r="49" spans="3:10" ht="21">
      <c r="C49" s="660" t="str">
        <f>BASEBUDGETS!B2309</f>
        <v xml:space="preserve">   - Nitrogen</v>
      </c>
      <c r="D49" s="765">
        <f>BASEBUDGETS!D2309</f>
        <v>0</v>
      </c>
      <c r="E49" s="775" t="e">
        <f>BASEBUDGETS!E2309/BASEBUDGETS!C2295</f>
        <v>#DIV/0!</v>
      </c>
      <c r="F49" s="769" t="str">
        <f>BASEBUDGETS!C2309</f>
        <v>acre</v>
      </c>
      <c r="G49" s="765"/>
      <c r="H49" s="765"/>
      <c r="I49" s="765"/>
      <c r="J49" s="765"/>
    </row>
    <row r="50" spans="3:10" ht="21">
      <c r="C50" s="660" t="str">
        <f>BASEBUDGETS!B2310</f>
        <v xml:space="preserve">   - Phosphorus</v>
      </c>
      <c r="D50" s="765">
        <f>BASEBUDGETS!D2310</f>
        <v>0</v>
      </c>
      <c r="E50" s="775" t="e">
        <f>BASEBUDGETS!E2310/BASEBUDGETS!C2295</f>
        <v>#DIV/0!</v>
      </c>
      <c r="F50" s="769" t="str">
        <f>BASEBUDGETS!C2310</f>
        <v>acre</v>
      </c>
      <c r="G50" s="765"/>
      <c r="H50" s="765"/>
      <c r="I50" s="765"/>
      <c r="J50" s="765"/>
    </row>
    <row r="51" spans="3:10" ht="21">
      <c r="C51" s="660" t="str">
        <f>BASEBUDGETS!B2311</f>
        <v xml:space="preserve">   - Fertilizer - Anhydrous Applicator</v>
      </c>
      <c r="D51" s="765">
        <f>BASEBUDGETS!D2311</f>
        <v>0</v>
      </c>
      <c r="E51" s="775" t="e">
        <f>BASEBUDGETS!E2311/BASEBUDGETS!C2295</f>
        <v>#DIV/0!</v>
      </c>
      <c r="F51" s="769" t="str">
        <f>BASEBUDGETS!C2311</f>
        <v>acre</v>
      </c>
      <c r="G51" s="765"/>
      <c r="H51" s="765"/>
      <c r="I51" s="765"/>
      <c r="J51" s="765"/>
    </row>
    <row r="52" spans="3:10" ht="21">
      <c r="C52" s="660" t="str">
        <f>BASEBUDGETS!B2345</f>
        <v>Boom Sprayer, Custom</v>
      </c>
      <c r="D52" s="765">
        <f>CustomOperations!R30</f>
        <v>10.050000000000001</v>
      </c>
      <c r="E52" s="771" t="e">
        <f>BASEBUDGETS!E2345/BASEBUDGETS!C2295</f>
        <v>#DIV/0!</v>
      </c>
      <c r="F52" s="770" t="str">
        <f>BASEBUDGETS!C2345</f>
        <v>acre</v>
      </c>
      <c r="G52" s="756">
        <v>0</v>
      </c>
      <c r="H52" s="756">
        <v>0</v>
      </c>
      <c r="I52" s="756" t="e">
        <f>IF(E52=0,0,BASEBUDGETS!D2345*E52)</f>
        <v>#DIV/0!</v>
      </c>
      <c r="J52" s="765" t="e">
        <f>G52+H52+I52</f>
        <v>#DIV/0!</v>
      </c>
    </row>
    <row r="53" spans="3:10" ht="21">
      <c r="C53" s="660" t="str">
        <f>TillageOperations!$B$25</f>
        <v>Boom Sprayer</v>
      </c>
      <c r="D53" s="765"/>
      <c r="E53" s="771" t="e">
        <f>BASEBUDGETS!E2399/BASEBUDGETS!C2295</f>
        <v>#DIV/0!</v>
      </c>
      <c r="F53" s="770" t="str">
        <f>BASEBUDGETS!C2399</f>
        <v>acre</v>
      </c>
      <c r="G53" s="756" t="e">
        <f>IF(E53=0,0,BASEBUDGETS!D2400*E53)</f>
        <v>#DIV/0!</v>
      </c>
      <c r="H53" s="756" t="e">
        <f>IF(E53=0,0,BASEBUDGETS!D2399*E53)</f>
        <v>#DIV/0!</v>
      </c>
      <c r="I53" s="756">
        <v>0</v>
      </c>
      <c r="J53" s="765" t="e">
        <f>G53+H53+I53</f>
        <v>#DIV/0!</v>
      </c>
    </row>
    <row r="54" spans="3:10" ht="21">
      <c r="C54" s="660" t="s">
        <v>408</v>
      </c>
      <c r="D54" s="765"/>
      <c r="E54" s="771"/>
      <c r="F54" s="770"/>
      <c r="G54" s="756">
        <v>0</v>
      </c>
      <c r="H54" s="756">
        <v>0</v>
      </c>
      <c r="I54" s="756" t="e">
        <f>(D55*E55)+(D56*E56)+(D57*E57)+(D58*E58)+(D59*E59)+(D60*E60)+(D61*E61)</f>
        <v>#DIV/0!</v>
      </c>
      <c r="J54" s="765" t="e">
        <f>G54+H54+I54</f>
        <v>#DIV/0!</v>
      </c>
    </row>
    <row r="55" spans="3:10" ht="21">
      <c r="C55" s="660" t="str">
        <f>BASEBUDGETS!B2312</f>
        <v xml:space="preserve">   - Prowl</v>
      </c>
      <c r="D55" s="765">
        <f>BASEBUDGETS!D2312</f>
        <v>6.0625</v>
      </c>
      <c r="E55" s="775" t="e">
        <f>BASEBUDGETS!E2312/BASEBUDGETS!C2295</f>
        <v>#DIV/0!</v>
      </c>
      <c r="F55" s="769" t="str">
        <f>BASEBUDGETS!C2312</f>
        <v>pints</v>
      </c>
      <c r="G55" s="765"/>
      <c r="H55" s="765"/>
      <c r="I55" s="765"/>
      <c r="J55" s="765"/>
    </row>
    <row r="56" spans="3:10" ht="21">
      <c r="C56" s="660" t="str">
        <f>BASEBUDGETS!B2313</f>
        <v xml:space="preserve">   - Aim</v>
      </c>
      <c r="D56" s="765">
        <f>BASEBUDGETS!D2313</f>
        <v>5.9375</v>
      </c>
      <c r="E56" s="775" t="e">
        <f>BASEBUDGETS!E2313/BASEBUDGETS!C2295</f>
        <v>#DIV/0!</v>
      </c>
      <c r="F56" s="769" t="str">
        <f>BASEBUDGETS!C2313</f>
        <v>ounces</v>
      </c>
      <c r="G56" s="765"/>
      <c r="H56" s="765"/>
      <c r="I56" s="765"/>
      <c r="J56" s="765"/>
    </row>
    <row r="57" spans="3:10" ht="21">
      <c r="C57" s="660" t="str">
        <f>BASEBUDGETS!B2314</f>
        <v xml:space="preserve">   - Fusilade</v>
      </c>
      <c r="D57" s="765">
        <f>BASEBUDGETS!D2314</f>
        <v>1.25</v>
      </c>
      <c r="E57" s="775" t="e">
        <f>BASEBUDGETS!E2314/BASEBUDGETS!C2295</f>
        <v>#DIV/0!</v>
      </c>
      <c r="F57" s="769" t="str">
        <f>BASEBUDGETS!C2314</f>
        <v>ounces</v>
      </c>
      <c r="G57" s="765"/>
      <c r="H57" s="765"/>
      <c r="I57" s="765"/>
      <c r="J57" s="765"/>
    </row>
    <row r="58" spans="3:10" ht="21">
      <c r="C58" s="660" t="str">
        <f>BASEBUDGETS!B2315</f>
        <v xml:space="preserve">   - Herbicides</v>
      </c>
      <c r="D58" s="765">
        <f>BASEBUDGETS!D2315</f>
        <v>0</v>
      </c>
      <c r="E58" s="775" t="e">
        <f>BASEBUDGETS!E2315/BASEBUDGETS!C2295</f>
        <v>#DIV/0!</v>
      </c>
      <c r="F58" s="769" t="str">
        <f>BASEBUDGETS!C2315</f>
        <v>acre</v>
      </c>
      <c r="G58" s="765"/>
      <c r="H58" s="765"/>
      <c r="I58" s="765"/>
      <c r="J58" s="765"/>
    </row>
    <row r="59" spans="3:10" ht="21">
      <c r="C59" s="660" t="str">
        <f>BASEBUDGETS!B2316</f>
        <v xml:space="preserve">   - Herbicide - #2</v>
      </c>
      <c r="D59" s="765">
        <f>BASEBUDGETS!D2316</f>
        <v>0</v>
      </c>
      <c r="E59" s="775" t="e">
        <f>BASEBUDGETS!E2316/BASEBUDGETS!C2295</f>
        <v>#DIV/0!</v>
      </c>
      <c r="F59" s="769" t="str">
        <f>BASEBUDGETS!C2316</f>
        <v>acre</v>
      </c>
      <c r="G59" s="765"/>
      <c r="H59" s="765"/>
      <c r="I59" s="765"/>
      <c r="J59" s="765"/>
    </row>
    <row r="60" spans="3:10" ht="21">
      <c r="C60" s="660" t="str">
        <f>BASEBUDGETS!B2317</f>
        <v xml:space="preserve">   - Insecticides</v>
      </c>
      <c r="D60" s="765">
        <f>BASEBUDGETS!D2317</f>
        <v>0</v>
      </c>
      <c r="E60" s="775" t="e">
        <f>BASEBUDGETS!E2317/BASEBUDGETS!C2295</f>
        <v>#DIV/0!</v>
      </c>
      <c r="F60" s="769" t="str">
        <f>BASEBUDGETS!C2317</f>
        <v>acre</v>
      </c>
      <c r="G60" s="765"/>
      <c r="H60" s="765"/>
      <c r="I60" s="765"/>
      <c r="J60" s="765"/>
    </row>
    <row r="61" spans="3:10" ht="21">
      <c r="C61" s="660" t="str">
        <f>BASEBUDGETS!B2318</f>
        <v xml:space="preserve">   - Insecticide - #2</v>
      </c>
      <c r="D61" s="765">
        <f>BASEBUDGETS!D2318</f>
        <v>0</v>
      </c>
      <c r="E61" s="775" t="e">
        <f>BASEBUDGETS!E2318/BASEBUDGETS!C2295</f>
        <v>#DIV/0!</v>
      </c>
      <c r="F61" s="769" t="str">
        <f>BASEBUDGETS!C2318</f>
        <v>acre</v>
      </c>
      <c r="G61" s="765"/>
      <c r="H61" s="765"/>
      <c r="I61" s="765"/>
      <c r="J61" s="765"/>
    </row>
    <row r="62" spans="3:10" ht="21">
      <c r="C62" s="660" t="str">
        <f>BASEBUDGETS!B2333</f>
        <v>Row Cultivator, Custom</v>
      </c>
      <c r="D62" s="765">
        <f>CustomOperations!R28</f>
        <v>0</v>
      </c>
      <c r="E62" s="771" t="e">
        <f>BASEBUDGETS!E2333/BASEBUDGETS!C2295</f>
        <v>#DIV/0!</v>
      </c>
      <c r="F62" s="770" t="str">
        <f>BASEBUDGETS!C2333</f>
        <v>acre</v>
      </c>
      <c r="G62" s="756">
        <v>0</v>
      </c>
      <c r="H62" s="756">
        <v>0</v>
      </c>
      <c r="I62" s="756" t="e">
        <f>IF(E62=0,0,BASEBUDGETS!D2333*E62)</f>
        <v>#DIV/0!</v>
      </c>
      <c r="J62" s="765" t="e">
        <f>G62+H62+I62</f>
        <v>#DIV/0!</v>
      </c>
    </row>
    <row r="63" spans="3:10" ht="21">
      <c r="C63" s="660" t="str">
        <f>TillageOperations!$B$20</f>
        <v>Row Cultivator</v>
      </c>
      <c r="D63" s="765"/>
      <c r="E63" s="771" t="e">
        <f>BASEBUDGETS!E2368/BASEBUDGETS!C2295</f>
        <v>#DIV/0!</v>
      </c>
      <c r="F63" s="770" t="str">
        <f>BASEBUDGETS!C2368</f>
        <v>acre</v>
      </c>
      <c r="G63" s="756" t="e">
        <f>IF(E63=0,0,BASEBUDGETS!D2369*E63)</f>
        <v>#DIV/0!</v>
      </c>
      <c r="H63" s="756" t="e">
        <f>IF(E63=0,0,BASEBUDGETS!D2368*E63)</f>
        <v>#DIV/0!</v>
      </c>
      <c r="I63" s="756">
        <v>0</v>
      </c>
      <c r="J63" s="765" t="e">
        <f>G63+H63+I63</f>
        <v>#DIV/0!</v>
      </c>
    </row>
    <row r="64" spans="3:10" ht="21">
      <c r="C64" s="660" t="s">
        <v>151</v>
      </c>
      <c r="D64" s="765"/>
      <c r="E64" s="776" t="s">
        <v>10</v>
      </c>
      <c r="F64" s="777" t="s">
        <v>10</v>
      </c>
      <c r="G64" s="756" t="e">
        <f>(D66*E66)+(D69*E69)+(D72*E72)</f>
        <v>#DIV/0!</v>
      </c>
      <c r="H64" s="756">
        <v>0</v>
      </c>
      <c r="I64" s="678" t="e">
        <f>(D65*E65)+(D68*E68)+(D71*E71)+(D67*E67)+(D70*E70)+(D73*E73)</f>
        <v>#DIV/0!</v>
      </c>
      <c r="J64" s="765" t="e">
        <f>G64+H64+I64</f>
        <v>#DIV/0!</v>
      </c>
    </row>
    <row r="65" spans="2:10" ht="21">
      <c r="C65" s="660" t="str">
        <f>BASEBUDGETS!B2319</f>
        <v>Flood - Irrigation Water</v>
      </c>
      <c r="D65" s="765">
        <f>BASEBUDGETS!D2319</f>
        <v>55</v>
      </c>
      <c r="E65" s="775" t="e">
        <f>BASEBUDGETS!E2319/BASEBUDGETS!C$2295</f>
        <v>#DIV/0!</v>
      </c>
      <c r="F65" s="769" t="str">
        <f>BASEBUDGETS!C2319</f>
        <v>ac ft</v>
      </c>
      <c r="G65" s="756"/>
      <c r="H65" s="756"/>
      <c r="I65" s="765"/>
      <c r="J65" s="765"/>
    </row>
    <row r="66" spans="2:10" ht="21">
      <c r="B66" s="660"/>
      <c r="C66" s="660" t="str">
        <f>BASEBUDGETS!B2320</f>
        <v>Flood - Irrigation Labor</v>
      </c>
      <c r="D66" s="765">
        <f>BASEBUDGETS!D2320</f>
        <v>14.55</v>
      </c>
      <c r="E66" s="775" t="e">
        <f>BASEBUDGETS!E2320/BASEBUDGETS!C$2295</f>
        <v>#DIV/0!</v>
      </c>
      <c r="F66" s="769" t="str">
        <f>BASEBUDGETS!C2320</f>
        <v>hour</v>
      </c>
      <c r="G66" s="756"/>
      <c r="H66" s="756"/>
      <c r="I66" s="765"/>
      <c r="J66" s="765"/>
    </row>
    <row r="67" spans="2:10" ht="21">
      <c r="C67" s="660" t="str">
        <f>BASEBUDGETS!B2321</f>
        <v xml:space="preserve">   - Annual Repairs &amp; Maintenance</v>
      </c>
      <c r="D67" s="765">
        <f>BASEBUDGETS!D2321</f>
        <v>3</v>
      </c>
      <c r="E67" s="775" t="e">
        <f>BASEBUDGETS!E2321/BASEBUDGETS!C$2295</f>
        <v>#DIV/0!</v>
      </c>
      <c r="F67" s="769" t="str">
        <f>BASEBUDGETS!C2321</f>
        <v>acre</v>
      </c>
      <c r="I67" s="756"/>
      <c r="J67" s="778" t="s">
        <v>10</v>
      </c>
    </row>
    <row r="68" spans="2:10" ht="21">
      <c r="C68" s="660" t="str">
        <f>BASEBUDGETS!B2322</f>
        <v>Drip-tape - Irrigation Water</v>
      </c>
      <c r="D68" s="765">
        <f>BASEBUDGETS!D2322</f>
        <v>55</v>
      </c>
      <c r="E68" s="775" t="e">
        <f>BASEBUDGETS!E2322/BASEBUDGETS!C$2295</f>
        <v>#DIV/0!</v>
      </c>
      <c r="F68" s="769" t="str">
        <f>BASEBUDGETS!C2322</f>
        <v>ac ft</v>
      </c>
      <c r="G68" s="756"/>
      <c r="H68" s="756"/>
      <c r="I68" s="756"/>
      <c r="J68" s="765"/>
    </row>
    <row r="69" spans="2:10" ht="21">
      <c r="C69" s="660" t="str">
        <f>BASEBUDGETS!B2323</f>
        <v>Drip-tape - Irrigation Labor</v>
      </c>
      <c r="D69" s="765">
        <f>BASEBUDGETS!D2323</f>
        <v>14.55</v>
      </c>
      <c r="E69" s="775" t="e">
        <f>BASEBUDGETS!E2323/BASEBUDGETS!C$2295</f>
        <v>#DIV/0!</v>
      </c>
      <c r="F69" s="769" t="str">
        <f>BASEBUDGETS!C2323</f>
        <v>hour</v>
      </c>
      <c r="G69" s="756"/>
      <c r="H69" s="756"/>
      <c r="I69" s="756"/>
      <c r="J69" s="765"/>
    </row>
    <row r="70" spans="2:10" ht="21">
      <c r="C70" s="660" t="str">
        <f>BASEBUDGETS!B2324</f>
        <v xml:space="preserve">   - Annual Repairs &amp; Maintenance</v>
      </c>
      <c r="D70" s="765">
        <f>BASEBUDGETS!D2324</f>
        <v>7.5</v>
      </c>
      <c r="E70" s="775" t="e">
        <f>BASEBUDGETS!E2324/BASEBUDGETS!C$2295</f>
        <v>#DIV/0!</v>
      </c>
      <c r="F70" s="769" t="str">
        <f>BASEBUDGETS!C2324</f>
        <v>acre</v>
      </c>
      <c r="G70" s="756"/>
      <c r="H70" s="756"/>
      <c r="I70" s="756"/>
      <c r="J70" s="765"/>
    </row>
    <row r="71" spans="2:10" ht="21">
      <c r="C71" s="660" t="str">
        <f>BASEBUDGETS!B2325</f>
        <v>Sprinkler - Irrigation Water</v>
      </c>
      <c r="D71" s="765">
        <f>BASEBUDGETS!D2325</f>
        <v>55</v>
      </c>
      <c r="E71" s="775" t="e">
        <f>BASEBUDGETS!E2325/BASEBUDGETS!C$2295</f>
        <v>#DIV/0!</v>
      </c>
      <c r="F71" s="769" t="str">
        <f>BASEBUDGETS!C2325</f>
        <v>ac ft</v>
      </c>
      <c r="G71" s="756"/>
      <c r="H71" s="756"/>
      <c r="I71" s="756"/>
      <c r="J71" s="765"/>
    </row>
    <row r="72" spans="2:10" ht="21">
      <c r="C72" s="660" t="str">
        <f>BASEBUDGETS!B2326</f>
        <v>Sprinkler - Irrigation Labor</v>
      </c>
      <c r="D72" s="765">
        <f>BASEBUDGETS!D2326</f>
        <v>14.55</v>
      </c>
      <c r="E72" s="775" t="e">
        <f>BASEBUDGETS!E2326/BASEBUDGETS!C$2295</f>
        <v>#DIV/0!</v>
      </c>
      <c r="F72" s="769" t="str">
        <f>BASEBUDGETS!C2326</f>
        <v>hour</v>
      </c>
      <c r="G72" s="756"/>
      <c r="H72" s="756"/>
      <c r="I72" s="756"/>
      <c r="J72" s="765"/>
    </row>
    <row r="73" spans="2:10" ht="21">
      <c r="C73" s="660" t="str">
        <f>BASEBUDGETS!B2327</f>
        <v xml:space="preserve">   - Annual Repairs &amp; Maintenance</v>
      </c>
      <c r="D73" s="765">
        <f>BASEBUDGETS!D2327</f>
        <v>15</v>
      </c>
      <c r="E73" s="775" t="e">
        <f>BASEBUDGETS!E2327/BASEBUDGETS!C$2295</f>
        <v>#DIV/0!</v>
      </c>
      <c r="F73" s="769" t="str">
        <f>BASEBUDGETS!C2327</f>
        <v>acre</v>
      </c>
      <c r="G73" s="756"/>
      <c r="H73" s="756"/>
      <c r="I73" s="756"/>
      <c r="J73" s="765"/>
    </row>
    <row r="74" spans="2:10" ht="21">
      <c r="C74" s="660" t="str">
        <f>BASEBUDGETS!B2328</f>
        <v>Harvest, Custom</v>
      </c>
      <c r="D74" s="765">
        <f>BASEBUDGETS!D2328</f>
        <v>25</v>
      </c>
      <c r="E74" s="775" t="e">
        <f>BASEBUDGETS!E2328/BASEBUDGETS!C$2295</f>
        <v>#DIV/0!</v>
      </c>
      <c r="F74" s="769" t="str">
        <f>BASEBUDGETS!C2328</f>
        <v>acre</v>
      </c>
      <c r="G74" s="756"/>
      <c r="H74" s="756"/>
      <c r="I74" s="756"/>
      <c r="J74" s="765"/>
    </row>
    <row r="75" spans="2:10" ht="21">
      <c r="C75" s="660" t="str">
        <f>BASEBUDGETS!B2405</f>
        <v>Additional Crop Prod. Labor</v>
      </c>
      <c r="D75" s="765">
        <f>GeneralInputPrices!$D$31</f>
        <v>14.55</v>
      </c>
      <c r="E75" s="771" t="e">
        <f>BASEBUDGETS!E2405/BASEBUDGETS!C2295</f>
        <v>#DIV/0!</v>
      </c>
      <c r="F75" s="770" t="str">
        <f>BASEBUDGETS!C2405</f>
        <v>hour</v>
      </c>
      <c r="G75" s="756" t="e">
        <f>D75*E75</f>
        <v>#DIV/0!</v>
      </c>
      <c r="H75" s="756">
        <v>0</v>
      </c>
      <c r="I75" s="756">
        <v>0</v>
      </c>
      <c r="J75" s="765" t="e">
        <f t="shared" ref="J75:J76" si="2">G75+H75+I75</f>
        <v>#DIV/0!</v>
      </c>
    </row>
    <row r="76" spans="2:10" ht="21">
      <c r="C76" s="660" t="str">
        <f>BASEBUDGETS!B2406</f>
        <v>Additional Crop Prod. Labor</v>
      </c>
      <c r="D76" s="765">
        <f>GeneralInputPrices!$D$31</f>
        <v>14.55</v>
      </c>
      <c r="E76" s="771" t="e">
        <f>BASEBUDGETS!E2406/BASEBUDGETS!C2295</f>
        <v>#DIV/0!</v>
      </c>
      <c r="F76" s="770" t="str">
        <f>BASEBUDGETS!C2406</f>
        <v>hour</v>
      </c>
      <c r="G76" s="756" t="e">
        <f>D76*E76</f>
        <v>#DIV/0!</v>
      </c>
      <c r="H76" s="756">
        <v>0</v>
      </c>
      <c r="I76" s="756">
        <v>0</v>
      </c>
      <c r="J76" s="765" t="e">
        <f t="shared" si="2"/>
        <v>#DIV/0!</v>
      </c>
    </row>
    <row r="77" spans="2:10" ht="21">
      <c r="B77" s="804" t="s">
        <v>44</v>
      </c>
      <c r="C77" s="804"/>
      <c r="D77" s="778"/>
      <c r="E77" s="758"/>
      <c r="F77" s="780" t="s">
        <v>10</v>
      </c>
      <c r="G77" s="777" t="s">
        <v>10</v>
      </c>
      <c r="H77" s="777" t="s">
        <v>10</v>
      </c>
      <c r="I77" s="777" t="s">
        <v>10</v>
      </c>
      <c r="J77" s="777" t="s">
        <v>10</v>
      </c>
    </row>
    <row r="78" spans="2:10" ht="21">
      <c r="C78" s="660" t="str">
        <f>BASEBUDGETS!B2328</f>
        <v>Harvest, Custom</v>
      </c>
      <c r="D78" s="765">
        <f>CustomOperations!R37</f>
        <v>25</v>
      </c>
      <c r="E78" s="771" t="e">
        <f>BASEBUDGETS!E2328/BASEBUDGETS!C2295</f>
        <v>#DIV/0!</v>
      </c>
      <c r="F78" s="770" t="str">
        <f>BASEBUDGETS!C2328</f>
        <v>acre</v>
      </c>
      <c r="G78" s="756">
        <v>0</v>
      </c>
      <c r="H78" s="756">
        <v>0</v>
      </c>
      <c r="I78" s="756" t="e">
        <f>IF(E78=0,0,BASEBUDGETS!D2328*E78)</f>
        <v>#DIV/0!</v>
      </c>
      <c r="J78" s="765" t="e">
        <f t="shared" ref="J78:J89" si="3">G78+H78+I78</f>
        <v>#DIV/0!</v>
      </c>
    </row>
    <row r="79" spans="2:10" ht="21">
      <c r="C79" s="660" t="str">
        <f>BASEBUDGETS!B2329</f>
        <v>Hauling, Custom</v>
      </c>
      <c r="D79" s="765">
        <f>CustomOperations!R39</f>
        <v>0</v>
      </c>
      <c r="E79" s="771" t="e">
        <f>BASEBUDGETS!E2329/BASEBUDGETS!C2295</f>
        <v>#DIV/0!</v>
      </c>
      <c r="F79" s="770" t="str">
        <f>BASEBUDGETS!C2329</f>
        <v>mile</v>
      </c>
      <c r="G79" s="756">
        <v>0</v>
      </c>
      <c r="H79" s="756">
        <v>0</v>
      </c>
      <c r="I79" s="756" t="e">
        <f>IF(E79=0,0,BASEBUDGETS!D2329*E79)</f>
        <v>#DIV/0!</v>
      </c>
      <c r="J79" s="765" t="e">
        <f t="shared" si="3"/>
        <v>#DIV/0!</v>
      </c>
    </row>
    <row r="80" spans="2:10" ht="21">
      <c r="C80" s="660" t="str">
        <f>BASEBUDGETS!B2330</f>
        <v>Gin Cotton/Drying/Swathing, Custom</v>
      </c>
      <c r="D80" s="765">
        <f>CustomOperations!R41</f>
        <v>0</v>
      </c>
      <c r="E80" s="771" t="e">
        <f>BASEBUDGETS!E2330/BASEBUDGETS!C2295</f>
        <v>#DIV/0!</v>
      </c>
      <c r="F80" s="770" t="str">
        <f>BASEBUDGETS!C2330</f>
        <v>bale</v>
      </c>
      <c r="G80" s="756">
        <v>0</v>
      </c>
      <c r="H80" s="756">
        <v>0</v>
      </c>
      <c r="I80" s="756" t="e">
        <f>IF(E80=0,0,BASEBUDGETS!D2330*E80)</f>
        <v>#DIV/0!</v>
      </c>
      <c r="J80" s="765" t="e">
        <f t="shared" si="3"/>
        <v>#DIV/0!</v>
      </c>
    </row>
    <row r="81" spans="2:10" ht="21">
      <c r="C81" s="660" t="str">
        <f>TillageOperations!$B$27</f>
        <v>Cotton Picker</v>
      </c>
      <c r="D81" s="765"/>
      <c r="E81" s="771" t="e">
        <f>BASEBUDGETS!E2372/BASEBUDGETS!C2295</f>
        <v>#DIV/0!</v>
      </c>
      <c r="F81" s="770" t="str">
        <f>BASEBUDGETS!C2372</f>
        <v>acre</v>
      </c>
      <c r="G81" s="756" t="e">
        <f>IF(E81=0,0,BASEBUDGETS!D2373*E81)</f>
        <v>#DIV/0!</v>
      </c>
      <c r="H81" s="756" t="e">
        <f>IF(E81=0,0,BASEBUDGETS!D2372*E81)</f>
        <v>#DIV/0!</v>
      </c>
      <c r="I81" s="756">
        <v>0</v>
      </c>
      <c r="J81" s="765" t="e">
        <f t="shared" si="3"/>
        <v>#DIV/0!</v>
      </c>
    </row>
    <row r="82" spans="2:10" ht="21">
      <c r="C82" s="781" t="s">
        <v>287</v>
      </c>
      <c r="D82" s="765"/>
      <c r="E82" s="771" t="e">
        <f>BASEBUDGETS!E2374/BASEBUDGETS!C2295</f>
        <v>#DIV/0!</v>
      </c>
      <c r="F82" s="770" t="str">
        <f>BASEBUDGETS!C2374</f>
        <v>acre</v>
      </c>
      <c r="G82" s="756" t="e">
        <f>IF(E82=0,0,BASEBUDGETS!D2375*E82)</f>
        <v>#DIV/0!</v>
      </c>
      <c r="H82" s="756" t="e">
        <f>IF(E82=0,0,BASEBUDGETS!D2374*E82)</f>
        <v>#DIV/0!</v>
      </c>
      <c r="I82" s="756">
        <v>0</v>
      </c>
      <c r="J82" s="765" t="e">
        <f t="shared" si="3"/>
        <v>#DIV/0!</v>
      </c>
    </row>
    <row r="83" spans="2:10" ht="21">
      <c r="C83" s="660" t="str">
        <f>TillageOperations!$B$29</f>
        <v>Haul Cotton</v>
      </c>
      <c r="D83" s="765"/>
      <c r="E83" s="771" t="e">
        <f>BASEBUDGETS!E2376/BASEBUDGETS!C2295</f>
        <v>#DIV/0!</v>
      </c>
      <c r="F83" s="770" t="str">
        <f>BASEBUDGETS!C2376</f>
        <v>acre</v>
      </c>
      <c r="G83" s="756" t="e">
        <f>IF(E83=0,0,BASEBUDGETS!D2377*E83)</f>
        <v>#DIV/0!</v>
      </c>
      <c r="H83" s="756" t="e">
        <f>IF(E83=0,0,BASEBUDGETS!D2376*E83)</f>
        <v>#DIV/0!</v>
      </c>
      <c r="I83" s="756">
        <v>0</v>
      </c>
      <c r="J83" s="765" t="e">
        <f t="shared" si="3"/>
        <v>#DIV/0!</v>
      </c>
    </row>
    <row r="84" spans="2:10" ht="21">
      <c r="C84" s="660" t="str">
        <f>TillageOperations!$B$30</f>
        <v>Combine</v>
      </c>
      <c r="D84" s="765"/>
      <c r="E84" s="771" t="e">
        <f>BASEBUDGETS!E2380/BASEBUDGETS!C2295</f>
        <v>#DIV/0!</v>
      </c>
      <c r="F84" s="770" t="str">
        <f>BASEBUDGETS!C2380</f>
        <v>acre</v>
      </c>
      <c r="G84" s="756" t="e">
        <f>IF(E84=0,0,BASEBUDGETS!D2381*E84)</f>
        <v>#DIV/0!</v>
      </c>
      <c r="H84" s="756" t="e">
        <f>IF(E84=0,0,BASEBUDGETS!D2380*E84)</f>
        <v>#DIV/0!</v>
      </c>
      <c r="I84" s="756">
        <v>0</v>
      </c>
      <c r="J84" s="765" t="e">
        <f t="shared" si="3"/>
        <v>#DIV/0!</v>
      </c>
    </row>
    <row r="85" spans="2:10" ht="21">
      <c r="C85" s="660" t="str">
        <f>TillageOperations!$B$31</f>
        <v>Grain Cart</v>
      </c>
      <c r="D85" s="765"/>
      <c r="E85" s="771" t="e">
        <f>BASEBUDGETS!E2382/BASEBUDGETS!C2295</f>
        <v>#DIV/0!</v>
      </c>
      <c r="F85" s="770" t="str">
        <f>BASEBUDGETS!C2382</f>
        <v>acre</v>
      </c>
      <c r="G85" s="756" t="e">
        <f>IF(E85=0,0,BASEBUDGETS!D2383*E85)</f>
        <v>#DIV/0!</v>
      </c>
      <c r="H85" s="756" t="e">
        <f>IF(E85=0,0,BASEBUDGETS!D2382*E85)</f>
        <v>#DIV/0!</v>
      </c>
      <c r="I85" s="756">
        <v>0</v>
      </c>
      <c r="J85" s="765" t="e">
        <f t="shared" si="3"/>
        <v>#DIV/0!</v>
      </c>
    </row>
    <row r="86" spans="2:10" ht="21">
      <c r="C86" s="660" t="str">
        <f>TillageOperations!$B$32</f>
        <v>Swather</v>
      </c>
      <c r="D86" s="765"/>
      <c r="E86" s="771" t="e">
        <f>BASEBUDGETS!E2384/BASEBUDGETS!C2295</f>
        <v>#DIV/0!</v>
      </c>
      <c r="F86" s="770" t="str">
        <f>BASEBUDGETS!C2384</f>
        <v>acre</v>
      </c>
      <c r="G86" s="756" t="e">
        <f>IF(E86=0,0,BASEBUDGETS!D2385*E86)</f>
        <v>#DIV/0!</v>
      </c>
      <c r="H86" s="756" t="e">
        <f>IF(E86=0,0,BASEBUDGETS!D2384*E86)</f>
        <v>#DIV/0!</v>
      </c>
      <c r="I86" s="756">
        <v>0</v>
      </c>
      <c r="J86" s="765" t="e">
        <f t="shared" si="3"/>
        <v>#DIV/0!</v>
      </c>
    </row>
    <row r="87" spans="2:10" ht="21">
      <c r="C87" s="660" t="str">
        <f>TillageOperations!$B$33</f>
        <v>Baler</v>
      </c>
      <c r="D87" s="765"/>
      <c r="E87" s="771" t="e">
        <f>BASEBUDGETS!E2386/BASEBUDGETS!C2295</f>
        <v>#DIV/0!</v>
      </c>
      <c r="F87" s="770" t="str">
        <f>BASEBUDGETS!C2386</f>
        <v>acre</v>
      </c>
      <c r="G87" s="756" t="e">
        <f>IF(E87=0,0,BASEBUDGETS!D2387*E87)</f>
        <v>#DIV/0!</v>
      </c>
      <c r="H87" s="756" t="e">
        <f>IF(E87=0,0,BASEBUDGETS!D2386*E87)</f>
        <v>#DIV/0!</v>
      </c>
      <c r="I87" s="756" t="e">
        <f>IF(E87=0,0,D90*E90)</f>
        <v>#DIV/0!</v>
      </c>
      <c r="J87" s="765" t="e">
        <f t="shared" si="3"/>
        <v>#DIV/0!</v>
      </c>
    </row>
    <row r="88" spans="2:10" ht="21">
      <c r="C88" s="660" t="str">
        <f>TillageOperations!$B$34</f>
        <v>Swather</v>
      </c>
      <c r="D88" s="765"/>
      <c r="E88" s="771" t="e">
        <f>BASEBUDGETS!E2388/BASEBUDGETS!C2295</f>
        <v>#DIV/0!</v>
      </c>
      <c r="F88" s="770" t="str">
        <f>BASEBUDGETS!C2388</f>
        <v>acre</v>
      </c>
      <c r="G88" s="756" t="e">
        <f>IF(E88=0,0,BASEBUDGETS!D2389*E88)</f>
        <v>#DIV/0!</v>
      </c>
      <c r="H88" s="756" t="e">
        <f>IF(E88=0,0,BASEBUDGETS!D2388*E88)</f>
        <v>#DIV/0!</v>
      </c>
      <c r="I88" s="756">
        <v>0</v>
      </c>
      <c r="J88" s="765" t="e">
        <f t="shared" si="3"/>
        <v>#DIV/0!</v>
      </c>
    </row>
    <row r="89" spans="2:10" ht="21">
      <c r="C89" s="660" t="str">
        <f>TillageOperations!$B$35</f>
        <v>Baler</v>
      </c>
      <c r="D89" s="765"/>
      <c r="E89" s="771" t="e">
        <f>BASEBUDGETS!E2390/BASEBUDGETS!C2295</f>
        <v>#DIV/0!</v>
      </c>
      <c r="F89" s="770" t="str">
        <f>BASEBUDGETS!C2390</f>
        <v>acre</v>
      </c>
      <c r="G89" s="756" t="e">
        <f>IF(E89=0,0,BASEBUDGETS!D2391*E89)</f>
        <v>#DIV/0!</v>
      </c>
      <c r="H89" s="756" t="e">
        <f>IF(E89=0,0,BASEBUDGETS!D2390*E89)</f>
        <v>#DIV/0!</v>
      </c>
      <c r="I89" s="756" t="e">
        <f>IF(E89=0,0,D90*E90)</f>
        <v>#DIV/0!</v>
      </c>
      <c r="J89" s="765" t="e">
        <f t="shared" si="3"/>
        <v>#DIV/0!</v>
      </c>
    </row>
    <row r="90" spans="2:10" ht="21">
      <c r="C90" s="660" t="str">
        <f>'Inputs&amp;PricesbyCrop'!$B$31</f>
        <v xml:space="preserve">   - Baling Twine</v>
      </c>
      <c r="D90" s="765">
        <f>BASEBUDGETS!D2392</f>
        <v>0</v>
      </c>
      <c r="E90" s="775" t="e">
        <f>BASEBUDGETS!E2392/BASEBUDGETS!C2295</f>
        <v>#DIV/0!</v>
      </c>
      <c r="F90" s="769" t="str">
        <f>'Inputs&amp;PricesbyCrop'!$C$31</f>
        <v>acre</v>
      </c>
      <c r="G90" s="756"/>
      <c r="H90" s="756"/>
      <c r="I90" s="756"/>
      <c r="J90" s="765"/>
    </row>
    <row r="91" spans="2:10" ht="21">
      <c r="C91" s="660" t="str">
        <f>TillageOperations!$B$36</f>
        <v>Bale Wagon</v>
      </c>
      <c r="D91" s="765"/>
      <c r="E91" s="771" t="e">
        <f>BASEBUDGETS!E2393/BASEBUDGETS!C2295</f>
        <v>#DIV/0!</v>
      </c>
      <c r="F91" s="770" t="str">
        <f>BASEBUDGETS!C2393</f>
        <v>acre</v>
      </c>
      <c r="G91" s="756" t="e">
        <f>IF(E91=0,0,BASEBUDGETS!D2394*E91)</f>
        <v>#DIV/0!</v>
      </c>
      <c r="H91" s="756" t="e">
        <f>IF(E91=0,0,BASEBUDGETS!D2393*E91)</f>
        <v>#DIV/0!</v>
      </c>
      <c r="I91" s="756">
        <v>0</v>
      </c>
      <c r="J91" s="765" t="e">
        <f t="shared" ref="J91:J93" si="4">G91+H91+I91</f>
        <v>#DIV/0!</v>
      </c>
    </row>
    <row r="92" spans="2:10" ht="21">
      <c r="C92" s="660" t="str">
        <f>BASEBUDGETS!B2407</f>
        <v>Additional Harvest Labor</v>
      </c>
      <c r="D92" s="765">
        <f>GeneralInputPrices!$D$32</f>
        <v>17.89</v>
      </c>
      <c r="E92" s="771" t="e">
        <f>BASEBUDGETS!E2407/BASEBUDGETS!C2295</f>
        <v>#DIV/0!</v>
      </c>
      <c r="F92" s="770" t="str">
        <f>BASEBUDGETS!C2407</f>
        <v>hour</v>
      </c>
      <c r="G92" s="756" t="e">
        <f>D92*E92</f>
        <v>#DIV/0!</v>
      </c>
      <c r="H92" s="756">
        <v>0</v>
      </c>
      <c r="I92" s="756">
        <v>0</v>
      </c>
      <c r="J92" s="765" t="e">
        <f t="shared" si="4"/>
        <v>#DIV/0!</v>
      </c>
    </row>
    <row r="93" spans="2:10" ht="21">
      <c r="C93" s="660" t="str">
        <f>BASEBUDGETS!B2408</f>
        <v>Additional Harvest Labor</v>
      </c>
      <c r="D93" s="765">
        <f>GeneralInputPrices!$D$32</f>
        <v>17.89</v>
      </c>
      <c r="E93" s="771" t="e">
        <f>BASEBUDGETS!E2408/BASEBUDGETS!C2295</f>
        <v>#DIV/0!</v>
      </c>
      <c r="F93" s="770" t="str">
        <f>BASEBUDGETS!C2408</f>
        <v>hour</v>
      </c>
      <c r="G93" s="756" t="e">
        <f>D93*E93</f>
        <v>#DIV/0!</v>
      </c>
      <c r="H93" s="756">
        <v>0</v>
      </c>
      <c r="I93" s="756">
        <v>0</v>
      </c>
      <c r="J93" s="765" t="e">
        <f t="shared" si="4"/>
        <v>#DIV/0!</v>
      </c>
    </row>
    <row r="94" spans="2:10" ht="21">
      <c r="B94" s="760" t="s">
        <v>184</v>
      </c>
      <c r="C94" s="760"/>
      <c r="D94" s="765"/>
      <c r="E94" s="771"/>
      <c r="F94" s="770"/>
      <c r="G94" s="756"/>
      <c r="H94" s="756"/>
      <c r="I94" s="756"/>
      <c r="J94" s="765"/>
    </row>
    <row r="95" spans="2:10" ht="21">
      <c r="C95" s="660" t="str">
        <f>BASEBUDGETS!B2409</f>
        <v>Other Expenses</v>
      </c>
      <c r="D95" s="765"/>
      <c r="E95" s="783">
        <f>BASEBUDGETS!D2409</f>
        <v>0.05</v>
      </c>
      <c r="F95" s="780" t="s">
        <v>10</v>
      </c>
      <c r="G95" s="756">
        <v>0</v>
      </c>
      <c r="H95" s="756">
        <v>0</v>
      </c>
      <c r="I95" s="756" t="e">
        <f>SUM(J9:J93)*E95</f>
        <v>#DIV/0!</v>
      </c>
      <c r="J95" s="765" t="e">
        <f>G95+H95+I95</f>
        <v>#DIV/0!</v>
      </c>
    </row>
    <row r="96" spans="2:10" ht="21">
      <c r="C96" s="660" t="str">
        <f>BASEBUDGETS!B2410</f>
        <v>Interest on Operating Capital</v>
      </c>
      <c r="D96" s="765"/>
      <c r="E96" s="783">
        <f>BASEBUDGETS!D2410</f>
        <v>0.06</v>
      </c>
      <c r="F96" s="780" t="s">
        <v>10</v>
      </c>
      <c r="G96" s="784">
        <v>0</v>
      </c>
      <c r="H96" s="784">
        <v>0</v>
      </c>
      <c r="I96" s="784" t="e">
        <f>SUM(J9:J95)*((E96/12)*GeneralInputPrices!$D$39)</f>
        <v>#DIV/0!</v>
      </c>
      <c r="J96" s="785" t="e">
        <f>G96+H96+I96</f>
        <v>#DIV/0!</v>
      </c>
    </row>
    <row r="97" spans="2:10" ht="21">
      <c r="B97" s="660" t="s">
        <v>153</v>
      </c>
      <c r="C97" s="660"/>
      <c r="D97" s="765"/>
      <c r="E97" s="758"/>
      <c r="F97" s="660"/>
      <c r="G97" s="756" t="e">
        <f>SUM(G9:G96)</f>
        <v>#DIV/0!</v>
      </c>
      <c r="H97" s="756" t="e">
        <f>SUM(H9:H96)</f>
        <v>#DIV/0!</v>
      </c>
      <c r="I97" s="756" t="e">
        <f>SUM(I9:I96)</f>
        <v>#DIV/0!</v>
      </c>
      <c r="J97" s="756" t="e">
        <f>SUM(J9:J96)</f>
        <v>#DIV/0!</v>
      </c>
    </row>
    <row r="99" spans="2:10" ht="21">
      <c r="B99" s="660" t="s">
        <v>155</v>
      </c>
      <c r="C99" s="660"/>
      <c r="D99" s="765"/>
      <c r="E99" s="758"/>
      <c r="F99" s="660"/>
      <c r="G99" s="756"/>
      <c r="H99" s="756"/>
      <c r="I99" s="756"/>
      <c r="J99" s="756" t="e">
        <f>J5-J97</f>
        <v>#DIV/0!</v>
      </c>
    </row>
    <row r="101" spans="2:10" ht="21">
      <c r="B101" s="787" t="s">
        <v>78</v>
      </c>
      <c r="C101" s="787"/>
      <c r="D101" s="787"/>
      <c r="E101" s="787"/>
      <c r="F101" s="787"/>
      <c r="G101" s="791"/>
      <c r="H101" s="792" t="s">
        <v>1</v>
      </c>
      <c r="I101" s="767" t="s">
        <v>24</v>
      </c>
      <c r="J101" s="767" t="s">
        <v>0</v>
      </c>
    </row>
    <row r="102" spans="2:10" ht="21">
      <c r="B102" s="754" t="str">
        <f>BASEBUDGETS!B2445</f>
        <v>Crop Insurance</v>
      </c>
      <c r="C102" s="754"/>
      <c r="D102" s="754"/>
      <c r="E102" s="754"/>
      <c r="F102" s="754"/>
      <c r="H102" s="770" t="str">
        <f>BASEBUDGETS!C2445</f>
        <v>acre</v>
      </c>
      <c r="I102" s="756" t="e">
        <f>BASEBUDGETS!F2445/BASEBUDGETS!C2295</f>
        <v>#DIV/0!</v>
      </c>
      <c r="J102" s="756" t="e">
        <f>I102</f>
        <v>#DIV/0!</v>
      </c>
    </row>
    <row r="103" spans="2:10" ht="21">
      <c r="B103" s="760" t="str">
        <f>BASEBUDGETS!B2446</f>
        <v>Property Insurance</v>
      </c>
      <c r="C103" s="760"/>
      <c r="D103" s="760"/>
      <c r="E103" s="760"/>
      <c r="F103" s="760"/>
      <c r="H103" s="770" t="str">
        <f>BASEBUDGETS!C2446</f>
        <v>acre</v>
      </c>
      <c r="I103" s="756" t="e">
        <f>BASEBUDGETS!F2446/BASEBUDGETS!C2295</f>
        <v>#DIV/0!</v>
      </c>
      <c r="J103" s="756" t="e">
        <f>I103</f>
        <v>#DIV/0!</v>
      </c>
    </row>
    <row r="104" spans="2:10" ht="21">
      <c r="B104" s="760" t="str">
        <f>BASEBUDGETS!B2447</f>
        <v>Property Taxes</v>
      </c>
      <c r="C104" s="760"/>
      <c r="D104" s="760"/>
      <c r="E104" s="760"/>
      <c r="F104" s="760"/>
      <c r="H104" s="770" t="str">
        <f>BASEBUDGETS!C2447</f>
        <v>acre</v>
      </c>
      <c r="I104" s="756" t="e">
        <f>BASEBUDGETS!F2447/BASEBUDGETS!C2295</f>
        <v>#DIV/0!</v>
      </c>
      <c r="J104" s="756" t="e">
        <f t="shared" ref="J104:J107" si="5">I104</f>
        <v>#DIV/0!</v>
      </c>
    </row>
    <row r="105" spans="2:10" ht="21">
      <c r="B105" s="760" t="str">
        <f>BASEBUDGETS!B2450</f>
        <v>Licenses and Fees</v>
      </c>
      <c r="C105" s="760"/>
      <c r="D105" s="760"/>
      <c r="E105" s="760"/>
      <c r="F105" s="760"/>
      <c r="H105" s="770" t="str">
        <f>BASEBUDGETS!C2450</f>
        <v>acre</v>
      </c>
      <c r="I105" s="756" t="e">
        <f>BASEBUDGETS!F2450/BASEBUDGETS!C2295</f>
        <v>#DIV/0!</v>
      </c>
      <c r="J105" s="756" t="e">
        <f t="shared" si="5"/>
        <v>#DIV/0!</v>
      </c>
    </row>
    <row r="106" spans="2:10" ht="21">
      <c r="B106" s="794" t="s">
        <v>484</v>
      </c>
      <c r="C106" s="794"/>
      <c r="D106" s="794"/>
      <c r="E106" s="794"/>
      <c r="F106" s="794"/>
      <c r="G106" s="794"/>
      <c r="H106" s="770" t="s">
        <v>157</v>
      </c>
      <c r="I106" s="756">
        <f>IF('AcresYieldsPrices&amp;Water'!D9=0,0,((Fallow!$L$17*'AcresYieldsPrices&amp;Water'!T22)/'AcresYieldsPrices&amp;Water'!D16)*-1)</f>
        <v>0</v>
      </c>
      <c r="J106" s="765">
        <f>I106</f>
        <v>0</v>
      </c>
    </row>
    <row r="107" spans="2:10" ht="21">
      <c r="B107" s="760" t="str">
        <f>BASEBUDGETS!B2448</f>
        <v>Annual Cash Rent Payment</v>
      </c>
      <c r="C107" s="760"/>
      <c r="D107" s="760"/>
      <c r="E107" s="760"/>
      <c r="F107" s="760"/>
      <c r="H107" s="770" t="str">
        <f>BASEBUDGETS!C2448</f>
        <v>acre</v>
      </c>
      <c r="I107" s="756" t="e">
        <f>BASEBUDGETS!F2448/BASEBUDGETS!C2295</f>
        <v>#DIV/0!</v>
      </c>
      <c r="J107" s="784" t="e">
        <f t="shared" si="5"/>
        <v>#DIV/0!</v>
      </c>
    </row>
    <row r="108" spans="2:10" ht="21">
      <c r="B108" s="760" t="s">
        <v>79</v>
      </c>
      <c r="C108" s="760"/>
      <c r="D108" s="760"/>
      <c r="E108" s="760"/>
      <c r="F108" s="760"/>
      <c r="G108" s="756"/>
      <c r="H108" s="756"/>
      <c r="I108" s="756"/>
      <c r="J108" s="765" t="e">
        <f>SUM(J102:J107)</f>
        <v>#DIV/0!</v>
      </c>
    </row>
    <row r="109" spans="2:10">
      <c r="J109" s="786"/>
    </row>
    <row r="110" spans="2:10" ht="21">
      <c r="B110" s="805" t="s">
        <v>154</v>
      </c>
      <c r="C110" s="805"/>
      <c r="D110" s="805"/>
      <c r="E110" s="805"/>
      <c r="F110" s="805"/>
      <c r="G110" s="791"/>
      <c r="H110" s="792" t="s">
        <v>1</v>
      </c>
      <c r="I110" s="767" t="s">
        <v>24</v>
      </c>
      <c r="J110" s="767" t="s">
        <v>0</v>
      </c>
    </row>
    <row r="111" spans="2:10" ht="21">
      <c r="B111" s="760" t="s">
        <v>534</v>
      </c>
      <c r="C111" s="760"/>
      <c r="D111" s="760"/>
      <c r="E111" s="760"/>
      <c r="F111" s="760"/>
      <c r="G111" s="760"/>
      <c r="H111" s="770" t="s">
        <v>157</v>
      </c>
      <c r="I111" s="756" t="e">
        <f>SUM(BASEBUDGETS!F2414:F2416)/BASEBUDGETS!C2295</f>
        <v>#DIV/0!</v>
      </c>
      <c r="J111" s="765" t="e">
        <f>I111</f>
        <v>#DIV/0!</v>
      </c>
    </row>
    <row r="112" spans="2:10" ht="21">
      <c r="B112" s="794" t="s">
        <v>156</v>
      </c>
      <c r="C112" s="794"/>
      <c r="D112" s="794"/>
      <c r="E112" s="794"/>
      <c r="F112" s="794"/>
      <c r="G112" s="756"/>
      <c r="H112" s="770" t="str">
        <f>BASEBUDGETS!C2414</f>
        <v>acre</v>
      </c>
      <c r="I112" s="758" t="e">
        <f>SUM(BASEBUDGETS!F2417:F2444)/BASEBUDGETS!C2295</f>
        <v>#DIV/0!</v>
      </c>
      <c r="J112" s="797" t="e">
        <f>I112</f>
        <v>#DIV/0!</v>
      </c>
    </row>
    <row r="113" spans="2:10" ht="21">
      <c r="B113" s="807" t="s">
        <v>77</v>
      </c>
      <c r="C113" s="807"/>
      <c r="D113" s="807"/>
      <c r="E113" s="807"/>
      <c r="F113" s="807"/>
      <c r="G113" s="756"/>
      <c r="H113" s="756"/>
      <c r="I113" s="756"/>
      <c r="J113" s="678" t="e">
        <f>J112+J111</f>
        <v>#DIV/0!</v>
      </c>
    </row>
    <row r="114" spans="2:10" ht="21">
      <c r="B114" s="660"/>
      <c r="C114" s="660"/>
      <c r="D114" s="765"/>
      <c r="E114" s="758"/>
      <c r="F114" s="660"/>
      <c r="G114" s="756"/>
      <c r="H114" s="756"/>
      <c r="I114" s="756"/>
      <c r="J114" s="765"/>
    </row>
    <row r="115" spans="2:10" ht="20.399999999999999">
      <c r="B115" s="808" t="s">
        <v>63</v>
      </c>
      <c r="C115" s="808"/>
      <c r="D115" s="808"/>
      <c r="E115" s="808"/>
      <c r="F115" s="808"/>
      <c r="G115" s="764"/>
      <c r="H115" s="764"/>
      <c r="I115" s="764"/>
      <c r="J115" s="801">
        <f>IF(I4=0,0,J97+J108+J113)</f>
        <v>0</v>
      </c>
    </row>
    <row r="116" spans="2:10" ht="20.399999999999999">
      <c r="B116" s="805" t="s">
        <v>64</v>
      </c>
      <c r="C116" s="805"/>
      <c r="D116" s="805"/>
      <c r="E116" s="805"/>
      <c r="F116" s="805"/>
      <c r="G116" s="803"/>
      <c r="H116" s="803"/>
      <c r="I116" s="803"/>
      <c r="J116" s="788">
        <f>J5-J115</f>
        <v>0</v>
      </c>
    </row>
  </sheetData>
  <sheetProtection algorithmName="SHA-512" hashValue="Y+whVBwjYz/pTU1wJHfGmwBEpBsqGZ7KkTtR+fxermteTxJhOwB53/M6gbCVBn5rFtylvth47fJjan+BE07Dsg==" saltValue="n7e4XaV3m+qJK9LPH0gxXA==" spinCount="100000" sheet="1" objects="1" scenarios="1"/>
  <mergeCells count="21">
    <mergeCell ref="B115:F115"/>
    <mergeCell ref="B116:F116"/>
    <mergeCell ref="B105:F105"/>
    <mergeCell ref="B107:F107"/>
    <mergeCell ref="B108:F108"/>
    <mergeCell ref="B110:F110"/>
    <mergeCell ref="B112:F112"/>
    <mergeCell ref="B113:F113"/>
    <mergeCell ref="B106:G106"/>
    <mergeCell ref="B94:C94"/>
    <mergeCell ref="B102:F102"/>
    <mergeCell ref="B103:F103"/>
    <mergeCell ref="B2:F2"/>
    <mergeCell ref="B111:G111"/>
    <mergeCell ref="G2:I2"/>
    <mergeCell ref="B104:F104"/>
    <mergeCell ref="B3:C3"/>
    <mergeCell ref="B8:C8"/>
    <mergeCell ref="B31:C31"/>
    <mergeCell ref="B77:C77"/>
    <mergeCell ref="B4:E4"/>
  </mergeCells>
  <pageMargins left="0.7" right="0.7" top="0.75" bottom="0.75" header="0.3" footer="0.3"/>
  <pageSetup scale="57" orientation="portrait" horizontalDpi="0" verticalDpi="0"/>
  <ignoredErrors>
    <ignoredError sqref="K29:K36 B114:J114 B5:J5 K39:K53 K38 B115:J116 G2 D9:D17 D40:D41 D62 D32:D33 D37 D52 D78:D80 K17:L18 C28:D28 K9:K16 K19:K27 B4 F4:J4 C67:D74 I52 I54 I40:I41 I44 C65:D65 F67:F74" unlockedFormula="1"/>
    <ignoredError sqref="J52:J54 B52:C53 B29:C31 B32:C36 D34:I36 E32:I33 J32:J37 B9:C17 E9:J17 B38:C41 B75:C77 B107:H110 B78:C80 E78:J80 D38:J39 E55:J62 E52:H53 D75:J77 B42:D51 D29:J31 D53:D61 E45:J51 E44:H44 J44 E40:H41 J40:J41 B94:J105 B18:J27 B81:J93 E28:J28 D63:J63 G67:J68 B66:D66 F66:J66 B70:B74 G70:J74 B67:B68 D64:F64 B112:I113 I53 E42:J43 B55:C64 I106 J112:J113 J106 I107:J110 I111:J111 I64:J64 E65 E67:E74" evalError="1" unlockedFormula="1"/>
    <ignoredError sqref="B54:C54 E54:H54 G64 E66" evalError="1"/>
  </ignoredErrors>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A1C1-8DC6-004D-96F6-71229A58FE92}">
  <sheetPr codeName="Sheet35">
    <pageSetUpPr fitToPage="1"/>
  </sheetPr>
  <dimension ref="A1:N115"/>
  <sheetViews>
    <sheetView zoomScale="110" zoomScaleNormal="110" workbookViewId="0">
      <selection activeCell="G5" sqref="G5"/>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s="611" customFormat="1" ht="15" thickBot="1">
      <c r="D1" s="786"/>
      <c r="E1" s="774"/>
      <c r="G1" s="828"/>
      <c r="H1" s="828"/>
      <c r="I1" s="828"/>
      <c r="J1" s="757"/>
    </row>
    <row r="2" spans="2:14" s="611" customFormat="1" ht="22.8">
      <c r="B2" s="746" t="s">
        <v>488</v>
      </c>
      <c r="C2" s="746"/>
      <c r="D2" s="746"/>
      <c r="E2" s="746"/>
      <c r="F2" s="746"/>
      <c r="G2" s="829" t="str">
        <f>'AcresYieldsPrices&amp;Water'!B17</f>
        <v>Alt Crop #3</v>
      </c>
      <c r="H2" s="829"/>
      <c r="I2" s="829"/>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BASEBUDGETS!B2461</f>
        <v>Alt Crop #3</v>
      </c>
      <c r="C4" s="754"/>
      <c r="D4" s="754"/>
      <c r="E4" s="754"/>
      <c r="F4" s="755" t="str">
        <f>BASEBUDGETS!C2461</f>
        <v>bushel</v>
      </c>
      <c r="G4" s="756">
        <f>BASEBUDGETS!D2461</f>
        <v>0</v>
      </c>
      <c r="H4" s="757"/>
      <c r="I4" s="758">
        <f>IF(BASEBUDGETS!E2461=0,0,BASEBUDGETS!E2461/BASEBUDGETS!C2457)</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BASEBUDGETS!B2496</f>
        <v>V Ripper, Custom</v>
      </c>
      <c r="D9" s="765">
        <f>CustomOperations!S5</f>
        <v>44.25</v>
      </c>
      <c r="E9" s="771" t="e">
        <f>BASEBUDGETS!E2496/BASEBUDGETS!C2457</f>
        <v>#DIV/0!</v>
      </c>
      <c r="F9" s="770" t="str">
        <f>BASEBUDGETS!C2496</f>
        <v>acre</v>
      </c>
      <c r="G9" s="756">
        <v>0</v>
      </c>
      <c r="H9" s="756">
        <v>0</v>
      </c>
      <c r="I9" s="756" t="e">
        <f>IF(E9=0,0,BASEBUDGETS!D2496*E9)</f>
        <v>#DIV/0!</v>
      </c>
      <c r="J9" s="765" t="e">
        <f>G9+H9+I9</f>
        <v>#DIV/0!</v>
      </c>
      <c r="L9" s="772">
        <f>N9*'AcresYieldsPrices&amp;Water'!D$17</f>
        <v>0</v>
      </c>
      <c r="M9" s="611" t="s">
        <v>394</v>
      </c>
      <c r="N9" s="653">
        <f>IFERROR(I37,0)</f>
        <v>0</v>
      </c>
    </row>
    <row r="10" spans="2:14" s="611" customFormat="1" ht="21">
      <c r="C10" s="660" t="str">
        <f>BASEBUDGETS!B2497</f>
        <v>Disk, Custom</v>
      </c>
      <c r="D10" s="765">
        <f>CustomOperations!S7</f>
        <v>0</v>
      </c>
      <c r="E10" s="771" t="e">
        <f>BASEBUDGETS!E2497/BASEBUDGETS!C2457</f>
        <v>#DIV/0!</v>
      </c>
      <c r="F10" s="770" t="str">
        <f>BASEBUDGETS!C2497</f>
        <v>acre</v>
      </c>
      <c r="G10" s="756">
        <v>0</v>
      </c>
      <c r="H10" s="756">
        <v>0</v>
      </c>
      <c r="I10" s="756" t="e">
        <f>IF(E10=0,0,BASEBUDGETS!D2497*E10)</f>
        <v>#DIV/0!</v>
      </c>
      <c r="J10" s="765" t="e">
        <f>G10+H10+I10</f>
        <v>#DIV/0!</v>
      </c>
      <c r="L10" s="772">
        <f>N10*'AcresYieldsPrices&amp;Water'!D$17</f>
        <v>0</v>
      </c>
      <c r="M10" s="611" t="s">
        <v>395</v>
      </c>
      <c r="N10" s="653">
        <f>IFERROR(I44,0)</f>
        <v>0</v>
      </c>
    </row>
    <row r="11" spans="2:14" s="611" customFormat="1" ht="21">
      <c r="C11" s="660" t="str">
        <f>BASEBUDGETS!B2498</f>
        <v>Drag, Custom</v>
      </c>
      <c r="D11" s="765">
        <f>CustomOperations!S9</f>
        <v>0</v>
      </c>
      <c r="E11" s="771" t="e">
        <f>BASEBUDGETS!E2498/BASEBUDGETS!C2457</f>
        <v>#DIV/0!</v>
      </c>
      <c r="F11" s="770" t="str">
        <f>BASEBUDGETS!C2498</f>
        <v>acre</v>
      </c>
      <c r="G11" s="756">
        <v>0</v>
      </c>
      <c r="H11" s="756">
        <v>0</v>
      </c>
      <c r="I11" s="756" t="e">
        <f>IF(E11=0,0,BASEBUDGETS!D2498*E11)</f>
        <v>#DIV/0!</v>
      </c>
      <c r="J11" s="765" t="e">
        <f t="shared" ref="J11:J30" si="0">G11+H11+I11</f>
        <v>#DIV/0!</v>
      </c>
      <c r="L11" s="772">
        <f>N11*'AcresYieldsPrices&amp;Water'!D$17</f>
        <v>0</v>
      </c>
      <c r="M11" s="611" t="s">
        <v>396</v>
      </c>
      <c r="N11" s="653">
        <f>IFERROR(I54,0)</f>
        <v>0</v>
      </c>
    </row>
    <row r="12" spans="2:14" s="611" customFormat="1" ht="21">
      <c r="C12" s="660" t="str">
        <f>BASEBUDGETS!B2499</f>
        <v>Chisel, Custom</v>
      </c>
      <c r="D12" s="765">
        <f>CustomOperations!S11</f>
        <v>0</v>
      </c>
      <c r="E12" s="771" t="e">
        <f>BASEBUDGETS!E2499/BASEBUDGETS!C2457</f>
        <v>#DIV/0!</v>
      </c>
      <c r="F12" s="770" t="str">
        <f>BASEBUDGETS!C2499</f>
        <v>acre</v>
      </c>
      <c r="G12" s="756">
        <v>0</v>
      </c>
      <c r="H12" s="756">
        <v>0</v>
      </c>
      <c r="I12" s="756" t="e">
        <f>IF(E12=0,0,BASEBUDGETS!D2499*E12)</f>
        <v>#DIV/0!</v>
      </c>
      <c r="J12" s="765" t="e">
        <f t="shared" si="0"/>
        <v>#DIV/0!</v>
      </c>
      <c r="L12" s="772">
        <f>N12*'AcresYieldsPrices&amp;Water'!D$17</f>
        <v>0</v>
      </c>
      <c r="M12" s="611" t="s">
        <v>392</v>
      </c>
      <c r="N12" s="653">
        <f>IFERROR(E29+E30+E74+E75+E91+E92+E72+E69+E66,0)</f>
        <v>0</v>
      </c>
    </row>
    <row r="13" spans="2:14" s="611" customFormat="1" ht="21">
      <c r="C13" s="660" t="str">
        <f>BASEBUDGETS!B2500</f>
        <v>Moldboard Plow, Custom</v>
      </c>
      <c r="D13" s="765">
        <f>CustomOperations!S13</f>
        <v>0</v>
      </c>
      <c r="E13" s="771" t="e">
        <f>BASEBUDGETS!E2500/BASEBUDGETS!C2457</f>
        <v>#DIV/0!</v>
      </c>
      <c r="F13" s="770" t="str">
        <f>BASEBUDGETS!C2500</f>
        <v>acre</v>
      </c>
      <c r="G13" s="756">
        <v>0</v>
      </c>
      <c r="H13" s="756">
        <v>0</v>
      </c>
      <c r="I13" s="756" t="e">
        <f>IF(E13=0,0,BASEBUDGETS!D2500*E13)</f>
        <v>#DIV/0!</v>
      </c>
      <c r="J13" s="765" t="e">
        <f t="shared" si="0"/>
        <v>#DIV/0!</v>
      </c>
      <c r="L13" s="772">
        <f>N13*'AcresYieldsPrices&amp;Water'!D$17</f>
        <v>0</v>
      </c>
      <c r="M13" s="611" t="s">
        <v>393</v>
      </c>
      <c r="N13" s="653">
        <f>IFERROR(((SUM(G18:G28)+G36+G34+G35+G43+G42+G53+G63+SUM(G80:G90))/[2]GeneralInputPrices!$D$20),0)</f>
        <v>0</v>
      </c>
    </row>
    <row r="14" spans="2:14" s="611" customFormat="1" ht="21">
      <c r="C14" s="660" t="str">
        <f>BASEBUDGETS!B2501</f>
        <v>Landplane, Custom</v>
      </c>
      <c r="D14" s="765">
        <f>CustomOperations!S15</f>
        <v>17.940000000000001</v>
      </c>
      <c r="E14" s="771" t="e">
        <f>BASEBUDGETS!E2501/BASEBUDGETS!C2457</f>
        <v>#DIV/0!</v>
      </c>
      <c r="F14" s="770" t="str">
        <f>BASEBUDGETS!C2501</f>
        <v>acre</v>
      </c>
      <c r="G14" s="756">
        <v>0</v>
      </c>
      <c r="H14" s="756">
        <v>0</v>
      </c>
      <c r="I14" s="756" t="e">
        <f>IF(E14=0,0,BASEBUDGETS!D2501*E14)</f>
        <v>#DIV/0!</v>
      </c>
      <c r="J14" s="765" t="e">
        <f t="shared" si="0"/>
        <v>#DIV/0!</v>
      </c>
      <c r="L14" s="772">
        <f>N14*'AcresYieldsPrices&amp;Water'!D$17</f>
        <v>0</v>
      </c>
      <c r="M14" s="611" t="s">
        <v>186</v>
      </c>
      <c r="N14" s="653">
        <f>IFERROR(H96,0)</f>
        <v>0</v>
      </c>
    </row>
    <row r="15" spans="2:14" s="611" customFormat="1" ht="21">
      <c r="C15" s="660" t="str">
        <f>BASEBUDGETS!B2502</f>
        <v>Float, Custom</v>
      </c>
      <c r="D15" s="765">
        <f>CustomOperations!S17</f>
        <v>17.940000000000001</v>
      </c>
      <c r="E15" s="771" t="e">
        <f>BASEBUDGETS!E2502/BASEBUDGETS!C2457</f>
        <v>#DIV/0!</v>
      </c>
      <c r="F15" s="770" t="str">
        <f>BASEBUDGETS!C2502</f>
        <v>acre</v>
      </c>
      <c r="G15" s="756">
        <v>0</v>
      </c>
      <c r="H15" s="756">
        <v>0</v>
      </c>
      <c r="I15" s="756" t="e">
        <f>IF(E15=0,0,BASEBUDGETS!D2502*E15)</f>
        <v>#DIV/0!</v>
      </c>
      <c r="J15" s="765" t="e">
        <f t="shared" si="0"/>
        <v>#DIV/0!</v>
      </c>
      <c r="L15" s="772">
        <f>N15*'AcresYieldsPrices&amp;Water'!D$17</f>
        <v>0</v>
      </c>
      <c r="M15" s="611" t="s">
        <v>401</v>
      </c>
      <c r="N15" s="653">
        <f>IFERROR(J111,0)</f>
        <v>0</v>
      </c>
    </row>
    <row r="16" spans="2:14" s="611" customFormat="1" ht="21">
      <c r="C16" s="660" t="str">
        <f>BASEBUDGETS!B2503</f>
        <v>Lister, Custom</v>
      </c>
      <c r="D16" s="765">
        <f>CustomOperations!S19</f>
        <v>20.38</v>
      </c>
      <c r="E16" s="771" t="e">
        <f>BASEBUDGETS!E2503/BASEBUDGETS!C2457</f>
        <v>#DIV/0!</v>
      </c>
      <c r="F16" s="770" t="str">
        <f>BASEBUDGETS!C2503</f>
        <v>acre</v>
      </c>
      <c r="G16" s="756">
        <v>0</v>
      </c>
      <c r="H16" s="756">
        <v>0</v>
      </c>
      <c r="I16" s="756" t="e">
        <f>IF(E16=0,0,BASEBUDGETS!D2503*E16)</f>
        <v>#DIV/0!</v>
      </c>
      <c r="J16" s="765" t="e">
        <f t="shared" si="0"/>
        <v>#DIV/0!</v>
      </c>
      <c r="L16" s="772">
        <f>N16*'AcresYieldsPrices&amp;Water'!D$17</f>
        <v>0</v>
      </c>
      <c r="M16" s="611" t="s">
        <v>405</v>
      </c>
      <c r="N16" s="653">
        <f>IFERROR((J79+J78+J77+J62+J52+J41+J40+J33+J32+SUM(J9:J17)),0)</f>
        <v>0</v>
      </c>
    </row>
    <row r="17" spans="2:10" s="611" customFormat="1" ht="21">
      <c r="C17" s="660" t="str">
        <f>BASEBUDGETS!B2504</f>
        <v>Bed Shape, Custom</v>
      </c>
      <c r="D17" s="765">
        <f>CustomOperations!S21</f>
        <v>13.69</v>
      </c>
      <c r="E17" s="771" t="e">
        <f>BASEBUDGETS!E2504/BASEBUDGETS!C2457</f>
        <v>#DIV/0!</v>
      </c>
      <c r="F17" s="770" t="str">
        <f>BASEBUDGETS!C2504</f>
        <v>acre</v>
      </c>
      <c r="G17" s="756">
        <v>0</v>
      </c>
      <c r="H17" s="756">
        <v>0</v>
      </c>
      <c r="I17" s="756" t="e">
        <f>IF(E17=0,0,BASEBUDGETS!D2504*E17)</f>
        <v>#DIV/0!</v>
      </c>
      <c r="J17" s="765" t="e">
        <f t="shared" si="0"/>
        <v>#DIV/0!</v>
      </c>
    </row>
    <row r="18" spans="2:10" s="611" customFormat="1" ht="21">
      <c r="C18" s="660" t="str">
        <f>TillageOperations!$B$7</f>
        <v>V-Ripper</v>
      </c>
      <c r="D18" s="765"/>
      <c r="E18" s="771" t="e">
        <f>BASEBUDGETS!E2508/BASEBUDGETS!C2457</f>
        <v>#DIV/0!</v>
      </c>
      <c r="F18" s="770" t="str">
        <f>BASEBUDGETS!C2508</f>
        <v>acre</v>
      </c>
      <c r="G18" s="756" t="e">
        <f>IF(E18=0,0,BASEBUDGETS!D2509*E18)</f>
        <v>#DIV/0!</v>
      </c>
      <c r="H18" s="756" t="e">
        <f>IF(E18=0,0,BASEBUDGETS!D2508*E18)</f>
        <v>#DIV/0!</v>
      </c>
      <c r="I18" s="756">
        <v>0</v>
      </c>
      <c r="J18" s="765" t="e">
        <f t="shared" si="0"/>
        <v>#DIV/0!</v>
      </c>
    </row>
    <row r="19" spans="2:10" s="611" customFormat="1" ht="21">
      <c r="C19" s="660" t="str">
        <f>TillageOperations!$B$8</f>
        <v>Offset Disk</v>
      </c>
      <c r="D19" s="765"/>
      <c r="E19" s="771" t="e">
        <f>BASEBUDGETS!E2510/BASEBUDGETS!C2457</f>
        <v>#DIV/0!</v>
      </c>
      <c r="F19" s="770" t="str">
        <f>BASEBUDGETS!C2510</f>
        <v>acre</v>
      </c>
      <c r="G19" s="756" t="e">
        <f>IF(E19=0,0,BASEBUDGETS!D2511*E19)</f>
        <v>#DIV/0!</v>
      </c>
      <c r="H19" s="756" t="e">
        <f>IF(E19=0,0,BASEBUDGETS!D2510*E19)</f>
        <v>#DIV/0!</v>
      </c>
      <c r="I19" s="756">
        <v>0</v>
      </c>
      <c r="J19" s="765" t="e">
        <f t="shared" si="0"/>
        <v>#DIV/0!</v>
      </c>
    </row>
    <row r="20" spans="2:10" s="611" customFormat="1" ht="21">
      <c r="C20" s="660" t="str">
        <f>TillageOperations!$B$9</f>
        <v>Drag</v>
      </c>
      <c r="D20" s="765"/>
      <c r="E20" s="771" t="e">
        <f>BASEBUDGETS!E2512/BASEBUDGETS!C2457</f>
        <v>#DIV/0!</v>
      </c>
      <c r="F20" s="770" t="str">
        <f>BASEBUDGETS!C2512</f>
        <v>acre</v>
      </c>
      <c r="G20" s="756" t="e">
        <f>IF(E20=0,0,BASEBUDGETS!D2513*E20)</f>
        <v>#DIV/0!</v>
      </c>
      <c r="H20" s="756" t="e">
        <f>IF(E20=0,0,BASEBUDGETS!D2512*E20)</f>
        <v>#DIV/0!</v>
      </c>
      <c r="I20" s="756">
        <v>0</v>
      </c>
      <c r="J20" s="765" t="e">
        <f t="shared" si="0"/>
        <v>#DIV/0!</v>
      </c>
    </row>
    <row r="21" spans="2:10" s="611" customFormat="1" ht="21">
      <c r="C21" s="660" t="str">
        <f>TillageOperations!$B$10</f>
        <v>Chisel</v>
      </c>
      <c r="D21" s="765"/>
      <c r="E21" s="771" t="e">
        <f>BASEBUDGETS!E2514/BASEBUDGETS!C2457</f>
        <v>#DIV/0!</v>
      </c>
      <c r="F21" s="770" t="str">
        <f>BASEBUDGETS!C2514</f>
        <v>acre</v>
      </c>
      <c r="G21" s="756" t="e">
        <f>IF(E21=0,0,BASEBUDGETS!D2515*E21)</f>
        <v>#DIV/0!</v>
      </c>
      <c r="H21" s="756" t="e">
        <f>IF(E21=0,0,BASEBUDGETS!D2514*E21)</f>
        <v>#DIV/0!</v>
      </c>
      <c r="I21" s="756">
        <v>0</v>
      </c>
      <c r="J21" s="765" t="e">
        <f t="shared" si="0"/>
        <v>#DIV/0!</v>
      </c>
    </row>
    <row r="22" spans="2:10" s="611" customFormat="1" ht="21">
      <c r="C22" s="660" t="str">
        <f>TillageOperations!$B$11</f>
        <v>Moldboard Plow</v>
      </c>
      <c r="D22" s="765"/>
      <c r="E22" s="771" t="e">
        <f>BASEBUDGETS!E2516/BASEBUDGETS!C2457</f>
        <v>#DIV/0!</v>
      </c>
      <c r="F22" s="770" t="str">
        <f>BASEBUDGETS!C2516</f>
        <v>acre</v>
      </c>
      <c r="G22" s="756" t="e">
        <f>IF(E22=0,0,BASEBUDGETS!D2517*E22)</f>
        <v>#DIV/0!</v>
      </c>
      <c r="H22" s="756" t="e">
        <f>IF(E22=0,0,BASEBUDGETS!D2516*E22)</f>
        <v>#DIV/0!</v>
      </c>
      <c r="I22" s="756">
        <v>0</v>
      </c>
      <c r="J22" s="765" t="e">
        <f t="shared" si="0"/>
        <v>#DIV/0!</v>
      </c>
    </row>
    <row r="23" spans="2:10" s="611" customFormat="1" ht="21">
      <c r="C23" s="660" t="str">
        <f>TillageOperations!$B$12</f>
        <v>Cultivator</v>
      </c>
      <c r="D23" s="765"/>
      <c r="E23" s="771" t="e">
        <f>BASEBUDGETS!E2518/BASEBUDGETS!C2457</f>
        <v>#DIV/0!</v>
      </c>
      <c r="F23" s="770" t="str">
        <f>BASEBUDGETS!C2518</f>
        <v>acre</v>
      </c>
      <c r="G23" s="756" t="e">
        <f>IF(E23=0,0,BASEBUDGETS!D2519*E23)</f>
        <v>#DIV/0!</v>
      </c>
      <c r="H23" s="756" t="e">
        <f>IF(E23=0,0,BASEBUDGETS!D2518*E23)</f>
        <v>#DIV/0!</v>
      </c>
      <c r="I23" s="756">
        <v>0</v>
      </c>
      <c r="J23" s="765" t="e">
        <f t="shared" si="0"/>
        <v>#DIV/0!</v>
      </c>
    </row>
    <row r="24" spans="2:10" s="611" customFormat="1" ht="21">
      <c r="C24" s="660" t="str">
        <f>TillageOperations!$B$13</f>
        <v>Landplane</v>
      </c>
      <c r="D24" s="765"/>
      <c r="E24" s="771" t="e">
        <f>BASEBUDGETS!E2520/BASEBUDGETS!C2457</f>
        <v>#DIV/0!</v>
      </c>
      <c r="F24" s="770" t="str">
        <f>BASEBUDGETS!C2520</f>
        <v>acre</v>
      </c>
      <c r="G24" s="756" t="e">
        <f>IF(E24=0,0,BASEBUDGETS!D2521*E24)</f>
        <v>#DIV/0!</v>
      </c>
      <c r="H24" s="756" t="e">
        <f>IF(E24=0,0,BASEBUDGETS!D2520*E24)</f>
        <v>#DIV/0!</v>
      </c>
      <c r="I24" s="756">
        <v>0</v>
      </c>
      <c r="J24" s="765" t="e">
        <f t="shared" si="0"/>
        <v>#DIV/0!</v>
      </c>
    </row>
    <row r="25" spans="2:10" s="611" customFormat="1" ht="21">
      <c r="C25" s="660" t="str">
        <f>TillageOperations!$B$14</f>
        <v>Float</v>
      </c>
      <c r="D25" s="765"/>
      <c r="E25" s="771" t="e">
        <f>BASEBUDGETS!E2522/BASEBUDGETS!C2457</f>
        <v>#DIV/0!</v>
      </c>
      <c r="F25" s="770" t="str">
        <f>BASEBUDGETS!C2522</f>
        <v>acre</v>
      </c>
      <c r="G25" s="756" t="e">
        <f>IF(E25=0,0,BASEBUDGETS!D2523*E25)</f>
        <v>#DIV/0!</v>
      </c>
      <c r="H25" s="756" t="e">
        <f>IF(E25=0,0,BASEBUDGETS!D2522*E25)</f>
        <v>#DIV/0!</v>
      </c>
      <c r="I25" s="756">
        <v>0</v>
      </c>
      <c r="J25" s="765" t="e">
        <f t="shared" si="0"/>
        <v>#DIV/0!</v>
      </c>
    </row>
    <row r="26" spans="2:10" s="611" customFormat="1" ht="21">
      <c r="C26" s="660" t="str">
        <f>TillageOperations!$B$15</f>
        <v>Lister</v>
      </c>
      <c r="D26" s="765"/>
      <c r="E26" s="771" t="e">
        <f>BASEBUDGETS!E2524/BASEBUDGETS!C2457</f>
        <v>#DIV/0!</v>
      </c>
      <c r="F26" s="770" t="str">
        <f>BASEBUDGETS!C2524</f>
        <v>acre</v>
      </c>
      <c r="G26" s="756" t="e">
        <f>IF(E26=0,0,BASEBUDGETS!D2525*E26)</f>
        <v>#DIV/0!</v>
      </c>
      <c r="H26" s="756" t="e">
        <f>IF(E26=0,0,BASEBUDGETS!D2524*E26)</f>
        <v>#DIV/0!</v>
      </c>
      <c r="I26" s="756">
        <v>0</v>
      </c>
      <c r="J26" s="765" t="e">
        <f t="shared" si="0"/>
        <v>#DIV/0!</v>
      </c>
    </row>
    <row r="27" spans="2:10" s="611" customFormat="1" ht="21">
      <c r="C27" s="660" t="str">
        <f>TillageOperations!$B$16</f>
        <v>Bed Shaper</v>
      </c>
      <c r="D27" s="765"/>
      <c r="E27" s="771" t="e">
        <f>BASEBUDGETS!E2526/BASEBUDGETS!C2457</f>
        <v>#DIV/0!</v>
      </c>
      <c r="F27" s="770" t="str">
        <f>BASEBUDGETS!C2526</f>
        <v>acre</v>
      </c>
      <c r="G27" s="756" t="e">
        <f>IF(E27=0,0,BASEBUDGETS!D2527*E27)</f>
        <v>#DIV/0!</v>
      </c>
      <c r="H27" s="756" t="e">
        <f>IF(E27=0,0,BASEBUDGETS!D2526*E27)</f>
        <v>#DIV/0!</v>
      </c>
      <c r="I27" s="756">
        <v>0</v>
      </c>
      <c r="J27" s="765" t="e">
        <f t="shared" si="0"/>
        <v>#DIV/0!</v>
      </c>
    </row>
    <row r="28" spans="2:10" s="611" customFormat="1" ht="21">
      <c r="C28" s="660" t="str">
        <f>TillageOperations!$B$17</f>
        <v>Cotton Shredder/Root Puller</v>
      </c>
      <c r="D28" s="765"/>
      <c r="E28" s="771" t="e">
        <f>BASEBUDGETS!E2540/BASEBUDGETS!C2457</f>
        <v>#DIV/0!</v>
      </c>
      <c r="F28" s="770" t="str">
        <f>BASEBUDGETS!C2540</f>
        <v>acre</v>
      </c>
      <c r="G28" s="756" t="e">
        <f>IF(E28=0,0,BASEBUDGETS!D2541*E28)</f>
        <v>#DIV/0!</v>
      </c>
      <c r="H28" s="756" t="e">
        <f>IF(E28=0,0,BASEBUDGETS!D2540*E28)</f>
        <v>#DIV/0!</v>
      </c>
      <c r="I28" s="756">
        <v>0</v>
      </c>
      <c r="J28" s="765" t="e">
        <f>G28+H28+I28</f>
        <v>#DIV/0!</v>
      </c>
    </row>
    <row r="29" spans="2:10" s="611" customFormat="1" ht="21">
      <c r="C29" s="660" t="str">
        <f>BASEBUDGETS!B2565</f>
        <v>Additional Land Prep. Labor</v>
      </c>
      <c r="D29" s="765">
        <f>GeneralInputPrices!$D$30</f>
        <v>14.55</v>
      </c>
      <c r="E29" s="758" t="e">
        <f>BASEBUDGETS!E2565/BASEBUDGETS!C2457</f>
        <v>#DIV/0!</v>
      </c>
      <c r="F29" s="773" t="str">
        <f>BASEBUDGETS!C2565</f>
        <v>hour</v>
      </c>
      <c r="G29" s="756" t="e">
        <f>D29*E29</f>
        <v>#DIV/0!</v>
      </c>
      <c r="H29" s="756">
        <v>0</v>
      </c>
      <c r="I29" s="756">
        <v>0</v>
      </c>
      <c r="J29" s="765" t="e">
        <f t="shared" si="0"/>
        <v>#DIV/0!</v>
      </c>
    </row>
    <row r="30" spans="2:10" s="611" customFormat="1" ht="21">
      <c r="C30" s="660" t="str">
        <f>BASEBUDGETS!B2566</f>
        <v>Additional Land Prep. Labor</v>
      </c>
      <c r="D30" s="765">
        <f>GeneralInputPrices!$D$30</f>
        <v>14.55</v>
      </c>
      <c r="E30" s="758" t="e">
        <f>BASEBUDGETS!E2566/BASEBUDGETS!C2457</f>
        <v>#DIV/0!</v>
      </c>
      <c r="F30" s="773" t="str">
        <f>BASEBUDGETS!C2566</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BASEBUDGETS!B2493</f>
        <v>Drill, Custom</v>
      </c>
      <c r="D32" s="765">
        <f>CustomOperations!S24</f>
        <v>0</v>
      </c>
      <c r="E32" s="771" t="e">
        <f>BASEBUDGETS!E2493/BASEBUDGETS!C2457</f>
        <v>#DIV/0!</v>
      </c>
      <c r="F32" s="770" t="str">
        <f>BASEBUDGETS!C2493</f>
        <v>acre</v>
      </c>
      <c r="G32" s="756">
        <v>0</v>
      </c>
      <c r="H32" s="756">
        <v>0</v>
      </c>
      <c r="I32" s="756" t="e">
        <f>IF(E32=0,0,(BASEBUDGETS!D2493*E32))</f>
        <v>#DIV/0!</v>
      </c>
      <c r="J32" s="765" t="e">
        <f t="shared" ref="J32:J34" si="1">G32+H32+I32</f>
        <v>#DIV/0!</v>
      </c>
    </row>
    <row r="33" spans="3:10" s="611" customFormat="1" ht="21">
      <c r="C33" s="660" t="str">
        <f>BASEBUDGETS!B2494</f>
        <v>Row Planter, Custom</v>
      </c>
      <c r="D33" s="765">
        <f>CustomOperations!S26</f>
        <v>0</v>
      </c>
      <c r="E33" s="771" t="e">
        <f>BASEBUDGETS!E2494/BASEBUDGETS!C2457</f>
        <v>#DIV/0!</v>
      </c>
      <c r="F33" s="770" t="str">
        <f>BASEBUDGETS!C2494</f>
        <v>acre</v>
      </c>
      <c r="G33" s="756">
        <v>0</v>
      </c>
      <c r="H33" s="756">
        <v>0</v>
      </c>
      <c r="I33" s="756" t="e">
        <f>IF(E33=0,0,(BASEBUDGETS!D2494*E33))</f>
        <v>#DIV/0!</v>
      </c>
      <c r="J33" s="765" t="e">
        <f t="shared" si="1"/>
        <v>#DIV/0!</v>
      </c>
    </row>
    <row r="34" spans="3:10" s="611" customFormat="1" ht="21">
      <c r="C34" s="660" t="str">
        <f>TillageOperations!$B$21</f>
        <v>Drill</v>
      </c>
      <c r="D34" s="765"/>
      <c r="E34" s="771" t="e">
        <f>BASEBUDGETS!E2532/BASEBUDGETS!C2457</f>
        <v>#DIV/0!</v>
      </c>
      <c r="F34" s="770" t="str">
        <f>BASEBUDGETS!C2532</f>
        <v>acre</v>
      </c>
      <c r="G34" s="756" t="e">
        <f>IF(E34=0,0,BASEBUDGETS!D2533*E34)</f>
        <v>#DIV/0!</v>
      </c>
      <c r="H34" s="756" t="e">
        <f>IF(E34=0,0,BASEBUDGETS!D2532*E34)</f>
        <v>#DIV/0!</v>
      </c>
      <c r="I34" s="756">
        <v>0</v>
      </c>
      <c r="J34" s="765" t="e">
        <f t="shared" si="1"/>
        <v>#DIV/0!</v>
      </c>
    </row>
    <row r="35" spans="3:10" s="611" customFormat="1" ht="21">
      <c r="C35" s="660" t="str">
        <f>TillageOperations!$B$19</f>
        <v>Row Planter</v>
      </c>
      <c r="D35" s="765"/>
      <c r="E35" s="771" t="e">
        <f>BASEBUDGETS!E2528/BASEBUDGETS!C2457</f>
        <v>#DIV/0!</v>
      </c>
      <c r="F35" s="770" t="str">
        <f>BASEBUDGETS!C2528</f>
        <v>acre</v>
      </c>
      <c r="G35" s="756" t="e">
        <f>IF(E35=0,0,BASEBUDGETS!D2529*E35)</f>
        <v>#DIV/0!</v>
      </c>
      <c r="H35" s="756" t="e">
        <f>IF(E35=0,0,BASEBUDGETS!D2528*E35)</f>
        <v>#DIV/0!</v>
      </c>
      <c r="I35" s="756">
        <v>0</v>
      </c>
      <c r="J35" s="765" t="e">
        <f>G35+H35+I35</f>
        <v>#DIV/0!</v>
      </c>
    </row>
    <row r="36" spans="3:10" s="611" customFormat="1" ht="21">
      <c r="C36" s="660" t="str">
        <f>TillageOperations!$B$22</f>
        <v>Transplanter</v>
      </c>
      <c r="D36" s="765"/>
      <c r="E36" s="771" t="e">
        <f>BASEBUDGETS!E2563/BASEBUDGETS!C2457</f>
        <v>#DIV/0!</v>
      </c>
      <c r="F36" s="770" t="str">
        <f>BASEBUDGETS!C2563</f>
        <v>acre</v>
      </c>
      <c r="G36" s="756" t="e">
        <f>IF(E36=0,0,BASEBUDGETS!D2564*E36)</f>
        <v>#DIV/0!</v>
      </c>
      <c r="H36" s="756" t="e">
        <f>IF(E36=0,0,BASEBUDGETS!D2563*E36)</f>
        <v>#DIV/0!</v>
      </c>
      <c r="I36" s="756">
        <v>0</v>
      </c>
      <c r="J36" s="765" t="e">
        <f>G36+H36+I36</f>
        <v>#DIV/0!</v>
      </c>
    </row>
    <row r="37" spans="3:10" s="611" customFormat="1" ht="21">
      <c r="C37" s="660" t="s">
        <v>439</v>
      </c>
      <c r="D37" s="765"/>
      <c r="E37" s="771"/>
      <c r="F37" s="770"/>
      <c r="G37" s="756">
        <v>0</v>
      </c>
      <c r="H37" s="756">
        <v>0</v>
      </c>
      <c r="I37" s="756" t="e">
        <f>(D38*E38)+(D39*E39)</f>
        <v>#DIV/0!</v>
      </c>
      <c r="J37" s="765" t="e">
        <f>G37+H37+I37</f>
        <v>#DIV/0!</v>
      </c>
    </row>
    <row r="38" spans="3:10" s="611" customFormat="1" ht="21">
      <c r="C38" s="660" t="str">
        <f>BASEBUDGETS!B2465</f>
        <v xml:space="preserve">   - Seed</v>
      </c>
      <c r="D38" s="765">
        <f>BASEBUDGETS!D2465</f>
        <v>0</v>
      </c>
      <c r="E38" s="775" t="e">
        <f>BASEBUDGETS!E2465/BASEBUDGETS!C2457</f>
        <v>#DIV/0!</v>
      </c>
      <c r="F38" s="769" t="str">
        <f>BASEBUDGETS!C2465</f>
        <v>pounds</v>
      </c>
      <c r="G38" s="757"/>
      <c r="H38" s="757"/>
      <c r="I38" s="757"/>
      <c r="J38" s="757"/>
    </row>
    <row r="39" spans="3:10" s="611" customFormat="1" ht="21">
      <c r="C39" s="660" t="str">
        <f>BASEBUDGETS!B2466</f>
        <v xml:space="preserve">   - Inoculant</v>
      </c>
      <c r="D39" s="765">
        <f>BASEBUDGETS!D2466</f>
        <v>3</v>
      </c>
      <c r="E39" s="775" t="e">
        <f>BASEBUDGETS!E2466/BASEBUDGETS!C2457</f>
        <v>#DIV/0!</v>
      </c>
      <c r="F39" s="769" t="str">
        <f>BASEBUDGETS!C2466</f>
        <v>pounds</v>
      </c>
      <c r="G39" s="765"/>
      <c r="H39" s="765"/>
      <c r="I39" s="765"/>
      <c r="J39" s="765"/>
    </row>
    <row r="40" spans="3:10" s="611" customFormat="1" ht="21">
      <c r="C40" s="660" t="str">
        <f>BASEBUDGETS!B2505</f>
        <v>Fertilizer Spreader, Custom</v>
      </c>
      <c r="D40" s="765">
        <f>CustomOperations!S32</f>
        <v>10.08</v>
      </c>
      <c r="E40" s="771" t="e">
        <f>BASEBUDGETS!E2505/BASEBUDGETS!C2457</f>
        <v>#DIV/0!</v>
      </c>
      <c r="F40" s="770" t="str">
        <f>BASEBUDGETS!C2505</f>
        <v>acre</v>
      </c>
      <c r="G40" s="756">
        <v>0</v>
      </c>
      <c r="H40" s="756">
        <v>0</v>
      </c>
      <c r="I40" s="756" t="e">
        <f>IF(E40=0,0,BASEBUDGETS!D2505*E40)</f>
        <v>#DIV/0!</v>
      </c>
      <c r="J40" s="765" t="e">
        <f>G40+H40+I40</f>
        <v>#DIV/0!</v>
      </c>
    </row>
    <row r="41" spans="3:10" s="611" customFormat="1" ht="21">
      <c r="C41" s="660" t="str">
        <f>BASEBUDGETS!B2506</f>
        <v>Laser Landplaning, Custom</v>
      </c>
      <c r="D41" s="765">
        <f>CustomOperations!S34</f>
        <v>0</v>
      </c>
      <c r="E41" s="771" t="e">
        <f>BASEBUDGETS!E2506/BASEBUDGETS!C2457</f>
        <v>#DIV/0!</v>
      </c>
      <c r="F41" s="770" t="str">
        <f>BASEBUDGETS!C2506</f>
        <v>acre</v>
      </c>
      <c r="G41" s="756">
        <v>0</v>
      </c>
      <c r="H41" s="756">
        <v>0</v>
      </c>
      <c r="I41" s="756" t="e">
        <f>IF(E41=0,0,BASEBUDGETS!D2506*E41)</f>
        <v>#DIV/0!</v>
      </c>
      <c r="J41" s="765" t="e">
        <f>G41+H41+I41</f>
        <v>#DIV/0!</v>
      </c>
    </row>
    <row r="42" spans="3:10" s="611" customFormat="1" ht="21">
      <c r="C42" s="660" t="str">
        <f>TillageOperations!$B$23</f>
        <v>Fertilizer Spreader</v>
      </c>
      <c r="D42" s="765"/>
      <c r="E42" s="771" t="e">
        <f>BASEBUDGETS!E2557/BASEBUDGETS!C2457</f>
        <v>#DIV/0!</v>
      </c>
      <c r="F42" s="770" t="str">
        <f>BASEBUDGETS!C2557</f>
        <v>acre</v>
      </c>
      <c r="G42" s="756" t="e">
        <f>IF(E42=0,0,BASEBUDGETS!D2558*E42)</f>
        <v>#DIV/0!</v>
      </c>
      <c r="H42" s="756" t="e">
        <f>IF(E42=0,0,BASEBUDGETS!D2557*E42)</f>
        <v>#DIV/0!</v>
      </c>
      <c r="I42" s="756">
        <v>0</v>
      </c>
      <c r="J42" s="765" t="e">
        <f>G42+H42+I42</f>
        <v>#DIV/0!</v>
      </c>
    </row>
    <row r="43" spans="3:10" s="611" customFormat="1" ht="21">
      <c r="C43" s="660" t="str">
        <f>TillageOperations!$B$24</f>
        <v>Fertilizer Injection System</v>
      </c>
      <c r="D43" s="765"/>
      <c r="E43" s="771" t="e">
        <f>BASEBUDGETS!E2559/BASEBUDGETS!C2457</f>
        <v>#DIV/0!</v>
      </c>
      <c r="F43" s="770" t="str">
        <f>BASEBUDGETS!C2559</f>
        <v>acre</v>
      </c>
      <c r="G43" s="756" t="e">
        <f>IF(E43=0,0,BASEBUDGETS!D2560*E43)</f>
        <v>#DIV/0!</v>
      </c>
      <c r="H43" s="756" t="e">
        <f>IF(E43=0,0,BASEBUDGETS!D2559*E43)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BASEBUDGETS!B2467</f>
        <v xml:space="preserve">   - Nitrogen</v>
      </c>
      <c r="D45" s="765">
        <f>BASEBUDGETS!D2467</f>
        <v>0.46</v>
      </c>
      <c r="E45" s="775" t="e">
        <f>BASEBUDGETS!E2467/BASEBUDGETS!C2457</f>
        <v>#DIV/0!</v>
      </c>
      <c r="F45" s="769" t="str">
        <f>BASEBUDGETS!C2467</f>
        <v>pounds</v>
      </c>
      <c r="G45" s="765"/>
      <c r="H45" s="765"/>
      <c r="I45" s="765"/>
      <c r="J45" s="765"/>
    </row>
    <row r="46" spans="3:10" s="611" customFormat="1" ht="21">
      <c r="C46" s="660" t="str">
        <f>BASEBUDGETS!B2468</f>
        <v xml:space="preserve">   - Phosphorus</v>
      </c>
      <c r="D46" s="765">
        <f>BASEBUDGETS!D2468</f>
        <v>0.36</v>
      </c>
      <c r="E46" s="775" t="e">
        <f>BASEBUDGETS!E2468/BASEBUDGETS!C2457</f>
        <v>#DIV/0!</v>
      </c>
      <c r="F46" s="769" t="str">
        <f>BASEBUDGETS!C2468</f>
        <v>pounds</v>
      </c>
      <c r="G46" s="765"/>
      <c r="H46" s="765"/>
      <c r="I46" s="765"/>
      <c r="J46" s="765"/>
    </row>
    <row r="47" spans="3:10" s="611" customFormat="1" ht="21">
      <c r="C47" s="660" t="str">
        <f>BASEBUDGETS!B2469</f>
        <v xml:space="preserve">   - Anhydrous Ammonia</v>
      </c>
      <c r="D47" s="765">
        <f>BASEBUDGETS!D2469</f>
        <v>0.21</v>
      </c>
      <c r="E47" s="775" t="e">
        <f>BASEBUDGETS!E2469/BASEBUDGETS!C2457</f>
        <v>#DIV/0!</v>
      </c>
      <c r="F47" s="769" t="str">
        <f>BASEBUDGETS!C2469</f>
        <v>pounds</v>
      </c>
      <c r="G47" s="765"/>
      <c r="H47" s="765"/>
      <c r="I47" s="765"/>
      <c r="J47" s="765"/>
    </row>
    <row r="48" spans="3:10" s="611" customFormat="1" ht="21">
      <c r="C48" s="660" t="str">
        <f>BASEBUDGETS!B2470</f>
        <v xml:space="preserve">   - Trace Elements</v>
      </c>
      <c r="D48" s="765">
        <f>BASEBUDGETS!D2470</f>
        <v>0.24</v>
      </c>
      <c r="E48" s="775" t="e">
        <f>BASEBUDGETS!E2470/BASEBUDGETS!C2457</f>
        <v>#DIV/0!</v>
      </c>
      <c r="F48" s="769" t="str">
        <f>BASEBUDGETS!C2470</f>
        <v>pounds</v>
      </c>
      <c r="G48" s="765"/>
      <c r="H48" s="765"/>
      <c r="I48" s="765"/>
      <c r="J48" s="765"/>
    </row>
    <row r="49" spans="3:10" s="611" customFormat="1" ht="21">
      <c r="C49" s="660" t="str">
        <f>BASEBUDGETS!B2471</f>
        <v xml:space="preserve">   - Nitrogen</v>
      </c>
      <c r="D49" s="765">
        <f>BASEBUDGETS!D2471</f>
        <v>0</v>
      </c>
      <c r="E49" s="775" t="e">
        <f>BASEBUDGETS!E2471/BASEBUDGETS!C2457</f>
        <v>#DIV/0!</v>
      </c>
      <c r="F49" s="769" t="str">
        <f>BASEBUDGETS!C2471</f>
        <v>acre</v>
      </c>
      <c r="G49" s="765"/>
      <c r="H49" s="765"/>
      <c r="I49" s="765"/>
      <c r="J49" s="765"/>
    </row>
    <row r="50" spans="3:10" s="611" customFormat="1" ht="21">
      <c r="C50" s="660" t="str">
        <f>BASEBUDGETS!B2472</f>
        <v xml:space="preserve">   - Phosphorus</v>
      </c>
      <c r="D50" s="765">
        <f>BASEBUDGETS!D2472</f>
        <v>0</v>
      </c>
      <c r="E50" s="775" t="e">
        <f>BASEBUDGETS!E2472/BASEBUDGETS!C2457</f>
        <v>#DIV/0!</v>
      </c>
      <c r="F50" s="769" t="str">
        <f>BASEBUDGETS!C2472</f>
        <v>acre</v>
      </c>
      <c r="G50" s="765"/>
      <c r="H50" s="765"/>
      <c r="I50" s="765"/>
      <c r="J50" s="765"/>
    </row>
    <row r="51" spans="3:10" s="611" customFormat="1" ht="21">
      <c r="C51" s="660" t="str">
        <f>BASEBUDGETS!B2473</f>
        <v xml:space="preserve">   - Fertilizer - Anhydrous Applicator</v>
      </c>
      <c r="D51" s="765">
        <f>BASEBUDGETS!D2473</f>
        <v>0</v>
      </c>
      <c r="E51" s="775" t="e">
        <f>BASEBUDGETS!E2473/BASEBUDGETS!C2457</f>
        <v>#DIV/0!</v>
      </c>
      <c r="F51" s="769" t="str">
        <f>BASEBUDGETS!C2473</f>
        <v>acre</v>
      </c>
      <c r="G51" s="765"/>
      <c r="H51" s="765"/>
      <c r="I51" s="765"/>
      <c r="J51" s="765"/>
    </row>
    <row r="52" spans="3:10" s="611" customFormat="1" ht="21">
      <c r="C52" s="660" t="str">
        <f>BASEBUDGETS!B2507</f>
        <v>Boom Sprayer, Custom</v>
      </c>
      <c r="D52" s="765">
        <f>CustomOperations!S30</f>
        <v>10.050000000000001</v>
      </c>
      <c r="E52" s="771" t="e">
        <f>BASEBUDGETS!E2507/BASEBUDGETS!C2457</f>
        <v>#DIV/0!</v>
      </c>
      <c r="F52" s="770" t="str">
        <f>BASEBUDGETS!C2507</f>
        <v>acre</v>
      </c>
      <c r="G52" s="756">
        <v>0</v>
      </c>
      <c r="H52" s="756">
        <v>0</v>
      </c>
      <c r="I52" s="756" t="e">
        <f>IF(E52=0,0,BASEBUDGETS!D2507*E52)</f>
        <v>#DIV/0!</v>
      </c>
      <c r="J52" s="765" t="e">
        <f>G52+H52+I52</f>
        <v>#DIV/0!</v>
      </c>
    </row>
    <row r="53" spans="3:10" s="611" customFormat="1" ht="21">
      <c r="C53" s="660" t="str">
        <f>TillageOperations!$B$25</f>
        <v>Boom Sprayer</v>
      </c>
      <c r="D53" s="765"/>
      <c r="E53" s="771" t="e">
        <f>BASEBUDGETS!E2561/BASEBUDGETS!C2457</f>
        <v>#DIV/0!</v>
      </c>
      <c r="F53" s="770" t="str">
        <f>BASEBUDGETS!C2561</f>
        <v>acre</v>
      </c>
      <c r="G53" s="756" t="e">
        <f>IF(E53=0,0,BASEBUDGETS!D2562*E53)</f>
        <v>#DIV/0!</v>
      </c>
      <c r="H53" s="756" t="e">
        <f>IF(E53=0,0,BASEBUDGETS!D2561*E53)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BASEBUDGETS!B2474</f>
        <v xml:space="preserve">   - Prowl</v>
      </c>
      <c r="D55" s="765">
        <f>BASEBUDGETS!D2474</f>
        <v>6.0625</v>
      </c>
      <c r="E55" s="775" t="e">
        <f>BASEBUDGETS!E2474/BASEBUDGETS!C2457</f>
        <v>#DIV/0!</v>
      </c>
      <c r="F55" s="769" t="str">
        <f>BASEBUDGETS!C2474</f>
        <v>pints</v>
      </c>
      <c r="G55" s="765"/>
      <c r="H55" s="765"/>
      <c r="I55" s="765"/>
      <c r="J55" s="765"/>
    </row>
    <row r="56" spans="3:10" s="611" customFormat="1" ht="21">
      <c r="C56" s="660" t="str">
        <f>BASEBUDGETS!B2475</f>
        <v xml:space="preserve">   - Aim</v>
      </c>
      <c r="D56" s="765">
        <f>BASEBUDGETS!D2475</f>
        <v>5.9375</v>
      </c>
      <c r="E56" s="775" t="e">
        <f>BASEBUDGETS!E2475/BASEBUDGETS!C2457</f>
        <v>#DIV/0!</v>
      </c>
      <c r="F56" s="769" t="str">
        <f>BASEBUDGETS!C2475</f>
        <v>ounces</v>
      </c>
      <c r="G56" s="765"/>
      <c r="H56" s="765"/>
      <c r="I56" s="765"/>
      <c r="J56" s="765"/>
    </row>
    <row r="57" spans="3:10" s="611" customFormat="1" ht="21">
      <c r="C57" s="660" t="str">
        <f>BASEBUDGETS!B2476</f>
        <v xml:space="preserve">   - Fusilade</v>
      </c>
      <c r="D57" s="765">
        <f>BASEBUDGETS!D2476</f>
        <v>1.25</v>
      </c>
      <c r="E57" s="775" t="e">
        <f>BASEBUDGETS!E2476/BASEBUDGETS!C2457</f>
        <v>#DIV/0!</v>
      </c>
      <c r="F57" s="769" t="str">
        <f>BASEBUDGETS!C2476</f>
        <v>ounces</v>
      </c>
      <c r="G57" s="765"/>
      <c r="H57" s="765"/>
      <c r="I57" s="765"/>
      <c r="J57" s="765"/>
    </row>
    <row r="58" spans="3:10" s="611" customFormat="1" ht="21">
      <c r="C58" s="660" t="str">
        <f>BASEBUDGETS!B2477</f>
        <v xml:space="preserve">   - Herbicides</v>
      </c>
      <c r="D58" s="765">
        <f>BASEBUDGETS!D2477</f>
        <v>0</v>
      </c>
      <c r="E58" s="775" t="e">
        <f>BASEBUDGETS!E2477/BASEBUDGETS!C2457</f>
        <v>#DIV/0!</v>
      </c>
      <c r="F58" s="769" t="str">
        <f>BASEBUDGETS!C2477</f>
        <v>acre</v>
      </c>
      <c r="G58" s="765"/>
      <c r="H58" s="765"/>
      <c r="I58" s="765"/>
      <c r="J58" s="765"/>
    </row>
    <row r="59" spans="3:10" s="611" customFormat="1" ht="21">
      <c r="C59" s="660" t="str">
        <f>BASEBUDGETS!B2478</f>
        <v xml:space="preserve">   - Herbicide - #2</v>
      </c>
      <c r="D59" s="765">
        <f>BASEBUDGETS!D2478</f>
        <v>0</v>
      </c>
      <c r="E59" s="775" t="e">
        <f>BASEBUDGETS!E2478/BASEBUDGETS!C2457</f>
        <v>#DIV/0!</v>
      </c>
      <c r="F59" s="769" t="str">
        <f>BASEBUDGETS!C2478</f>
        <v>acre</v>
      </c>
      <c r="G59" s="765"/>
      <c r="H59" s="765"/>
      <c r="I59" s="765"/>
      <c r="J59" s="765"/>
    </row>
    <row r="60" spans="3:10" s="611" customFormat="1" ht="21">
      <c r="C60" s="660" t="str">
        <f>BASEBUDGETS!B2479</f>
        <v xml:space="preserve">   - Insecticides</v>
      </c>
      <c r="D60" s="765">
        <f>BASEBUDGETS!D2479</f>
        <v>0</v>
      </c>
      <c r="E60" s="775" t="e">
        <f>BASEBUDGETS!E2479/BASEBUDGETS!C2457</f>
        <v>#DIV/0!</v>
      </c>
      <c r="F60" s="769" t="str">
        <f>BASEBUDGETS!C2479</f>
        <v>acre</v>
      </c>
      <c r="G60" s="765"/>
      <c r="H60" s="765"/>
      <c r="I60" s="765"/>
      <c r="J60" s="765"/>
    </row>
    <row r="61" spans="3:10" s="611" customFormat="1" ht="21">
      <c r="C61" s="660" t="str">
        <f>BASEBUDGETS!B2480</f>
        <v xml:space="preserve">   - Insecticide - #2</v>
      </c>
      <c r="D61" s="765">
        <f>BASEBUDGETS!D2480</f>
        <v>0</v>
      </c>
      <c r="E61" s="775" t="e">
        <f>BASEBUDGETS!E2480/BASEBUDGETS!C2457</f>
        <v>#DIV/0!</v>
      </c>
      <c r="F61" s="769" t="str">
        <f>BASEBUDGETS!C2480</f>
        <v>acre</v>
      </c>
      <c r="G61" s="765"/>
      <c r="H61" s="765"/>
      <c r="I61" s="765"/>
      <c r="J61" s="765"/>
    </row>
    <row r="62" spans="3:10" s="611" customFormat="1" ht="21">
      <c r="C62" s="660" t="str">
        <f>BASEBUDGETS!B2495</f>
        <v>Row Cultivator, Custom</v>
      </c>
      <c r="D62" s="765">
        <f>CustomOperations!S28</f>
        <v>0</v>
      </c>
      <c r="E62" s="771" t="e">
        <f>BASEBUDGETS!E2495/BASEBUDGETS!C2457</f>
        <v>#DIV/0!</v>
      </c>
      <c r="F62" s="770" t="str">
        <f>BASEBUDGETS!C2495</f>
        <v>acre</v>
      </c>
      <c r="G62" s="756">
        <v>0</v>
      </c>
      <c r="H62" s="756">
        <v>0</v>
      </c>
      <c r="I62" s="756" t="e">
        <f>IF(E62=0,0,BASEBUDGETS!D2495*E62)</f>
        <v>#DIV/0!</v>
      </c>
      <c r="J62" s="765" t="e">
        <f>G62+H62+I62</f>
        <v>#DIV/0!</v>
      </c>
    </row>
    <row r="63" spans="3:10" s="611" customFormat="1" ht="21">
      <c r="C63" s="660" t="str">
        <f>TillageOperations!$B$20</f>
        <v>Row Cultivator</v>
      </c>
      <c r="D63" s="765"/>
      <c r="E63" s="771" t="e">
        <f>BASEBUDGETS!E2530/BASEBUDGETS!C2457</f>
        <v>#DIV/0!</v>
      </c>
      <c r="F63" s="770" t="str">
        <f>BASEBUDGETS!C2530</f>
        <v>acre</v>
      </c>
      <c r="G63" s="756" t="e">
        <f>IF(E63=0,0,BASEBUDGETS!D2531*E63)</f>
        <v>#DIV/0!</v>
      </c>
      <c r="H63" s="756" t="e">
        <f>IF(E63=0,0,BASEBUDGETS!D2530*E63)</f>
        <v>#DIV/0!</v>
      </c>
      <c r="I63" s="756">
        <v>0</v>
      </c>
      <c r="J63" s="765" t="e">
        <f>G63+H63+I63</f>
        <v>#DIV/0!</v>
      </c>
    </row>
    <row r="64" spans="3:10" s="611" customFormat="1" ht="21">
      <c r="C64" s="660" t="s">
        <v>151</v>
      </c>
      <c r="D64" s="765"/>
      <c r="E64" s="776" t="s">
        <v>10</v>
      </c>
      <c r="F64" s="777" t="s">
        <v>10</v>
      </c>
      <c r="G64" s="756" t="e">
        <f>(D66*E66)+(D69*E69)+(D72*E72)</f>
        <v>#DIV/0!</v>
      </c>
      <c r="H64" s="756">
        <v>0</v>
      </c>
      <c r="I64" s="678" t="e">
        <f>(D65*E65)+(D68*E68)+(D71*E71)+(D67*E67)+(D70*E70)+(D73*E73)</f>
        <v>#DIV/0!</v>
      </c>
      <c r="J64" s="765" t="e">
        <f>G64+H64+I64</f>
        <v>#DIV/0!</v>
      </c>
    </row>
    <row r="65" spans="2:10" s="611" customFormat="1" ht="21">
      <c r="B65" s="660"/>
      <c r="C65" s="660" t="str">
        <f>BASEBUDGETS!B2481</f>
        <v>Flood - Irrigation Water</v>
      </c>
      <c r="D65" s="765">
        <f>BASEBUDGETS!D2481</f>
        <v>55</v>
      </c>
      <c r="E65" s="775" t="e">
        <f>BASEBUDGETS!E2481/BASEBUDGETS!C$2457</f>
        <v>#DIV/0!</v>
      </c>
      <c r="F65" s="769" t="str">
        <f>BASEBUDGETS!C2481</f>
        <v>ac ft</v>
      </c>
      <c r="G65" s="756"/>
      <c r="H65" s="756"/>
      <c r="I65" s="765"/>
      <c r="J65" s="765"/>
    </row>
    <row r="66" spans="2:10" s="611" customFormat="1" ht="21">
      <c r="C66" s="660" t="str">
        <f>BASEBUDGETS!B2482</f>
        <v>Flood - Irrigation Labor</v>
      </c>
      <c r="D66" s="765">
        <f>BASEBUDGETS!D2482</f>
        <v>14.55</v>
      </c>
      <c r="E66" s="775" t="e">
        <f>BASEBUDGETS!E2482/BASEBUDGETS!C$2457</f>
        <v>#DIV/0!</v>
      </c>
      <c r="F66" s="769" t="str">
        <f>BASEBUDGETS!C2482</f>
        <v>hour</v>
      </c>
      <c r="G66" s="757"/>
      <c r="H66" s="757"/>
      <c r="I66" s="756"/>
      <c r="J66" s="778" t="s">
        <v>10</v>
      </c>
    </row>
    <row r="67" spans="2:10" s="611" customFormat="1" ht="21">
      <c r="C67" s="660" t="str">
        <f>BASEBUDGETS!B2483</f>
        <v xml:space="preserve">   - Annual Repairs &amp; Maintenance</v>
      </c>
      <c r="D67" s="765">
        <f>BASEBUDGETS!D2483</f>
        <v>3</v>
      </c>
      <c r="E67" s="775" t="e">
        <f>BASEBUDGETS!E2483/BASEBUDGETS!C$2457</f>
        <v>#DIV/0!</v>
      </c>
      <c r="F67" s="769" t="str">
        <f>BASEBUDGETS!C2483</f>
        <v>acre</v>
      </c>
      <c r="G67" s="757"/>
      <c r="H67" s="757"/>
      <c r="I67" s="756"/>
      <c r="J67" s="778"/>
    </row>
    <row r="68" spans="2:10" s="611" customFormat="1" ht="21">
      <c r="C68" s="660" t="str">
        <f>BASEBUDGETS!B2484</f>
        <v>Drip-tape - Irrigation Water</v>
      </c>
      <c r="D68" s="765">
        <f>BASEBUDGETS!D2484</f>
        <v>55</v>
      </c>
      <c r="E68" s="775" t="e">
        <f>BASEBUDGETS!E2484/BASEBUDGETS!C$2457</f>
        <v>#DIV/0!</v>
      </c>
      <c r="F68" s="769" t="str">
        <f>BASEBUDGETS!C2484</f>
        <v>ac ft</v>
      </c>
      <c r="G68" s="756"/>
      <c r="H68" s="756"/>
      <c r="I68" s="756"/>
      <c r="J68" s="765"/>
    </row>
    <row r="69" spans="2:10" s="611" customFormat="1" ht="21">
      <c r="C69" s="660" t="str">
        <f>BASEBUDGETS!B2485</f>
        <v>Drip-tape - Irrigation Labor</v>
      </c>
      <c r="D69" s="765">
        <f>BASEBUDGETS!D2485</f>
        <v>14.55</v>
      </c>
      <c r="E69" s="775" t="e">
        <f>BASEBUDGETS!E2485/BASEBUDGETS!C$2457</f>
        <v>#DIV/0!</v>
      </c>
      <c r="F69" s="769" t="str">
        <f>BASEBUDGETS!C2485</f>
        <v>hour</v>
      </c>
      <c r="G69" s="756"/>
      <c r="H69" s="756"/>
      <c r="I69" s="756"/>
      <c r="J69" s="765"/>
    </row>
    <row r="70" spans="2:10" s="611" customFormat="1" ht="21">
      <c r="C70" s="660" t="str">
        <f>BASEBUDGETS!B2486</f>
        <v xml:space="preserve">   - Annual Repairs &amp; Maintenance</v>
      </c>
      <c r="D70" s="765">
        <f>BASEBUDGETS!D2486</f>
        <v>7.5</v>
      </c>
      <c r="E70" s="775" t="e">
        <f>BASEBUDGETS!E2486/BASEBUDGETS!C$2457</f>
        <v>#DIV/0!</v>
      </c>
      <c r="F70" s="769" t="str">
        <f>BASEBUDGETS!C2486</f>
        <v>acre</v>
      </c>
      <c r="G70" s="756"/>
      <c r="H70" s="756"/>
      <c r="I70" s="756"/>
      <c r="J70" s="765"/>
    </row>
    <row r="71" spans="2:10" s="611" customFormat="1" ht="21">
      <c r="C71" s="660" t="str">
        <f>BASEBUDGETS!B2487</f>
        <v>Sprinkler - Irrigation Water</v>
      </c>
      <c r="D71" s="765">
        <f>BASEBUDGETS!D2487</f>
        <v>55</v>
      </c>
      <c r="E71" s="775" t="e">
        <f>BASEBUDGETS!E2487/BASEBUDGETS!C$2457</f>
        <v>#DIV/0!</v>
      </c>
      <c r="F71" s="769" t="str">
        <f>BASEBUDGETS!C2487</f>
        <v>ac ft</v>
      </c>
      <c r="G71" s="756"/>
      <c r="H71" s="756"/>
      <c r="I71" s="756"/>
      <c r="J71" s="765"/>
    </row>
    <row r="72" spans="2:10" s="611" customFormat="1" ht="21">
      <c r="C72" s="660" t="str">
        <f>BASEBUDGETS!B2488</f>
        <v>Sprinkler - Irrigation Labor</v>
      </c>
      <c r="D72" s="765">
        <f>BASEBUDGETS!D2488</f>
        <v>14.55</v>
      </c>
      <c r="E72" s="775" t="e">
        <f>BASEBUDGETS!E2488/BASEBUDGETS!C$2457</f>
        <v>#DIV/0!</v>
      </c>
      <c r="F72" s="769" t="str">
        <f>BASEBUDGETS!C2488</f>
        <v>hour</v>
      </c>
      <c r="G72" s="756"/>
      <c r="H72" s="756"/>
      <c r="I72" s="756"/>
      <c r="J72" s="765"/>
    </row>
    <row r="73" spans="2:10" s="611" customFormat="1" ht="21">
      <c r="C73" s="660" t="str">
        <f>BASEBUDGETS!B2489</f>
        <v xml:space="preserve">   - Annual Repairs &amp; Maintenance</v>
      </c>
      <c r="D73" s="765">
        <f>BASEBUDGETS!D2489</f>
        <v>15</v>
      </c>
      <c r="E73" s="775" t="e">
        <f>BASEBUDGETS!E2489/BASEBUDGETS!C$2457</f>
        <v>#DIV/0!</v>
      </c>
      <c r="F73" s="769" t="str">
        <f>BASEBUDGETS!C2489</f>
        <v>acre</v>
      </c>
      <c r="G73" s="756"/>
      <c r="H73" s="756"/>
      <c r="I73" s="756"/>
      <c r="J73" s="765"/>
    </row>
    <row r="74" spans="2:10" s="611" customFormat="1" ht="21">
      <c r="C74" s="660" t="str">
        <f>BASEBUDGETS!B2567</f>
        <v>Additional Crop Prod. Labor</v>
      </c>
      <c r="D74" s="765">
        <f>GeneralInputPrices!$D$31</f>
        <v>14.55</v>
      </c>
      <c r="E74" s="771" t="e">
        <f>BASEBUDGETS!E2567/BASEBUDGETS!C2457</f>
        <v>#DIV/0!</v>
      </c>
      <c r="F74" s="770" t="str">
        <f>BASEBUDGETS!C2567</f>
        <v>hour</v>
      </c>
      <c r="G74" s="756" t="e">
        <f>D74*E74</f>
        <v>#DIV/0!</v>
      </c>
      <c r="H74" s="756">
        <v>0</v>
      </c>
      <c r="I74" s="756">
        <v>0</v>
      </c>
      <c r="J74" s="765" t="e">
        <f t="shared" ref="J74:J75" si="2">G74+H74+I74</f>
        <v>#DIV/0!</v>
      </c>
    </row>
    <row r="75" spans="2:10" s="611" customFormat="1" ht="21">
      <c r="C75" s="660" t="str">
        <f>BASEBUDGETS!B2568</f>
        <v>Additional Crop Prod. Labor</v>
      </c>
      <c r="D75" s="765">
        <f>GeneralInputPrices!$D$31</f>
        <v>14.55</v>
      </c>
      <c r="E75" s="771" t="e">
        <f>BASEBUDGETS!E2568/BASEBUDGETS!C2457</f>
        <v>#DIV/0!</v>
      </c>
      <c r="F75" s="770" t="str">
        <f>BASEBUDGETS!C2568</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BASEBUDGETS!B2490</f>
        <v>Harvest, Custom</v>
      </c>
      <c r="D77" s="765">
        <f>CustomOperations!S37</f>
        <v>25</v>
      </c>
      <c r="E77" s="771" t="e">
        <f>BASEBUDGETS!E2490/BASEBUDGETS!C2457</f>
        <v>#DIV/0!</v>
      </c>
      <c r="F77" s="770" t="str">
        <f>BASEBUDGETS!C2490</f>
        <v>acre</v>
      </c>
      <c r="G77" s="756">
        <v>0</v>
      </c>
      <c r="H77" s="756">
        <v>0</v>
      </c>
      <c r="I77" s="756" t="e">
        <f>IF(E77=0,0,BASEBUDGETS!D2490*E77)</f>
        <v>#DIV/0!</v>
      </c>
      <c r="J77" s="765" t="e">
        <f t="shared" ref="J77:J88" si="3">G77+H77+I77</f>
        <v>#DIV/0!</v>
      </c>
    </row>
    <row r="78" spans="2:10" s="611" customFormat="1" ht="21">
      <c r="C78" s="660" t="str">
        <f>BASEBUDGETS!B2491</f>
        <v>Hauling, Custom</v>
      </c>
      <c r="D78" s="765">
        <f>CustomOperations!S39</f>
        <v>0</v>
      </c>
      <c r="E78" s="771" t="e">
        <f>BASEBUDGETS!E2491/BASEBUDGETS!C2457</f>
        <v>#DIV/0!</v>
      </c>
      <c r="F78" s="770" t="str">
        <f>BASEBUDGETS!C2491</f>
        <v>mile</v>
      </c>
      <c r="G78" s="756">
        <v>0</v>
      </c>
      <c r="H78" s="756">
        <v>0</v>
      </c>
      <c r="I78" s="756" t="e">
        <f>IF(E78=0,0,BASEBUDGETS!D2491*E78)</f>
        <v>#DIV/0!</v>
      </c>
      <c r="J78" s="765" t="e">
        <f t="shared" si="3"/>
        <v>#DIV/0!</v>
      </c>
    </row>
    <row r="79" spans="2:10" s="611" customFormat="1" ht="21">
      <c r="C79" s="660" t="str">
        <f>BASEBUDGETS!B2492</f>
        <v>Gin Cotton/Drying/Swathing, Custom</v>
      </c>
      <c r="D79" s="765">
        <f>CustomOperations!S41</f>
        <v>0</v>
      </c>
      <c r="E79" s="771" t="e">
        <f>BASEBUDGETS!E2492/BASEBUDGETS!C2457</f>
        <v>#DIV/0!</v>
      </c>
      <c r="F79" s="770" t="str">
        <f>BASEBUDGETS!C2492</f>
        <v>bale</v>
      </c>
      <c r="G79" s="756">
        <v>0</v>
      </c>
      <c r="H79" s="756">
        <v>0</v>
      </c>
      <c r="I79" s="756" t="e">
        <f>IF(E79=0,0,BASEBUDGETS!D2492*E79)</f>
        <v>#DIV/0!</v>
      </c>
      <c r="J79" s="765" t="e">
        <f t="shared" si="3"/>
        <v>#DIV/0!</v>
      </c>
    </row>
    <row r="80" spans="2:10" s="611" customFormat="1" ht="21">
      <c r="C80" s="660" t="str">
        <f>TillageOperations!$B$27</f>
        <v>Cotton Picker</v>
      </c>
      <c r="D80" s="765"/>
      <c r="E80" s="771" t="e">
        <f>BASEBUDGETS!E2534/BASEBUDGETS!C2457</f>
        <v>#DIV/0!</v>
      </c>
      <c r="F80" s="770" t="str">
        <f>BASEBUDGETS!C2534</f>
        <v>acre</v>
      </c>
      <c r="G80" s="756" t="e">
        <f>IF(E80=0,0,BASEBUDGETS!D2535*E80)</f>
        <v>#DIV/0!</v>
      </c>
      <c r="H80" s="756" t="e">
        <f>IF(E80=0,0,BASEBUDGETS!D2534*E80)</f>
        <v>#DIV/0!</v>
      </c>
      <c r="I80" s="756">
        <v>0</v>
      </c>
      <c r="J80" s="765" t="e">
        <f t="shared" si="3"/>
        <v>#DIV/0!</v>
      </c>
    </row>
    <row r="81" spans="2:10" s="611" customFormat="1" ht="21">
      <c r="C81" s="781" t="s">
        <v>287</v>
      </c>
      <c r="D81" s="765"/>
      <c r="E81" s="771" t="e">
        <f>BASEBUDGETS!E2536/BASEBUDGETS!C2457</f>
        <v>#DIV/0!</v>
      </c>
      <c r="F81" s="770" t="str">
        <f>BASEBUDGETS!C2536</f>
        <v>acre</v>
      </c>
      <c r="G81" s="756" t="e">
        <f>IF(E81=0,0,BASEBUDGETS!D2537*E81)</f>
        <v>#DIV/0!</v>
      </c>
      <c r="H81" s="756" t="e">
        <f>IF(E81=0,0,BASEBUDGETS!D2536*E81)</f>
        <v>#DIV/0!</v>
      </c>
      <c r="I81" s="756">
        <v>0</v>
      </c>
      <c r="J81" s="765" t="e">
        <f t="shared" si="3"/>
        <v>#DIV/0!</v>
      </c>
    </row>
    <row r="82" spans="2:10" s="611" customFormat="1" ht="21">
      <c r="C82" s="660" t="str">
        <f>TillageOperations!$B$29</f>
        <v>Haul Cotton</v>
      </c>
      <c r="D82" s="765"/>
      <c r="E82" s="771" t="e">
        <f>BASEBUDGETS!E2538/BASEBUDGETS!C2457</f>
        <v>#DIV/0!</v>
      </c>
      <c r="F82" s="770" t="str">
        <f>BASEBUDGETS!C2538</f>
        <v>acre</v>
      </c>
      <c r="G82" s="756" t="e">
        <f>IF(E82=0,0,BASEBUDGETS!D2539*E82)</f>
        <v>#DIV/0!</v>
      </c>
      <c r="H82" s="756" t="e">
        <f>IF(E82=0,0,BASEBUDGETS!D2538*E82)</f>
        <v>#DIV/0!</v>
      </c>
      <c r="I82" s="756">
        <v>0</v>
      </c>
      <c r="J82" s="765" t="e">
        <f t="shared" si="3"/>
        <v>#DIV/0!</v>
      </c>
    </row>
    <row r="83" spans="2:10" s="611" customFormat="1" ht="21">
      <c r="C83" s="660" t="str">
        <f>TillageOperations!$B$30</f>
        <v>Combine</v>
      </c>
      <c r="D83" s="765"/>
      <c r="E83" s="771" t="e">
        <f>BASEBUDGETS!E2542/BASEBUDGETS!C2457</f>
        <v>#DIV/0!</v>
      </c>
      <c r="F83" s="770" t="str">
        <f>BASEBUDGETS!C2542</f>
        <v>acre</v>
      </c>
      <c r="G83" s="756" t="e">
        <f>IF(E83=0,0,BASEBUDGETS!D2543*E83)</f>
        <v>#DIV/0!</v>
      </c>
      <c r="H83" s="756" t="e">
        <f>IF(E83=0,0,BASEBUDGETS!D2542*E83)</f>
        <v>#DIV/0!</v>
      </c>
      <c r="I83" s="756">
        <v>0</v>
      </c>
      <c r="J83" s="765" t="e">
        <f t="shared" si="3"/>
        <v>#DIV/0!</v>
      </c>
    </row>
    <row r="84" spans="2:10" s="611" customFormat="1" ht="21">
      <c r="C84" s="660" t="str">
        <f>TillageOperations!$B$31</f>
        <v>Grain Cart</v>
      </c>
      <c r="D84" s="765"/>
      <c r="E84" s="771" t="e">
        <f>BASEBUDGETS!E2544/BASEBUDGETS!C2457</f>
        <v>#DIV/0!</v>
      </c>
      <c r="F84" s="770" t="str">
        <f>BASEBUDGETS!C2544</f>
        <v>acre</v>
      </c>
      <c r="G84" s="756" t="e">
        <f>IF(E84=0,0,BASEBUDGETS!D2545*E84)</f>
        <v>#DIV/0!</v>
      </c>
      <c r="H84" s="756" t="e">
        <f>IF(E84=0,0,BASEBUDGETS!D2544*E84)</f>
        <v>#DIV/0!</v>
      </c>
      <c r="I84" s="756">
        <v>0</v>
      </c>
      <c r="J84" s="765" t="e">
        <f t="shared" si="3"/>
        <v>#DIV/0!</v>
      </c>
    </row>
    <row r="85" spans="2:10" s="611" customFormat="1" ht="21">
      <c r="C85" s="660" t="str">
        <f>TillageOperations!$B$32</f>
        <v>Swather</v>
      </c>
      <c r="D85" s="765"/>
      <c r="E85" s="771" t="e">
        <f>BASEBUDGETS!E2546/BASEBUDGETS!C2457</f>
        <v>#DIV/0!</v>
      </c>
      <c r="F85" s="770" t="str">
        <f>BASEBUDGETS!C2546</f>
        <v>acre</v>
      </c>
      <c r="G85" s="756" t="e">
        <f>IF(E85=0,0,BASEBUDGETS!D2547*E85)</f>
        <v>#DIV/0!</v>
      </c>
      <c r="H85" s="756" t="e">
        <f>IF(E85=0,0,BASEBUDGETS!D2546*E85)</f>
        <v>#DIV/0!</v>
      </c>
      <c r="I85" s="756">
        <v>0</v>
      </c>
      <c r="J85" s="765" t="e">
        <f t="shared" si="3"/>
        <v>#DIV/0!</v>
      </c>
    </row>
    <row r="86" spans="2:10" s="611" customFormat="1" ht="21">
      <c r="C86" s="660" t="str">
        <f>TillageOperations!$B$33</f>
        <v>Baler</v>
      </c>
      <c r="D86" s="765"/>
      <c r="E86" s="771" t="e">
        <f>BASEBUDGETS!E2548/BASEBUDGETS!C2457</f>
        <v>#DIV/0!</v>
      </c>
      <c r="F86" s="770" t="str">
        <f>BASEBUDGETS!C2548</f>
        <v>acre</v>
      </c>
      <c r="G86" s="756" t="e">
        <f>IF(E86=0,0,BASEBUDGETS!D2549*E86)</f>
        <v>#DIV/0!</v>
      </c>
      <c r="H86" s="756" t="e">
        <f>IF(E86=0,0,BASEBUDGETS!D2548*E86)</f>
        <v>#DIV/0!</v>
      </c>
      <c r="I86" s="756" t="e">
        <f>IF(E86=0,0,D89*E89)</f>
        <v>#DIV/0!</v>
      </c>
      <c r="J86" s="765" t="e">
        <f t="shared" si="3"/>
        <v>#DIV/0!</v>
      </c>
    </row>
    <row r="87" spans="2:10" s="611" customFormat="1" ht="21">
      <c r="C87" s="660" t="str">
        <f>TillageOperations!$B$34</f>
        <v>Swather</v>
      </c>
      <c r="D87" s="765"/>
      <c r="E87" s="771" t="e">
        <f>BASEBUDGETS!E2550/BASEBUDGETS!C2457</f>
        <v>#DIV/0!</v>
      </c>
      <c r="F87" s="770" t="str">
        <f>BASEBUDGETS!C2550</f>
        <v>acre</v>
      </c>
      <c r="G87" s="756" t="e">
        <f>IF(E87=0,0,BASEBUDGETS!D2551*E87)</f>
        <v>#DIV/0!</v>
      </c>
      <c r="H87" s="756" t="e">
        <f>IF(E87=0,0,BASEBUDGETS!D2550*E87)</f>
        <v>#DIV/0!</v>
      </c>
      <c r="I87" s="756">
        <v>0</v>
      </c>
      <c r="J87" s="765" t="e">
        <f t="shared" si="3"/>
        <v>#DIV/0!</v>
      </c>
    </row>
    <row r="88" spans="2:10" s="611" customFormat="1" ht="21">
      <c r="C88" s="660" t="str">
        <f>TillageOperations!$B$35</f>
        <v>Baler</v>
      </c>
      <c r="D88" s="765"/>
      <c r="E88" s="771" t="e">
        <f>BASEBUDGETS!E2552/BASEBUDGETS!C2457</f>
        <v>#DIV/0!</v>
      </c>
      <c r="F88" s="770" t="str">
        <f>BASEBUDGETS!C2552</f>
        <v>acre</v>
      </c>
      <c r="G88" s="756" t="e">
        <f>IF(E88=0,0,BASEBUDGETS!D2553*E88)</f>
        <v>#DIV/0!</v>
      </c>
      <c r="H88" s="756" t="e">
        <f>IF(E88=0,0,BASEBUDGETS!D2552*E88)</f>
        <v>#DIV/0!</v>
      </c>
      <c r="I88" s="756" t="e">
        <f>IF(E88=0,0,D89*E89)</f>
        <v>#DIV/0!</v>
      </c>
      <c r="J88" s="765" t="e">
        <f t="shared" si="3"/>
        <v>#DIV/0!</v>
      </c>
    </row>
    <row r="89" spans="2:10" s="611" customFormat="1" ht="21">
      <c r="C89" s="660" t="str">
        <f>'Inputs&amp;PricesbyCrop'!$B$31</f>
        <v xml:space="preserve">   - Baling Twine</v>
      </c>
      <c r="D89" s="765">
        <f>BASEBUDGETS!D2554</f>
        <v>0</v>
      </c>
      <c r="E89" s="775" t="e">
        <f>BASEBUDGETS!E2554/BASEBUDGETS!C2457</f>
        <v>#DIV/0!</v>
      </c>
      <c r="F89" s="769" t="str">
        <f>'Inputs&amp;PricesbyCrop'!$C$31</f>
        <v>acre</v>
      </c>
      <c r="G89" s="756"/>
      <c r="H89" s="756"/>
      <c r="I89" s="756"/>
      <c r="J89" s="765"/>
    </row>
    <row r="90" spans="2:10" s="611" customFormat="1" ht="21">
      <c r="C90" s="660" t="str">
        <f>TillageOperations!$B$36</f>
        <v>Bale Wagon</v>
      </c>
      <c r="D90" s="765"/>
      <c r="E90" s="771" t="e">
        <f>BASEBUDGETS!E2555/BASEBUDGETS!C2457</f>
        <v>#DIV/0!</v>
      </c>
      <c r="F90" s="770" t="str">
        <f>BASEBUDGETS!C2555</f>
        <v>acre</v>
      </c>
      <c r="G90" s="756" t="e">
        <f>IF(E90=0,0,BASEBUDGETS!D2556*E90)</f>
        <v>#DIV/0!</v>
      </c>
      <c r="H90" s="756" t="e">
        <f>IF(E90=0,0,BASEBUDGETS!D2555*E90)</f>
        <v>#DIV/0!</v>
      </c>
      <c r="I90" s="756">
        <v>0</v>
      </c>
      <c r="J90" s="765" t="e">
        <f t="shared" ref="J90:J92" si="4">G90+H90+I90</f>
        <v>#DIV/0!</v>
      </c>
    </row>
    <row r="91" spans="2:10" s="611" customFormat="1" ht="21">
      <c r="C91" s="660" t="str">
        <f>BASEBUDGETS!B2569</f>
        <v>Additional Harvest Labor</v>
      </c>
      <c r="D91" s="765">
        <f>GeneralInputPrices!$D$32</f>
        <v>17.89</v>
      </c>
      <c r="E91" s="771" t="e">
        <f>BASEBUDGETS!E2569/BASEBUDGETS!C2457</f>
        <v>#DIV/0!</v>
      </c>
      <c r="F91" s="770" t="str">
        <f>BASEBUDGETS!C2569</f>
        <v>hour</v>
      </c>
      <c r="G91" s="756" t="e">
        <f>D91*E91</f>
        <v>#DIV/0!</v>
      </c>
      <c r="H91" s="756">
        <v>0</v>
      </c>
      <c r="I91" s="756">
        <v>0</v>
      </c>
      <c r="J91" s="765" t="e">
        <f t="shared" si="4"/>
        <v>#DIV/0!</v>
      </c>
    </row>
    <row r="92" spans="2:10" s="611" customFormat="1" ht="21">
      <c r="C92" s="660" t="str">
        <f>BASEBUDGETS!B2570</f>
        <v>Additional Harvest Labor</v>
      </c>
      <c r="D92" s="765">
        <f>GeneralInputPrices!$D$32</f>
        <v>17.89</v>
      </c>
      <c r="E92" s="771" t="e">
        <f>BASEBUDGETS!E2570/BASEBUDGETS!C2457</f>
        <v>#DIV/0!</v>
      </c>
      <c r="F92" s="770" t="str">
        <f>BASEBUDGETS!C2570</f>
        <v>hour</v>
      </c>
      <c r="G92" s="756" t="e">
        <f>D92*E92</f>
        <v>#DIV/0!</v>
      </c>
      <c r="H92" s="756">
        <v>0</v>
      </c>
      <c r="I92" s="756">
        <v>0</v>
      </c>
      <c r="J92" s="765" t="e">
        <f t="shared" si="4"/>
        <v>#DIV/0!</v>
      </c>
    </row>
    <row r="93" spans="2:10" s="611" customFormat="1" ht="21">
      <c r="B93" s="760" t="s">
        <v>184</v>
      </c>
      <c r="C93" s="760"/>
      <c r="D93" s="765"/>
      <c r="E93" s="771"/>
      <c r="F93" s="770"/>
      <c r="G93" s="756"/>
      <c r="H93" s="756"/>
      <c r="I93" s="756"/>
      <c r="J93" s="765"/>
    </row>
    <row r="94" spans="2:10" s="611" customFormat="1" ht="21">
      <c r="C94" s="660" t="str">
        <f>BASEBUDGETS!B2571</f>
        <v>Other Expenses</v>
      </c>
      <c r="D94" s="765"/>
      <c r="E94" s="783">
        <f>BASEBUDGETS!D2571</f>
        <v>0.05</v>
      </c>
      <c r="F94" s="780" t="s">
        <v>10</v>
      </c>
      <c r="G94" s="756">
        <v>0</v>
      </c>
      <c r="H94" s="756">
        <v>0</v>
      </c>
      <c r="I94" s="756" t="e">
        <f>SUM(J9:J92)*E94</f>
        <v>#DIV/0!</v>
      </c>
      <c r="J94" s="765" t="e">
        <f>G94+H94+I94</f>
        <v>#DIV/0!</v>
      </c>
    </row>
    <row r="95" spans="2:10" s="611" customFormat="1" ht="21">
      <c r="C95" s="660" t="str">
        <f>BASEBUDGETS!B2572</f>
        <v>Interest on Operating Capital</v>
      </c>
      <c r="D95" s="765"/>
      <c r="E95" s="783">
        <f>BASEBUDGETS!D2572</f>
        <v>0.06</v>
      </c>
      <c r="F95" s="780" t="s">
        <v>10</v>
      </c>
      <c r="G95" s="784">
        <v>0</v>
      </c>
      <c r="H95" s="784">
        <v>0</v>
      </c>
      <c r="I95" s="784" t="e">
        <f>SUM(J9:J94)*((E95/12)*GeneralInputPrices!$D$39)</f>
        <v>#DIV/0!</v>
      </c>
      <c r="J95" s="785" t="e">
        <f>G95+H95+I95</f>
        <v>#DIV/0!</v>
      </c>
    </row>
    <row r="96" spans="2:10" s="611" customFormat="1" ht="21">
      <c r="B96" s="660" t="s">
        <v>153</v>
      </c>
      <c r="C96" s="660"/>
      <c r="D96" s="765"/>
      <c r="E96" s="758"/>
      <c r="F96" s="660"/>
      <c r="G96" s="756" t="e">
        <f>SUM(G9:G95)</f>
        <v>#DIV/0!</v>
      </c>
      <c r="H96" s="756" t="e">
        <f>SUM(H9:H95)</f>
        <v>#DIV/0!</v>
      </c>
      <c r="I96" s="756" t="e">
        <f>SUM(I9:I95)</f>
        <v>#DIV/0!</v>
      </c>
      <c r="J96" s="756" t="e">
        <f>SUM(J9:J95)</f>
        <v>#DIV/0!</v>
      </c>
    </row>
    <row r="97" spans="2:10" s="611" customFormat="1">
      <c r="D97" s="786"/>
      <c r="E97" s="774"/>
      <c r="G97" s="757"/>
      <c r="H97" s="757"/>
      <c r="I97" s="757"/>
      <c r="J97" s="757"/>
    </row>
    <row r="98" spans="2:10" s="611" customFormat="1" ht="21">
      <c r="B98" s="660" t="s">
        <v>155</v>
      </c>
      <c r="C98" s="660"/>
      <c r="D98" s="765"/>
      <c r="E98" s="758"/>
      <c r="F98" s="660"/>
      <c r="G98" s="756"/>
      <c r="H98" s="756"/>
      <c r="I98" s="756"/>
      <c r="J98" s="756" t="e">
        <f>J5-J96</f>
        <v>#DIV/0!</v>
      </c>
    </row>
    <row r="99" spans="2:10" s="611" customFormat="1">
      <c r="D99" s="786"/>
      <c r="E99" s="774"/>
      <c r="G99" s="757"/>
      <c r="H99" s="757"/>
      <c r="I99" s="757"/>
      <c r="J99" s="757"/>
    </row>
    <row r="100" spans="2:10" s="611" customFormat="1" ht="21">
      <c r="B100" s="787" t="s">
        <v>78</v>
      </c>
      <c r="C100" s="787"/>
      <c r="D100" s="787"/>
      <c r="E100" s="787"/>
      <c r="F100" s="787"/>
      <c r="G100" s="791"/>
      <c r="H100" s="792" t="s">
        <v>1</v>
      </c>
      <c r="I100" s="767" t="s">
        <v>24</v>
      </c>
      <c r="J100" s="767" t="s">
        <v>0</v>
      </c>
    </row>
    <row r="101" spans="2:10" s="611" customFormat="1" ht="21">
      <c r="B101" s="754" t="str">
        <f>BASEBUDGETS!B2607</f>
        <v>Crop Insurance</v>
      </c>
      <c r="C101" s="754"/>
      <c r="D101" s="754"/>
      <c r="E101" s="754"/>
      <c r="F101" s="754"/>
      <c r="G101" s="757"/>
      <c r="H101" s="770" t="str">
        <f>BASEBUDGETS!C2607</f>
        <v>acre</v>
      </c>
      <c r="I101" s="756" t="e">
        <f>BASEBUDGETS!F2607/BASEBUDGETS!C2457</f>
        <v>#DIV/0!</v>
      </c>
      <c r="J101" s="756" t="e">
        <f>I101</f>
        <v>#DIV/0!</v>
      </c>
    </row>
    <row r="102" spans="2:10" s="611" customFormat="1" ht="21">
      <c r="B102" s="760" t="str">
        <f>BASEBUDGETS!B2608</f>
        <v>Property Insurance</v>
      </c>
      <c r="C102" s="760"/>
      <c r="D102" s="760"/>
      <c r="E102" s="760"/>
      <c r="F102" s="760"/>
      <c r="G102" s="757"/>
      <c r="H102" s="770" t="str">
        <f>BASEBUDGETS!C2608</f>
        <v>acre</v>
      </c>
      <c r="I102" s="756" t="e">
        <f>BASEBUDGETS!F2608/BASEBUDGETS!C2457</f>
        <v>#DIV/0!</v>
      </c>
      <c r="J102" s="756" t="e">
        <f>I102</f>
        <v>#DIV/0!</v>
      </c>
    </row>
    <row r="103" spans="2:10" s="611" customFormat="1" ht="21">
      <c r="B103" s="760" t="str">
        <f>BASEBUDGETS!B2609</f>
        <v>Property Taxes</v>
      </c>
      <c r="C103" s="760"/>
      <c r="D103" s="760"/>
      <c r="E103" s="760"/>
      <c r="F103" s="760"/>
      <c r="G103" s="757"/>
      <c r="H103" s="770" t="str">
        <f>BASEBUDGETS!C2609</f>
        <v>acre</v>
      </c>
      <c r="I103" s="756" t="e">
        <f>BASEBUDGETS!F2609/BASEBUDGETS!C2457</f>
        <v>#DIV/0!</v>
      </c>
      <c r="J103" s="756" t="e">
        <f t="shared" ref="J103:J106" si="5">I103</f>
        <v>#DIV/0!</v>
      </c>
    </row>
    <row r="104" spans="2:10" s="611" customFormat="1" ht="21">
      <c r="B104" s="760" t="str">
        <f>BASEBUDGETS!B2612</f>
        <v>Licenses and Fees</v>
      </c>
      <c r="C104" s="760"/>
      <c r="D104" s="760"/>
      <c r="E104" s="760"/>
      <c r="F104" s="760"/>
      <c r="G104" s="757"/>
      <c r="H104" s="770" t="str">
        <f>BASEBUDGETS!C2612</f>
        <v>acre</v>
      </c>
      <c r="I104" s="756" t="e">
        <f>BASEBUDGETS!F2612/BASEBUDGETS!C2457</f>
        <v>#DIV/0!</v>
      </c>
      <c r="J104" s="756" t="e">
        <f t="shared" si="5"/>
        <v>#DIV/0!</v>
      </c>
    </row>
    <row r="105" spans="2:10" s="611" customFormat="1" ht="21">
      <c r="B105" s="794" t="s">
        <v>484</v>
      </c>
      <c r="C105" s="794"/>
      <c r="D105" s="794"/>
      <c r="E105" s="794"/>
      <c r="F105" s="794"/>
      <c r="G105" s="794"/>
      <c r="H105" s="770" t="s">
        <v>157</v>
      </c>
      <c r="I105" s="756">
        <f>IF('AcresYieldsPrices&amp;Water'!D9=0,0,((Fallow!$L$17*'AcresYieldsPrices&amp;Water'!T23)/'AcresYieldsPrices&amp;Water'!D17)*-1)</f>
        <v>0</v>
      </c>
      <c r="J105" s="765">
        <f>I105</f>
        <v>0</v>
      </c>
    </row>
    <row r="106" spans="2:10" s="611" customFormat="1" ht="21">
      <c r="B106" s="760" t="str">
        <f>BASEBUDGETS!B2610</f>
        <v>Annual Cash Rent Payment</v>
      </c>
      <c r="C106" s="760"/>
      <c r="D106" s="760"/>
      <c r="E106" s="760"/>
      <c r="F106" s="760"/>
      <c r="G106" s="757"/>
      <c r="H106" s="770" t="str">
        <f>BASEBUDGETS!C2610</f>
        <v>acre</v>
      </c>
      <c r="I106" s="756" t="e">
        <f>BASEBUDGETS!F2610/BASEBUDGETS!C2457</f>
        <v>#DIV/0!</v>
      </c>
      <c r="J106" s="784" t="e">
        <f t="shared" si="5"/>
        <v>#DIV/0!</v>
      </c>
    </row>
    <row r="107" spans="2:10" s="611" customFormat="1" ht="21">
      <c r="B107" s="760" t="s">
        <v>79</v>
      </c>
      <c r="C107" s="760"/>
      <c r="D107" s="760"/>
      <c r="E107" s="760"/>
      <c r="F107" s="760"/>
      <c r="G107" s="756"/>
      <c r="H107" s="756"/>
      <c r="I107" s="756"/>
      <c r="J107" s="765" t="e">
        <f>SUM(J101:J106)</f>
        <v>#DIV/0!</v>
      </c>
    </row>
    <row r="108" spans="2:10" s="611" customFormat="1">
      <c r="D108" s="786"/>
      <c r="E108" s="774"/>
      <c r="G108" s="757"/>
      <c r="H108" s="757"/>
      <c r="I108" s="757"/>
      <c r="J108" s="786"/>
    </row>
    <row r="109" spans="2:10" s="611" customFormat="1" ht="21">
      <c r="B109" s="805" t="s">
        <v>154</v>
      </c>
      <c r="C109" s="805"/>
      <c r="D109" s="805"/>
      <c r="E109" s="805"/>
      <c r="F109" s="805"/>
      <c r="G109" s="791"/>
      <c r="H109" s="792" t="s">
        <v>1</v>
      </c>
      <c r="I109" s="767" t="s">
        <v>24</v>
      </c>
      <c r="J109" s="767" t="s">
        <v>0</v>
      </c>
    </row>
    <row r="110" spans="2:10" s="611" customFormat="1" ht="21">
      <c r="B110" s="760" t="s">
        <v>534</v>
      </c>
      <c r="C110" s="760"/>
      <c r="D110" s="760"/>
      <c r="E110" s="760"/>
      <c r="F110" s="760"/>
      <c r="G110" s="760"/>
      <c r="H110" s="770" t="s">
        <v>157</v>
      </c>
      <c r="I110" s="756" t="e">
        <f>SUM(BASEBUDGETS!F2576:F2578)/BASEBUDGETS!C2457</f>
        <v>#DIV/0!</v>
      </c>
      <c r="J110" s="765" t="e">
        <f>I110</f>
        <v>#DIV/0!</v>
      </c>
    </row>
    <row r="111" spans="2:10" s="611" customFormat="1" ht="21">
      <c r="B111" s="794" t="s">
        <v>156</v>
      </c>
      <c r="C111" s="794"/>
      <c r="D111" s="794"/>
      <c r="E111" s="794"/>
      <c r="F111" s="794"/>
      <c r="G111" s="756"/>
      <c r="H111" s="770" t="str">
        <f>BASEBUDGETS!C2576</f>
        <v>acre</v>
      </c>
      <c r="I111" s="758" t="e">
        <f>SUM(BASEBUDGETS!F2579:F2606)/BASEBUDGETS!C2457</f>
        <v>#DIV/0!</v>
      </c>
      <c r="J111" s="797" t="e">
        <f>I111</f>
        <v>#DIV/0!</v>
      </c>
    </row>
    <row r="112" spans="2:10" s="611" customFormat="1" ht="21">
      <c r="B112" s="807" t="s">
        <v>77</v>
      </c>
      <c r="C112" s="807"/>
      <c r="D112" s="807"/>
      <c r="E112" s="807"/>
      <c r="F112" s="807"/>
      <c r="G112" s="756"/>
      <c r="H112" s="756"/>
      <c r="I112" s="756"/>
      <c r="J112" s="678" t="e">
        <f>J111+J110</f>
        <v>#DIV/0!</v>
      </c>
    </row>
    <row r="113" spans="2:10" s="611" customFormat="1" ht="21">
      <c r="B113" s="660"/>
      <c r="C113" s="660"/>
      <c r="D113" s="765"/>
      <c r="E113" s="758"/>
      <c r="F113" s="660"/>
      <c r="G113" s="756"/>
      <c r="H113" s="756"/>
      <c r="I113" s="756"/>
      <c r="J113" s="765"/>
    </row>
    <row r="114" spans="2:10" s="611" customFormat="1" ht="20.399999999999999">
      <c r="B114" s="808" t="s">
        <v>63</v>
      </c>
      <c r="C114" s="808"/>
      <c r="D114" s="808"/>
      <c r="E114" s="808"/>
      <c r="F114" s="808"/>
      <c r="G114" s="764"/>
      <c r="H114" s="764"/>
      <c r="I114" s="764"/>
      <c r="J114" s="801">
        <f>IF(I4=0,0,J96+J107+J112)</f>
        <v>0</v>
      </c>
    </row>
    <row r="115" spans="2:10" ht="20.399999999999999">
      <c r="B115" s="805" t="s">
        <v>64</v>
      </c>
      <c r="C115" s="805"/>
      <c r="D115" s="805"/>
      <c r="E115" s="805"/>
      <c r="F115" s="805"/>
      <c r="G115" s="803"/>
      <c r="H115" s="803"/>
      <c r="I115" s="803"/>
      <c r="J115" s="788">
        <f>J5-J114</f>
        <v>0</v>
      </c>
    </row>
  </sheetData>
  <sheetProtection algorithmName="SHA-512" hashValue="08KahWkblvXH+uRXpZqGyEl8SaY9R45zlr18qNFjB7tQkLv2tFDRLJmLemO2DXHyIvdRM53o2GQDlItZqaWE4g==" saltValue="AABEC2AQTFKHDjDYNO7uqw==" spinCount="100000" sheet="1" objects="1" scenarios="1"/>
  <mergeCells count="21">
    <mergeCell ref="B114:F114"/>
    <mergeCell ref="B115:F115"/>
    <mergeCell ref="B104:F104"/>
    <mergeCell ref="B106:F106"/>
    <mergeCell ref="B107:F107"/>
    <mergeCell ref="B109:F109"/>
    <mergeCell ref="B111:F111"/>
    <mergeCell ref="B112:F112"/>
    <mergeCell ref="B105:G105"/>
    <mergeCell ref="B93:C93"/>
    <mergeCell ref="B101:F101"/>
    <mergeCell ref="B102:F102"/>
    <mergeCell ref="B2:F2"/>
    <mergeCell ref="B110:G110"/>
    <mergeCell ref="G2:I2"/>
    <mergeCell ref="B103:F103"/>
    <mergeCell ref="B3:C3"/>
    <mergeCell ref="B8:C8"/>
    <mergeCell ref="B31:C31"/>
    <mergeCell ref="B76:C76"/>
    <mergeCell ref="B4:E4"/>
  </mergeCells>
  <pageMargins left="0.7" right="0.7" top="0.75" bottom="0.75" header="0.3" footer="0.3"/>
  <pageSetup scale="57" orientation="portrait" horizontalDpi="0" verticalDpi="0"/>
  <ignoredErrors>
    <ignoredError sqref="B115:J115 B5:J8 I36 I35 I34 G2 D9:D17 D40:D41 D62 D32:D33 D37 D52 D77:D79 C28:D28 B4 F4 C66:D73 F66:F73 H4:J4" unlockedFormula="1"/>
    <ignoredError sqref="J114 B114:I114 B29:C31 B32:C36 J32:J36 B9:C17 E9:J17 E32:I33 B40:C41 B52:C52 E52:I52 B74:C76 B62:C62 E62:J62 B106:J109 B77:C79 E77:J79 D34:H36 B80:J82 D74:J76 B42:D51 D29:J31 B55:J61 B38:D39 E45:J51 B53:I54 E38:H44 I37:J44 J52:J54 B93:J104 I105:J105 D18:J27 B18:C27 B83:J92 E28:J28 D63:J63 B63:C65 G66:J66 D65 F65:J65 B68:B73 G68:J73 B66 D64:F64 B113:J113 B111:H111 I111:J111 I110:J110 I64:J64 E66:E73 B112:J112" evalError="1" unlockedFormula="1"/>
    <ignoredError sqref="G64 E65" evalError="1"/>
  </ignoredErrors>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A6737-3999-A448-A3F2-08EB3DBCCB55}">
  <sheetPr codeName="Sheet36">
    <pageSetUpPr fitToPage="1"/>
  </sheetPr>
  <dimension ref="A1:N115"/>
  <sheetViews>
    <sheetView zoomScale="110" zoomScaleNormal="110" workbookViewId="0">
      <selection sqref="A1:XFD1048576"/>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16384" width="11.44140625" style="653"/>
  </cols>
  <sheetData>
    <row r="1" spans="2:14" s="611" customFormat="1" ht="15" thickBot="1">
      <c r="D1" s="786"/>
      <c r="E1" s="774"/>
      <c r="G1" s="828"/>
      <c r="H1" s="828"/>
      <c r="I1" s="828"/>
      <c r="J1" s="757"/>
    </row>
    <row r="2" spans="2:14" s="611" customFormat="1" ht="22.8">
      <c r="B2" s="746" t="s">
        <v>488</v>
      </c>
      <c r="C2" s="746"/>
      <c r="D2" s="746"/>
      <c r="E2" s="746"/>
      <c r="F2" s="746"/>
      <c r="G2" s="829" t="str">
        <f>'AcresYieldsPrices&amp;Water'!B18</f>
        <v>Alt Crop #4</v>
      </c>
      <c r="H2" s="829"/>
      <c r="I2" s="829"/>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BASEBUDGETS!B2623</f>
        <v>Alt Crop #4</v>
      </c>
      <c r="C4" s="754"/>
      <c r="D4" s="754"/>
      <c r="E4" s="754"/>
      <c r="F4" s="755" t="str">
        <f>BASEBUDGETS!C2623</f>
        <v>bushel</v>
      </c>
      <c r="G4" s="756">
        <f>BASEBUDGETS!D2623</f>
        <v>0</v>
      </c>
      <c r="H4" s="757"/>
      <c r="I4" s="758">
        <f>IF(BASEBUDGETS!E2623=0,0,BASEBUDGETS!E2623/BASEBUDGETS!C2619)</f>
        <v>0</v>
      </c>
      <c r="J4" s="761">
        <f>G4*I4</f>
        <v>0</v>
      </c>
    </row>
    <row r="5" spans="2:14" s="611" customFormat="1" ht="20.399999999999999">
      <c r="B5" s="679" t="s">
        <v>27</v>
      </c>
      <c r="C5" s="679"/>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766" t="s">
        <v>76</v>
      </c>
      <c r="C7" s="766"/>
      <c r="D7" s="767" t="s">
        <v>45</v>
      </c>
      <c r="E7" s="810" t="s">
        <v>25</v>
      </c>
      <c r="F7" s="811" t="s">
        <v>1</v>
      </c>
      <c r="G7" s="812" t="s">
        <v>149</v>
      </c>
      <c r="H7" s="812" t="s">
        <v>8</v>
      </c>
      <c r="I7" s="812" t="s">
        <v>150</v>
      </c>
      <c r="J7" s="812" t="s">
        <v>7</v>
      </c>
    </row>
    <row r="8" spans="2:14" s="611" customFormat="1" ht="21">
      <c r="B8" s="754" t="s">
        <v>210</v>
      </c>
      <c r="C8" s="754"/>
      <c r="D8" s="765"/>
      <c r="E8" s="758"/>
      <c r="F8" s="769"/>
      <c r="G8" s="770"/>
      <c r="H8" s="770"/>
      <c r="I8" s="770"/>
      <c r="J8" s="757"/>
    </row>
    <row r="9" spans="2:14" s="611" customFormat="1" ht="21">
      <c r="C9" s="660" t="str">
        <f>BASEBUDGETS!B2658</f>
        <v>V Ripper, Custom</v>
      </c>
      <c r="D9" s="765">
        <f>CustomOperations!T5</f>
        <v>44.25</v>
      </c>
      <c r="E9" s="771" t="e">
        <f>BASEBUDGETS!E2658/BASEBUDGETS!C2619</f>
        <v>#DIV/0!</v>
      </c>
      <c r="F9" s="770" t="str">
        <f>BASEBUDGETS!C2658</f>
        <v>acre</v>
      </c>
      <c r="G9" s="756">
        <v>0</v>
      </c>
      <c r="H9" s="756">
        <v>0</v>
      </c>
      <c r="I9" s="756" t="e">
        <f>IF(E9=0,0,BASEBUDGETS!D2658*E9)</f>
        <v>#DIV/0!</v>
      </c>
      <c r="J9" s="765" t="e">
        <f>G9+H9+I9</f>
        <v>#DIV/0!</v>
      </c>
      <c r="L9" s="772">
        <f>N9*'AcresYieldsPrices&amp;Water'!D$18</f>
        <v>0</v>
      </c>
      <c r="M9" s="611" t="s">
        <v>394</v>
      </c>
      <c r="N9" s="653">
        <f>IFERROR(I37,0)</f>
        <v>0</v>
      </c>
    </row>
    <row r="10" spans="2:14" s="611" customFormat="1" ht="21">
      <c r="C10" s="660" t="str">
        <f>BASEBUDGETS!B2659</f>
        <v>Disk, Custom</v>
      </c>
      <c r="D10" s="765">
        <f>CustomOperations!T7</f>
        <v>0</v>
      </c>
      <c r="E10" s="771" t="e">
        <f>BASEBUDGETS!E2659/BASEBUDGETS!C2619</f>
        <v>#DIV/0!</v>
      </c>
      <c r="F10" s="770" t="str">
        <f>BASEBUDGETS!C2659</f>
        <v>acre</v>
      </c>
      <c r="G10" s="756">
        <v>0</v>
      </c>
      <c r="H10" s="756">
        <v>0</v>
      </c>
      <c r="I10" s="756" t="e">
        <f>IF(E10=0,0,BASEBUDGETS!D2659*E10)</f>
        <v>#DIV/0!</v>
      </c>
      <c r="J10" s="765" t="e">
        <f>G10+H10+I10</f>
        <v>#DIV/0!</v>
      </c>
      <c r="L10" s="772">
        <f>N10*'AcresYieldsPrices&amp;Water'!D$18</f>
        <v>0</v>
      </c>
      <c r="M10" s="611" t="s">
        <v>395</v>
      </c>
      <c r="N10" s="653">
        <f>IFERROR(I44,0)</f>
        <v>0</v>
      </c>
    </row>
    <row r="11" spans="2:14" s="611" customFormat="1" ht="21">
      <c r="C11" s="660" t="str">
        <f>BASEBUDGETS!B2660</f>
        <v>Drag, Custom</v>
      </c>
      <c r="D11" s="765">
        <f>CustomOperations!T9</f>
        <v>0</v>
      </c>
      <c r="E11" s="771" t="e">
        <f>BASEBUDGETS!E2660/BASEBUDGETS!C2619</f>
        <v>#DIV/0!</v>
      </c>
      <c r="F11" s="770" t="str">
        <f>BASEBUDGETS!C2660</f>
        <v>acre</v>
      </c>
      <c r="G11" s="756">
        <v>0</v>
      </c>
      <c r="H11" s="756">
        <v>0</v>
      </c>
      <c r="I11" s="756" t="e">
        <f>IF(E11=0,0,BASEBUDGETS!D2660*E11)</f>
        <v>#DIV/0!</v>
      </c>
      <c r="J11" s="765" t="e">
        <f t="shared" ref="J11:J30" si="0">G11+H11+I11</f>
        <v>#DIV/0!</v>
      </c>
      <c r="L11" s="772">
        <f>N11*'AcresYieldsPrices&amp;Water'!D$18</f>
        <v>0</v>
      </c>
      <c r="M11" s="611" t="s">
        <v>396</v>
      </c>
      <c r="N11" s="653">
        <f>IFERROR(I54,0)</f>
        <v>0</v>
      </c>
    </row>
    <row r="12" spans="2:14" s="611" customFormat="1" ht="21">
      <c r="C12" s="660" t="str">
        <f>BASEBUDGETS!B2661</f>
        <v>Chisel, Custom</v>
      </c>
      <c r="D12" s="765">
        <f>CustomOperations!T11</f>
        <v>0</v>
      </c>
      <c r="E12" s="771" t="e">
        <f>BASEBUDGETS!E2661/BASEBUDGETS!C2619</f>
        <v>#DIV/0!</v>
      </c>
      <c r="F12" s="770" t="str">
        <f>BASEBUDGETS!C2661</f>
        <v>acre</v>
      </c>
      <c r="G12" s="756">
        <v>0</v>
      </c>
      <c r="H12" s="756">
        <v>0</v>
      </c>
      <c r="I12" s="756" t="e">
        <f>IF(E12=0,0,BASEBUDGETS!D2661*E12)</f>
        <v>#DIV/0!</v>
      </c>
      <c r="J12" s="765" t="e">
        <f t="shared" si="0"/>
        <v>#DIV/0!</v>
      </c>
      <c r="L12" s="772">
        <f>N12*'AcresYieldsPrices&amp;Water'!D$18</f>
        <v>0</v>
      </c>
      <c r="M12" s="611" t="s">
        <v>392</v>
      </c>
      <c r="N12" s="653">
        <f>IFERROR(E29+E30+E74+E75+E91+E92+E72+E69+E66,0)</f>
        <v>0</v>
      </c>
    </row>
    <row r="13" spans="2:14" s="611" customFormat="1" ht="21">
      <c r="C13" s="660" t="str">
        <f>BASEBUDGETS!B2662</f>
        <v>Moldboard Plow, Custom</v>
      </c>
      <c r="D13" s="765">
        <f>CustomOperations!T13</f>
        <v>0</v>
      </c>
      <c r="E13" s="771" t="e">
        <f>BASEBUDGETS!E2662/BASEBUDGETS!C2619</f>
        <v>#DIV/0!</v>
      </c>
      <c r="F13" s="770" t="str">
        <f>BASEBUDGETS!C2662</f>
        <v>acre</v>
      </c>
      <c r="G13" s="756">
        <v>0</v>
      </c>
      <c r="H13" s="756">
        <v>0</v>
      </c>
      <c r="I13" s="756" t="e">
        <f>IF(E13=0,0,BASEBUDGETS!D2662*E13)</f>
        <v>#DIV/0!</v>
      </c>
      <c r="J13" s="765" t="e">
        <f t="shared" si="0"/>
        <v>#DIV/0!</v>
      </c>
      <c r="L13" s="772">
        <f>N13*'AcresYieldsPrices&amp;Water'!D$18</f>
        <v>0</v>
      </c>
      <c r="M13" s="611" t="s">
        <v>393</v>
      </c>
      <c r="N13" s="653">
        <f>IFERROR(((SUM(G18:G28)+G36+G34+G35+G43+G42+G53+G63+SUM(G80:G90))/[2]GeneralInputPrices!$D$20),0)</f>
        <v>0</v>
      </c>
    </row>
    <row r="14" spans="2:14" s="611" customFormat="1" ht="21">
      <c r="C14" s="660" t="str">
        <f>BASEBUDGETS!B2663</f>
        <v>Landplane, Custom</v>
      </c>
      <c r="D14" s="765">
        <f>CustomOperations!T15</f>
        <v>17.940000000000001</v>
      </c>
      <c r="E14" s="771" t="e">
        <f>BASEBUDGETS!E2663/BASEBUDGETS!C2619</f>
        <v>#DIV/0!</v>
      </c>
      <c r="F14" s="770" t="str">
        <f>BASEBUDGETS!C2663</f>
        <v>acre</v>
      </c>
      <c r="G14" s="756">
        <v>0</v>
      </c>
      <c r="H14" s="756">
        <v>0</v>
      </c>
      <c r="I14" s="756" t="e">
        <f>IF(E14=0,0,BASEBUDGETS!D2663*E14)</f>
        <v>#DIV/0!</v>
      </c>
      <c r="J14" s="765" t="e">
        <f t="shared" si="0"/>
        <v>#DIV/0!</v>
      </c>
      <c r="L14" s="772">
        <f>N14*'AcresYieldsPrices&amp;Water'!D$18</f>
        <v>0</v>
      </c>
      <c r="M14" s="611" t="s">
        <v>186</v>
      </c>
      <c r="N14" s="653">
        <f>IFERROR(H96,0)</f>
        <v>0</v>
      </c>
    </row>
    <row r="15" spans="2:14" s="611" customFormat="1" ht="21">
      <c r="C15" s="660" t="str">
        <f>BASEBUDGETS!B2664</f>
        <v>Float, Custom</v>
      </c>
      <c r="D15" s="765">
        <f>CustomOperations!T17</f>
        <v>17.940000000000001</v>
      </c>
      <c r="E15" s="771" t="e">
        <f>BASEBUDGETS!E2664/BASEBUDGETS!C2619</f>
        <v>#DIV/0!</v>
      </c>
      <c r="F15" s="770" t="str">
        <f>BASEBUDGETS!C2664</f>
        <v>acre</v>
      </c>
      <c r="G15" s="756">
        <v>0</v>
      </c>
      <c r="H15" s="756">
        <v>0</v>
      </c>
      <c r="I15" s="756" t="e">
        <f>IF(E15=0,0,BASEBUDGETS!D2664*E15)</f>
        <v>#DIV/0!</v>
      </c>
      <c r="J15" s="765" t="e">
        <f t="shared" si="0"/>
        <v>#DIV/0!</v>
      </c>
      <c r="L15" s="772">
        <f>N15*'AcresYieldsPrices&amp;Water'!D$18</f>
        <v>0</v>
      </c>
      <c r="M15" s="611" t="s">
        <v>401</v>
      </c>
      <c r="N15" s="653">
        <f>IFERROR(J111,0)</f>
        <v>0</v>
      </c>
    </row>
    <row r="16" spans="2:14" s="611" customFormat="1" ht="21">
      <c r="C16" s="660" t="str">
        <f>BASEBUDGETS!B2665</f>
        <v>Lister, Custom</v>
      </c>
      <c r="D16" s="765">
        <f>CustomOperations!T19</f>
        <v>20.38</v>
      </c>
      <c r="E16" s="771" t="e">
        <f>BASEBUDGETS!E2665/BASEBUDGETS!C2619</f>
        <v>#DIV/0!</v>
      </c>
      <c r="F16" s="770" t="str">
        <f>BASEBUDGETS!C2665</f>
        <v>acre</v>
      </c>
      <c r="G16" s="756">
        <v>0</v>
      </c>
      <c r="H16" s="756">
        <v>0</v>
      </c>
      <c r="I16" s="756" t="e">
        <f>IF(E16=0,0,BASEBUDGETS!D2665*E16)</f>
        <v>#DIV/0!</v>
      </c>
      <c r="J16" s="765" t="e">
        <f t="shared" si="0"/>
        <v>#DIV/0!</v>
      </c>
      <c r="L16" s="772">
        <f>N16*'AcresYieldsPrices&amp;Water'!D$18</f>
        <v>0</v>
      </c>
      <c r="M16" s="611" t="s">
        <v>405</v>
      </c>
      <c r="N16" s="653">
        <f>IFERROR((J79+J78+J77+J62+J52+J41+J40+J33+J32+SUM(J9:J17)),0)</f>
        <v>0</v>
      </c>
    </row>
    <row r="17" spans="2:10" s="611" customFormat="1" ht="21">
      <c r="C17" s="660" t="str">
        <f>BASEBUDGETS!B2666</f>
        <v>Bed Shape, Custom</v>
      </c>
      <c r="D17" s="765">
        <f>CustomOperations!T21</f>
        <v>13.69</v>
      </c>
      <c r="E17" s="771" t="e">
        <f>BASEBUDGETS!E2666/BASEBUDGETS!C2619</f>
        <v>#DIV/0!</v>
      </c>
      <c r="F17" s="770" t="str">
        <f>BASEBUDGETS!C2666</f>
        <v>acre</v>
      </c>
      <c r="G17" s="756">
        <v>0</v>
      </c>
      <c r="H17" s="756">
        <v>0</v>
      </c>
      <c r="I17" s="756" t="e">
        <f>IF(E17=0,0,BASEBUDGETS!D2666*E17)</f>
        <v>#DIV/0!</v>
      </c>
      <c r="J17" s="765" t="e">
        <f t="shared" si="0"/>
        <v>#DIV/0!</v>
      </c>
    </row>
    <row r="18" spans="2:10" s="611" customFormat="1" ht="21">
      <c r="C18" s="660" t="str">
        <f>TillageOperations!$B$7</f>
        <v>V-Ripper</v>
      </c>
      <c r="D18" s="765"/>
      <c r="E18" s="771" t="e">
        <f>BASEBUDGETS!E2670/BASEBUDGETS!C2619</f>
        <v>#DIV/0!</v>
      </c>
      <c r="F18" s="770" t="str">
        <f>BASEBUDGETS!C2670</f>
        <v>acre</v>
      </c>
      <c r="G18" s="756" t="e">
        <f>IF(E18=0,0,BASEBUDGETS!D2671*E18)</f>
        <v>#DIV/0!</v>
      </c>
      <c r="H18" s="756" t="e">
        <f>IF(E18=0,0,BASEBUDGETS!D2670*E18)</f>
        <v>#DIV/0!</v>
      </c>
      <c r="I18" s="756">
        <v>0</v>
      </c>
      <c r="J18" s="765" t="e">
        <f t="shared" si="0"/>
        <v>#DIV/0!</v>
      </c>
    </row>
    <row r="19" spans="2:10" s="611" customFormat="1" ht="21">
      <c r="C19" s="660" t="str">
        <f>TillageOperations!$B$8</f>
        <v>Offset Disk</v>
      </c>
      <c r="D19" s="765"/>
      <c r="E19" s="771" t="e">
        <f>BASEBUDGETS!E2672/BASEBUDGETS!C2619</f>
        <v>#DIV/0!</v>
      </c>
      <c r="F19" s="770" t="str">
        <f>BASEBUDGETS!C2672</f>
        <v>acre</v>
      </c>
      <c r="G19" s="756" t="e">
        <f>IF(E19=0,0,BASEBUDGETS!D2673*E19)</f>
        <v>#DIV/0!</v>
      </c>
      <c r="H19" s="756" t="e">
        <f>IF(E19=0,0,BASEBUDGETS!D2672*E19)</f>
        <v>#DIV/0!</v>
      </c>
      <c r="I19" s="756">
        <v>0</v>
      </c>
      <c r="J19" s="765" t="e">
        <f t="shared" si="0"/>
        <v>#DIV/0!</v>
      </c>
    </row>
    <row r="20" spans="2:10" s="611" customFormat="1" ht="21">
      <c r="C20" s="660" t="str">
        <f>TillageOperations!$B$9</f>
        <v>Drag</v>
      </c>
      <c r="D20" s="765"/>
      <c r="E20" s="771" t="e">
        <f>BASEBUDGETS!E2674/BASEBUDGETS!C2619</f>
        <v>#DIV/0!</v>
      </c>
      <c r="F20" s="770" t="str">
        <f>BASEBUDGETS!C2674</f>
        <v>acre</v>
      </c>
      <c r="G20" s="756" t="e">
        <f>IF(E20=0,0,BASEBUDGETS!D2675*E20)</f>
        <v>#DIV/0!</v>
      </c>
      <c r="H20" s="756" t="e">
        <f>IF(E20=0,0,BASEBUDGETS!D2674*E20)</f>
        <v>#DIV/0!</v>
      </c>
      <c r="I20" s="756">
        <v>0</v>
      </c>
      <c r="J20" s="765" t="e">
        <f t="shared" si="0"/>
        <v>#DIV/0!</v>
      </c>
    </row>
    <row r="21" spans="2:10" s="611" customFormat="1" ht="21">
      <c r="C21" s="660" t="str">
        <f>TillageOperations!$B$10</f>
        <v>Chisel</v>
      </c>
      <c r="D21" s="765"/>
      <c r="E21" s="771" t="e">
        <f>BASEBUDGETS!E2676/BASEBUDGETS!C2619</f>
        <v>#DIV/0!</v>
      </c>
      <c r="F21" s="770" t="str">
        <f>BASEBUDGETS!C2676</f>
        <v>acre</v>
      </c>
      <c r="G21" s="756" t="e">
        <f>IF(E21=0,0,BASEBUDGETS!D2677*E21)</f>
        <v>#DIV/0!</v>
      </c>
      <c r="H21" s="756" t="e">
        <f>IF(E21=0,0,BASEBUDGETS!D2676*E21)</f>
        <v>#DIV/0!</v>
      </c>
      <c r="I21" s="756">
        <v>0</v>
      </c>
      <c r="J21" s="765" t="e">
        <f t="shared" si="0"/>
        <v>#DIV/0!</v>
      </c>
    </row>
    <row r="22" spans="2:10" s="611" customFormat="1" ht="21">
      <c r="C22" s="660" t="str">
        <f>TillageOperations!$B$11</f>
        <v>Moldboard Plow</v>
      </c>
      <c r="D22" s="765"/>
      <c r="E22" s="771" t="e">
        <f>BASEBUDGETS!E2678/BASEBUDGETS!C2619</f>
        <v>#DIV/0!</v>
      </c>
      <c r="F22" s="770" t="str">
        <f>BASEBUDGETS!C2678</f>
        <v>acre</v>
      </c>
      <c r="G22" s="756" t="e">
        <f>IF(E22=0,0,BASEBUDGETS!D2679*E22)</f>
        <v>#DIV/0!</v>
      </c>
      <c r="H22" s="756" t="e">
        <f>IF(E22=0,0,BASEBUDGETS!D2678*E22)</f>
        <v>#DIV/0!</v>
      </c>
      <c r="I22" s="756">
        <v>0</v>
      </c>
      <c r="J22" s="765" t="e">
        <f t="shared" si="0"/>
        <v>#DIV/0!</v>
      </c>
    </row>
    <row r="23" spans="2:10" s="611" customFormat="1" ht="21">
      <c r="C23" s="660" t="str">
        <f>TillageOperations!$B$12</f>
        <v>Cultivator</v>
      </c>
      <c r="D23" s="765"/>
      <c r="E23" s="771" t="e">
        <f>BASEBUDGETS!E2680/BASEBUDGETS!C2619</f>
        <v>#DIV/0!</v>
      </c>
      <c r="F23" s="770" t="str">
        <f>BASEBUDGETS!C2680</f>
        <v>acre</v>
      </c>
      <c r="G23" s="756" t="e">
        <f>IF(E23=0,0,BASEBUDGETS!D2681*E23)</f>
        <v>#DIV/0!</v>
      </c>
      <c r="H23" s="756" t="e">
        <f>IF(E23=0,0,BASEBUDGETS!D2680*E23)</f>
        <v>#DIV/0!</v>
      </c>
      <c r="I23" s="756">
        <v>0</v>
      </c>
      <c r="J23" s="765" t="e">
        <f t="shared" si="0"/>
        <v>#DIV/0!</v>
      </c>
    </row>
    <row r="24" spans="2:10" s="611" customFormat="1" ht="21">
      <c r="C24" s="660" t="str">
        <f>TillageOperations!$B$13</f>
        <v>Landplane</v>
      </c>
      <c r="D24" s="765"/>
      <c r="E24" s="771" t="e">
        <f>BASEBUDGETS!E2682/BASEBUDGETS!C2619</f>
        <v>#DIV/0!</v>
      </c>
      <c r="F24" s="770" t="str">
        <f>BASEBUDGETS!C2682</f>
        <v>acre</v>
      </c>
      <c r="G24" s="756" t="e">
        <f>IF(E24=0,0,BASEBUDGETS!D2683*E24)</f>
        <v>#DIV/0!</v>
      </c>
      <c r="H24" s="756" t="e">
        <f>IF(E24=0,0,BASEBUDGETS!D2682*E24)</f>
        <v>#DIV/0!</v>
      </c>
      <c r="I24" s="756">
        <v>0</v>
      </c>
      <c r="J24" s="765" t="e">
        <f t="shared" si="0"/>
        <v>#DIV/0!</v>
      </c>
    </row>
    <row r="25" spans="2:10" s="611" customFormat="1" ht="21">
      <c r="C25" s="660" t="str">
        <f>TillageOperations!$B$14</f>
        <v>Float</v>
      </c>
      <c r="D25" s="765"/>
      <c r="E25" s="771" t="e">
        <f>BASEBUDGETS!E2684/BASEBUDGETS!C2619</f>
        <v>#DIV/0!</v>
      </c>
      <c r="F25" s="770" t="str">
        <f>BASEBUDGETS!C2684</f>
        <v>acre</v>
      </c>
      <c r="G25" s="756" t="e">
        <f>IF(E25=0,0,BASEBUDGETS!D2685*E25)</f>
        <v>#DIV/0!</v>
      </c>
      <c r="H25" s="756" t="e">
        <f>IF(E25=0,0,BASEBUDGETS!D2684*E25)</f>
        <v>#DIV/0!</v>
      </c>
      <c r="I25" s="756">
        <v>0</v>
      </c>
      <c r="J25" s="765" t="e">
        <f t="shared" si="0"/>
        <v>#DIV/0!</v>
      </c>
    </row>
    <row r="26" spans="2:10" s="611" customFormat="1" ht="21">
      <c r="C26" s="660" t="str">
        <f>TillageOperations!$B$15</f>
        <v>Lister</v>
      </c>
      <c r="D26" s="765"/>
      <c r="E26" s="771" t="e">
        <f>BASEBUDGETS!E2686/BASEBUDGETS!C2619</f>
        <v>#DIV/0!</v>
      </c>
      <c r="F26" s="770" t="str">
        <f>BASEBUDGETS!C2686</f>
        <v>acre</v>
      </c>
      <c r="G26" s="756" t="e">
        <f>IF(E26=0,0,BASEBUDGETS!D2687*E26)</f>
        <v>#DIV/0!</v>
      </c>
      <c r="H26" s="756" t="e">
        <f>IF(E26=0,0,BASEBUDGETS!D2686*E26)</f>
        <v>#DIV/0!</v>
      </c>
      <c r="I26" s="756">
        <v>0</v>
      </c>
      <c r="J26" s="765" t="e">
        <f t="shared" si="0"/>
        <v>#DIV/0!</v>
      </c>
    </row>
    <row r="27" spans="2:10" s="611" customFormat="1" ht="21">
      <c r="C27" s="660" t="str">
        <f>TillageOperations!$B$16</f>
        <v>Bed Shaper</v>
      </c>
      <c r="D27" s="765"/>
      <c r="E27" s="771" t="e">
        <f>BASEBUDGETS!E2688/BASEBUDGETS!C2619</f>
        <v>#DIV/0!</v>
      </c>
      <c r="F27" s="770" t="str">
        <f>BASEBUDGETS!C2688</f>
        <v>acre</v>
      </c>
      <c r="G27" s="756" t="e">
        <f>IF(E27=0,0,BASEBUDGETS!D2689*E27)</f>
        <v>#DIV/0!</v>
      </c>
      <c r="H27" s="756" t="e">
        <f>IF(E27=0,0,BASEBUDGETS!D2688*E27)</f>
        <v>#DIV/0!</v>
      </c>
      <c r="I27" s="756">
        <v>0</v>
      </c>
      <c r="J27" s="765" t="e">
        <f t="shared" si="0"/>
        <v>#DIV/0!</v>
      </c>
    </row>
    <row r="28" spans="2:10" s="611" customFormat="1" ht="21">
      <c r="C28" s="660" t="str">
        <f>TillageOperations!$B$17</f>
        <v>Cotton Shredder/Root Puller</v>
      </c>
      <c r="D28" s="765"/>
      <c r="E28" s="771" t="e">
        <f>BASEBUDGETS!E2702/BASEBUDGETS!C2619</f>
        <v>#DIV/0!</v>
      </c>
      <c r="F28" s="770" t="str">
        <f>BASEBUDGETS!C2702</f>
        <v>acre</v>
      </c>
      <c r="G28" s="756" t="e">
        <f>IF(E28=0,0,BASEBUDGETS!D2703*E28)</f>
        <v>#DIV/0!</v>
      </c>
      <c r="H28" s="756" t="e">
        <f>IF(E28=0,0,BASEBUDGETS!D2702*E28)</f>
        <v>#DIV/0!</v>
      </c>
      <c r="I28" s="756">
        <v>0</v>
      </c>
      <c r="J28" s="765" t="e">
        <f>G28+H28+I28</f>
        <v>#DIV/0!</v>
      </c>
    </row>
    <row r="29" spans="2:10" s="611" customFormat="1" ht="21">
      <c r="C29" s="660" t="str">
        <f>BASEBUDGETS!B2727</f>
        <v>Additional Land Prep. Labor</v>
      </c>
      <c r="D29" s="765">
        <f>GeneralInputPrices!$D$30</f>
        <v>14.55</v>
      </c>
      <c r="E29" s="758" t="e">
        <f>BASEBUDGETS!E2727/BASEBUDGETS!C2619</f>
        <v>#DIV/0!</v>
      </c>
      <c r="F29" s="773" t="str">
        <f>BASEBUDGETS!C2727</f>
        <v>hour</v>
      </c>
      <c r="G29" s="756" t="e">
        <f>D29*E29</f>
        <v>#DIV/0!</v>
      </c>
      <c r="H29" s="756">
        <v>0</v>
      </c>
      <c r="I29" s="756">
        <v>0</v>
      </c>
      <c r="J29" s="765" t="e">
        <f t="shared" si="0"/>
        <v>#DIV/0!</v>
      </c>
    </row>
    <row r="30" spans="2:10" s="611" customFormat="1" ht="21">
      <c r="C30" s="660" t="str">
        <f>BASEBUDGETS!B2728</f>
        <v>Additional Land Prep. Labor</v>
      </c>
      <c r="D30" s="765">
        <f>GeneralInputPrices!$D$30</f>
        <v>14.55</v>
      </c>
      <c r="E30" s="758" t="e">
        <f>BASEBUDGETS!E2728/BASEBUDGETS!C2619</f>
        <v>#DIV/0!</v>
      </c>
      <c r="F30" s="773" t="str">
        <f>BASEBUDGETS!C2728</f>
        <v>hour</v>
      </c>
      <c r="G30" s="756" t="e">
        <f>D30*E30</f>
        <v>#DIV/0!</v>
      </c>
      <c r="H30" s="756">
        <v>0</v>
      </c>
      <c r="I30" s="756">
        <v>0</v>
      </c>
      <c r="J30" s="765" t="e">
        <f t="shared" si="0"/>
        <v>#DIV/0!</v>
      </c>
    </row>
    <row r="31" spans="2:10" s="611" customFormat="1" ht="21">
      <c r="B31" s="760" t="s">
        <v>175</v>
      </c>
      <c r="C31" s="760"/>
      <c r="D31" s="765"/>
      <c r="E31" s="774"/>
      <c r="G31" s="757"/>
      <c r="H31" s="757"/>
      <c r="I31" s="757"/>
      <c r="J31" s="757"/>
    </row>
    <row r="32" spans="2:10" s="611" customFormat="1" ht="21">
      <c r="C32" s="660" t="str">
        <f>BASEBUDGETS!B2655</f>
        <v>Drill, Custom</v>
      </c>
      <c r="D32" s="765">
        <f>CustomOperations!T24</f>
        <v>0</v>
      </c>
      <c r="E32" s="771" t="e">
        <f>BASEBUDGETS!E2655/BASEBUDGETS!C2619</f>
        <v>#DIV/0!</v>
      </c>
      <c r="F32" s="770" t="str">
        <f>BASEBUDGETS!C2655</f>
        <v>acre</v>
      </c>
      <c r="G32" s="756">
        <v>0</v>
      </c>
      <c r="H32" s="756">
        <v>0</v>
      </c>
      <c r="I32" s="756" t="e">
        <f>IF(E32=0,0,(BASEBUDGETS!D2655*E32))</f>
        <v>#DIV/0!</v>
      </c>
      <c r="J32" s="765" t="e">
        <f t="shared" ref="J32:J34" si="1">G32+H32+I32</f>
        <v>#DIV/0!</v>
      </c>
    </row>
    <row r="33" spans="3:10" s="611" customFormat="1" ht="21">
      <c r="C33" s="660" t="str">
        <f>BASEBUDGETS!B2656</f>
        <v>Row Planter, Custom</v>
      </c>
      <c r="D33" s="765">
        <f>CustomOperations!T26</f>
        <v>0</v>
      </c>
      <c r="E33" s="771" t="e">
        <f>BASEBUDGETS!E2656/BASEBUDGETS!C2619</f>
        <v>#DIV/0!</v>
      </c>
      <c r="F33" s="770" t="str">
        <f>BASEBUDGETS!C2656</f>
        <v>acre</v>
      </c>
      <c r="G33" s="756">
        <v>0</v>
      </c>
      <c r="H33" s="756">
        <v>0</v>
      </c>
      <c r="I33" s="756" t="e">
        <f>IF(E33=0,0,(BASEBUDGETS!D2656*E33))</f>
        <v>#DIV/0!</v>
      </c>
      <c r="J33" s="765" t="e">
        <f t="shared" si="1"/>
        <v>#DIV/0!</v>
      </c>
    </row>
    <row r="34" spans="3:10" s="611" customFormat="1" ht="21">
      <c r="C34" s="660" t="str">
        <f>TillageOperations!$B$21</f>
        <v>Drill</v>
      </c>
      <c r="D34" s="765"/>
      <c r="E34" s="771" t="e">
        <f>BASEBUDGETS!E2694/BASEBUDGETS!C2619</f>
        <v>#DIV/0!</v>
      </c>
      <c r="F34" s="770" t="str">
        <f>BASEBUDGETS!C2694</f>
        <v>acre</v>
      </c>
      <c r="G34" s="756" t="e">
        <f>IF(E34=0,0,BASEBUDGETS!D2695*E34)</f>
        <v>#DIV/0!</v>
      </c>
      <c r="H34" s="756" t="e">
        <f>IF(E34=0,0,BASEBUDGETS!D2694*E34)</f>
        <v>#DIV/0!</v>
      </c>
      <c r="I34" s="756">
        <v>0</v>
      </c>
      <c r="J34" s="765" t="e">
        <f t="shared" si="1"/>
        <v>#DIV/0!</v>
      </c>
    </row>
    <row r="35" spans="3:10" s="611" customFormat="1" ht="21">
      <c r="C35" s="660" t="str">
        <f>TillageOperations!$B$19</f>
        <v>Row Planter</v>
      </c>
      <c r="D35" s="765"/>
      <c r="E35" s="771" t="e">
        <f>BASEBUDGETS!E2690/BASEBUDGETS!C2619</f>
        <v>#DIV/0!</v>
      </c>
      <c r="F35" s="770" t="str">
        <f>BASEBUDGETS!C2690</f>
        <v>acre</v>
      </c>
      <c r="G35" s="756" t="e">
        <f>IF(E35=0,0,BASEBUDGETS!D2691*E35)</f>
        <v>#DIV/0!</v>
      </c>
      <c r="H35" s="756" t="e">
        <f>IF(E35=0,0,BASEBUDGETS!D2690*E35)</f>
        <v>#DIV/0!</v>
      </c>
      <c r="I35" s="756">
        <v>0</v>
      </c>
      <c r="J35" s="765" t="e">
        <f>G35+H35+I35</f>
        <v>#DIV/0!</v>
      </c>
    </row>
    <row r="36" spans="3:10" s="611" customFormat="1" ht="21">
      <c r="C36" s="660" t="str">
        <f>TillageOperations!$B$22</f>
        <v>Transplanter</v>
      </c>
      <c r="D36" s="765"/>
      <c r="E36" s="771" t="e">
        <f>BASEBUDGETS!E2725/BASEBUDGETS!C2619</f>
        <v>#DIV/0!</v>
      </c>
      <c r="F36" s="770" t="str">
        <f>BASEBUDGETS!C2725</f>
        <v>acre</v>
      </c>
      <c r="G36" s="756" t="e">
        <f>IF(E36=0,0,BASEBUDGETS!D2726*E36)</f>
        <v>#DIV/0!</v>
      </c>
      <c r="H36" s="756" t="e">
        <f>IF(E36=0,0,BASEBUDGETS!D2725*E36)</f>
        <v>#DIV/0!</v>
      </c>
      <c r="I36" s="756">
        <v>0</v>
      </c>
      <c r="J36" s="765" t="e">
        <f>G36+H36+I36</f>
        <v>#DIV/0!</v>
      </c>
    </row>
    <row r="37" spans="3:10" s="611" customFormat="1" ht="21">
      <c r="C37" s="660" t="s">
        <v>439</v>
      </c>
      <c r="D37" s="765"/>
      <c r="E37" s="771"/>
      <c r="F37" s="770"/>
      <c r="G37" s="756">
        <v>0</v>
      </c>
      <c r="H37" s="756">
        <v>0</v>
      </c>
      <c r="I37" s="756">
        <f>IF(I4&gt;0,(D38*E38)+(D39*E39),0)</f>
        <v>0</v>
      </c>
      <c r="J37" s="765">
        <f>G37+H37+I37</f>
        <v>0</v>
      </c>
    </row>
    <row r="38" spans="3:10" s="611" customFormat="1" ht="21">
      <c r="C38" s="660" t="str">
        <f>BASEBUDGETS!B2627</f>
        <v xml:space="preserve">   - Seed</v>
      </c>
      <c r="D38" s="765">
        <f>BASEBUDGETS!D2627</f>
        <v>0</v>
      </c>
      <c r="E38" s="775" t="e">
        <f>BASEBUDGETS!E2627/BASEBUDGETS!C2619</f>
        <v>#DIV/0!</v>
      </c>
      <c r="F38" s="769" t="str">
        <f>BASEBUDGETS!C2627</f>
        <v>pounds</v>
      </c>
      <c r="G38" s="757"/>
      <c r="H38" s="757"/>
      <c r="I38" s="757"/>
      <c r="J38" s="757"/>
    </row>
    <row r="39" spans="3:10" s="611" customFormat="1" ht="21">
      <c r="C39" s="660" t="str">
        <f>BASEBUDGETS!B2628</f>
        <v xml:space="preserve">   - Inoculant</v>
      </c>
      <c r="D39" s="765">
        <f>BASEBUDGETS!D2628</f>
        <v>3</v>
      </c>
      <c r="E39" s="775" t="e">
        <f>BASEBUDGETS!E2628/BASEBUDGETS!C2619</f>
        <v>#DIV/0!</v>
      </c>
      <c r="F39" s="769" t="str">
        <f>BASEBUDGETS!C2628</f>
        <v>pounds</v>
      </c>
      <c r="G39" s="765"/>
      <c r="H39" s="765"/>
      <c r="I39" s="765"/>
      <c r="J39" s="765"/>
    </row>
    <row r="40" spans="3:10" s="611" customFormat="1" ht="21">
      <c r="C40" s="660" t="str">
        <f>BASEBUDGETS!B2667</f>
        <v>Fertilizer Spreader, Custom</v>
      </c>
      <c r="D40" s="765">
        <f>CustomOperations!T32</f>
        <v>10.08</v>
      </c>
      <c r="E40" s="771" t="e">
        <f>BASEBUDGETS!E2667/BASEBUDGETS!C2619</f>
        <v>#DIV/0!</v>
      </c>
      <c r="F40" s="770" t="str">
        <f>BASEBUDGETS!C2667</f>
        <v>acre</v>
      </c>
      <c r="G40" s="756">
        <v>0</v>
      </c>
      <c r="H40" s="756">
        <v>0</v>
      </c>
      <c r="I40" s="756" t="e">
        <f>IF(E40=0,0,BASEBUDGETS!D2667*E40)</f>
        <v>#DIV/0!</v>
      </c>
      <c r="J40" s="765" t="e">
        <f>G40+H40+I40</f>
        <v>#DIV/0!</v>
      </c>
    </row>
    <row r="41" spans="3:10" s="611" customFormat="1" ht="21">
      <c r="C41" s="660" t="str">
        <f>BASEBUDGETS!B2668</f>
        <v>Laser Landplaning, Custom</v>
      </c>
      <c r="D41" s="765">
        <f>CustomOperations!T34</f>
        <v>0</v>
      </c>
      <c r="E41" s="771" t="e">
        <f>BASEBUDGETS!E2668/BASEBUDGETS!C2619</f>
        <v>#DIV/0!</v>
      </c>
      <c r="F41" s="770" t="str">
        <f>BASEBUDGETS!C2668</f>
        <v>acre</v>
      </c>
      <c r="G41" s="756">
        <v>0</v>
      </c>
      <c r="H41" s="756">
        <v>0</v>
      </c>
      <c r="I41" s="756" t="e">
        <f>IF(E41=0,0,BASEBUDGETS!D2668*E41)</f>
        <v>#DIV/0!</v>
      </c>
      <c r="J41" s="765" t="e">
        <f>G41+H41+I41</f>
        <v>#DIV/0!</v>
      </c>
    </row>
    <row r="42" spans="3:10" s="611" customFormat="1" ht="21">
      <c r="C42" s="660" t="str">
        <f>TillageOperations!$B$23</f>
        <v>Fertilizer Spreader</v>
      </c>
      <c r="D42" s="765"/>
      <c r="E42" s="771" t="e">
        <f>BASEBUDGETS!E2719/BASEBUDGETS!C2619</f>
        <v>#DIV/0!</v>
      </c>
      <c r="F42" s="770" t="str">
        <f>BASEBUDGETS!C2719</f>
        <v>acre</v>
      </c>
      <c r="G42" s="756" t="e">
        <f>IF(E42=0,0,BASEBUDGETS!D2720*E42)</f>
        <v>#DIV/0!</v>
      </c>
      <c r="H42" s="756" t="e">
        <f>IF(E42=0,0,BASEBUDGETS!D2719*E42)</f>
        <v>#DIV/0!</v>
      </c>
      <c r="I42" s="756">
        <v>0</v>
      </c>
      <c r="J42" s="765" t="e">
        <f>G42+H42+I42</f>
        <v>#DIV/0!</v>
      </c>
    </row>
    <row r="43" spans="3:10" s="611" customFormat="1" ht="21">
      <c r="C43" s="660" t="str">
        <f>TillageOperations!$B$24</f>
        <v>Fertilizer Injection System</v>
      </c>
      <c r="D43" s="765"/>
      <c r="E43" s="771" t="e">
        <f>BASEBUDGETS!E2721/BASEBUDGETS!C2619</f>
        <v>#DIV/0!</v>
      </c>
      <c r="F43" s="770" t="str">
        <f>BASEBUDGETS!C2721</f>
        <v>acre</v>
      </c>
      <c r="G43" s="756" t="e">
        <f>IF(E43=0,0,BASEBUDGETS!D2722*E43)</f>
        <v>#DIV/0!</v>
      </c>
      <c r="H43" s="756" t="e">
        <f>IF(E43=0,0,BASEBUDGETS!D2721*E43)</f>
        <v>#DIV/0!</v>
      </c>
      <c r="I43" s="756">
        <v>0</v>
      </c>
      <c r="J43" s="765" t="e">
        <f>G43+H43+I43</f>
        <v>#DIV/0!</v>
      </c>
    </row>
    <row r="44" spans="3:10" s="611" customFormat="1" ht="21">
      <c r="C44" s="660" t="s">
        <v>407</v>
      </c>
      <c r="D44" s="765"/>
      <c r="E44" s="771"/>
      <c r="F44" s="770"/>
      <c r="G44" s="756">
        <v>0</v>
      </c>
      <c r="H44" s="756">
        <v>0</v>
      </c>
      <c r="I44" s="756" t="e">
        <f>(D45*E45)+(D46*E46)+(D47*E47)+(D48*E48)+(D49*E49)+(D50*E50)+(D51*E51)</f>
        <v>#DIV/0!</v>
      </c>
      <c r="J44" s="765" t="e">
        <f>G44+H44+I44</f>
        <v>#DIV/0!</v>
      </c>
    </row>
    <row r="45" spans="3:10" s="611" customFormat="1" ht="21">
      <c r="C45" s="660" t="str">
        <f>BASEBUDGETS!B2629</f>
        <v xml:space="preserve">   - Nitrogen</v>
      </c>
      <c r="D45" s="765">
        <f>BASEBUDGETS!D2629</f>
        <v>0.46</v>
      </c>
      <c r="E45" s="775" t="e">
        <f>BASEBUDGETS!E2629/BASEBUDGETS!C2619</f>
        <v>#DIV/0!</v>
      </c>
      <c r="F45" s="769" t="str">
        <f>BASEBUDGETS!C2629</f>
        <v>pounds</v>
      </c>
      <c r="G45" s="765"/>
      <c r="H45" s="765"/>
      <c r="I45" s="765"/>
      <c r="J45" s="765"/>
    </row>
    <row r="46" spans="3:10" s="611" customFormat="1" ht="21">
      <c r="C46" s="660" t="str">
        <f>BASEBUDGETS!B2630</f>
        <v xml:space="preserve">   - Phosphorus</v>
      </c>
      <c r="D46" s="765">
        <f>BASEBUDGETS!D2630</f>
        <v>0.36</v>
      </c>
      <c r="E46" s="775" t="e">
        <f>BASEBUDGETS!E2630/BASEBUDGETS!C2619</f>
        <v>#DIV/0!</v>
      </c>
      <c r="F46" s="769" t="str">
        <f>BASEBUDGETS!C2630</f>
        <v>pounds</v>
      </c>
      <c r="G46" s="765"/>
      <c r="H46" s="765"/>
      <c r="I46" s="765"/>
      <c r="J46" s="765"/>
    </row>
    <row r="47" spans="3:10" s="611" customFormat="1" ht="21">
      <c r="C47" s="660" t="str">
        <f>BASEBUDGETS!B2631</f>
        <v xml:space="preserve">   - Anhydrous Ammonia</v>
      </c>
      <c r="D47" s="765">
        <f>BASEBUDGETS!D2631</f>
        <v>0.21</v>
      </c>
      <c r="E47" s="775" t="e">
        <f>BASEBUDGETS!E2631/BASEBUDGETS!C2619</f>
        <v>#DIV/0!</v>
      </c>
      <c r="F47" s="769" t="str">
        <f>BASEBUDGETS!C2631</f>
        <v>pounds</v>
      </c>
      <c r="G47" s="765"/>
      <c r="H47" s="765"/>
      <c r="I47" s="765"/>
      <c r="J47" s="765"/>
    </row>
    <row r="48" spans="3:10" s="611" customFormat="1" ht="21">
      <c r="C48" s="660" t="str">
        <f>BASEBUDGETS!B2632</f>
        <v xml:space="preserve">   - Trace Elements</v>
      </c>
      <c r="D48" s="765">
        <f>BASEBUDGETS!D2632</f>
        <v>0.24</v>
      </c>
      <c r="E48" s="775" t="e">
        <f>BASEBUDGETS!E2632/BASEBUDGETS!C2619</f>
        <v>#DIV/0!</v>
      </c>
      <c r="F48" s="769" t="str">
        <f>BASEBUDGETS!C2632</f>
        <v>pounds</v>
      </c>
      <c r="G48" s="765"/>
      <c r="H48" s="765"/>
      <c r="I48" s="765"/>
      <c r="J48" s="765"/>
    </row>
    <row r="49" spans="3:10" s="611" customFormat="1" ht="21">
      <c r="C49" s="660" t="str">
        <f>BASEBUDGETS!B2633</f>
        <v xml:space="preserve">   - Nitrogen</v>
      </c>
      <c r="D49" s="765">
        <f>BASEBUDGETS!D2633</f>
        <v>0</v>
      </c>
      <c r="E49" s="775" t="e">
        <f>BASEBUDGETS!E2633/BASEBUDGETS!C2619</f>
        <v>#DIV/0!</v>
      </c>
      <c r="F49" s="769" t="str">
        <f>BASEBUDGETS!C2633</f>
        <v>acre</v>
      </c>
      <c r="G49" s="765"/>
      <c r="H49" s="765"/>
      <c r="I49" s="765"/>
      <c r="J49" s="765"/>
    </row>
    <row r="50" spans="3:10" s="611" customFormat="1" ht="21">
      <c r="C50" s="660" t="str">
        <f>BASEBUDGETS!B2634</f>
        <v xml:space="preserve">   - Phosphorus</v>
      </c>
      <c r="D50" s="765">
        <f>BASEBUDGETS!D2634</f>
        <v>0</v>
      </c>
      <c r="E50" s="775" t="e">
        <f>BASEBUDGETS!E2634/BASEBUDGETS!C2619</f>
        <v>#DIV/0!</v>
      </c>
      <c r="F50" s="769" t="str">
        <f>BASEBUDGETS!C2634</f>
        <v>acre</v>
      </c>
      <c r="G50" s="765"/>
      <c r="H50" s="765"/>
      <c r="I50" s="765"/>
      <c r="J50" s="765"/>
    </row>
    <row r="51" spans="3:10" s="611" customFormat="1" ht="21">
      <c r="C51" s="660" t="str">
        <f>BASEBUDGETS!B2635</f>
        <v xml:space="preserve">   - Fertilizer - Anhydrous Applicator</v>
      </c>
      <c r="D51" s="765">
        <f>BASEBUDGETS!D2635</f>
        <v>0</v>
      </c>
      <c r="E51" s="775" t="e">
        <f>BASEBUDGETS!E2635/BASEBUDGETS!C2619</f>
        <v>#DIV/0!</v>
      </c>
      <c r="F51" s="769" t="str">
        <f>BASEBUDGETS!C2635</f>
        <v>acre</v>
      </c>
      <c r="G51" s="765"/>
      <c r="H51" s="765"/>
      <c r="I51" s="765"/>
      <c r="J51" s="765"/>
    </row>
    <row r="52" spans="3:10" s="611" customFormat="1" ht="21">
      <c r="C52" s="660" t="str">
        <f>BASEBUDGETS!B2669</f>
        <v>Boom Sprayer, Custom</v>
      </c>
      <c r="D52" s="765">
        <f>CustomOperations!T30</f>
        <v>10.050000000000001</v>
      </c>
      <c r="E52" s="771" t="e">
        <f>BASEBUDGETS!E2669/BASEBUDGETS!C2619</f>
        <v>#DIV/0!</v>
      </c>
      <c r="F52" s="770" t="str">
        <f>BASEBUDGETS!C2669</f>
        <v>acre</v>
      </c>
      <c r="G52" s="756">
        <v>0</v>
      </c>
      <c r="H52" s="756">
        <v>0</v>
      </c>
      <c r="I52" s="756" t="e">
        <f>IF(E52=0,0,BASEBUDGETS!D2669*E52)</f>
        <v>#DIV/0!</v>
      </c>
      <c r="J52" s="765" t="e">
        <f>G52+H52+I52</f>
        <v>#DIV/0!</v>
      </c>
    </row>
    <row r="53" spans="3:10" s="611" customFormat="1" ht="21">
      <c r="C53" s="660" t="str">
        <f>TillageOperations!$B$25</f>
        <v>Boom Sprayer</v>
      </c>
      <c r="D53" s="765"/>
      <c r="E53" s="771" t="e">
        <f>BASEBUDGETS!E2723/BASEBUDGETS!C2619</f>
        <v>#DIV/0!</v>
      </c>
      <c r="F53" s="770" t="str">
        <f>BASEBUDGETS!C2723</f>
        <v>acre</v>
      </c>
      <c r="G53" s="756" t="e">
        <f>IF(E53=0,0,BASEBUDGETS!D2724*E53)</f>
        <v>#DIV/0!</v>
      </c>
      <c r="H53" s="756" t="e">
        <f>IF(E53=0,0,BASEBUDGETS!D2723*E53)</f>
        <v>#DIV/0!</v>
      </c>
      <c r="I53" s="756">
        <v>0</v>
      </c>
      <c r="J53" s="765" t="e">
        <f>G53+H53+I53</f>
        <v>#DIV/0!</v>
      </c>
    </row>
    <row r="54" spans="3:10" s="611" customFormat="1" ht="21">
      <c r="C54" s="660" t="s">
        <v>408</v>
      </c>
      <c r="D54" s="765"/>
      <c r="E54" s="771"/>
      <c r="F54" s="770"/>
      <c r="G54" s="756">
        <v>0</v>
      </c>
      <c r="H54" s="756">
        <v>0</v>
      </c>
      <c r="I54" s="756" t="e">
        <f>(D55*E55)+(D56*E56)+(D57*E57)+(D58*E58)+(D59*E59)+(D60*E60)+(D61*E61)</f>
        <v>#DIV/0!</v>
      </c>
      <c r="J54" s="765" t="e">
        <f>G54+H54+I54</f>
        <v>#DIV/0!</v>
      </c>
    </row>
    <row r="55" spans="3:10" s="611" customFormat="1" ht="21">
      <c r="C55" s="660" t="str">
        <f>BASEBUDGETS!B2636</f>
        <v xml:space="preserve">   - Prowl</v>
      </c>
      <c r="D55" s="765">
        <f>BASEBUDGETS!D2636</f>
        <v>6.0625</v>
      </c>
      <c r="E55" s="775" t="e">
        <f>BASEBUDGETS!E2636/BASEBUDGETS!C2619</f>
        <v>#DIV/0!</v>
      </c>
      <c r="F55" s="769" t="str">
        <f>BASEBUDGETS!C2636</f>
        <v>pints</v>
      </c>
      <c r="G55" s="765"/>
      <c r="H55" s="765"/>
      <c r="I55" s="765"/>
      <c r="J55" s="765"/>
    </row>
    <row r="56" spans="3:10" s="611" customFormat="1" ht="21">
      <c r="C56" s="660" t="str">
        <f>BASEBUDGETS!B2637</f>
        <v xml:space="preserve">   - Aim</v>
      </c>
      <c r="D56" s="765">
        <f>BASEBUDGETS!D2637</f>
        <v>5.9375</v>
      </c>
      <c r="E56" s="775" t="e">
        <f>BASEBUDGETS!E2637/BASEBUDGETS!C2619</f>
        <v>#DIV/0!</v>
      </c>
      <c r="F56" s="769" t="str">
        <f>BASEBUDGETS!C2637</f>
        <v>ounces</v>
      </c>
      <c r="G56" s="765"/>
      <c r="H56" s="765"/>
      <c r="I56" s="765"/>
      <c r="J56" s="765"/>
    </row>
    <row r="57" spans="3:10" s="611" customFormat="1" ht="21">
      <c r="C57" s="660" t="str">
        <f>BASEBUDGETS!B2638</f>
        <v xml:space="preserve">   - Fusilade</v>
      </c>
      <c r="D57" s="765">
        <f>BASEBUDGETS!D2638</f>
        <v>1.25</v>
      </c>
      <c r="E57" s="775" t="e">
        <f>BASEBUDGETS!E2638/BASEBUDGETS!C2619</f>
        <v>#DIV/0!</v>
      </c>
      <c r="F57" s="769" t="str">
        <f>BASEBUDGETS!C2638</f>
        <v>ounces</v>
      </c>
      <c r="G57" s="765"/>
      <c r="H57" s="765"/>
      <c r="I57" s="765"/>
      <c r="J57" s="765"/>
    </row>
    <row r="58" spans="3:10" s="611" customFormat="1" ht="21">
      <c r="C58" s="660" t="str">
        <f>BASEBUDGETS!B2639</f>
        <v xml:space="preserve">   - Herbicides</v>
      </c>
      <c r="D58" s="765">
        <f>BASEBUDGETS!D2639</f>
        <v>0</v>
      </c>
      <c r="E58" s="775" t="e">
        <f>BASEBUDGETS!E2639/BASEBUDGETS!C2619</f>
        <v>#DIV/0!</v>
      </c>
      <c r="F58" s="769" t="str">
        <f>BASEBUDGETS!C2639</f>
        <v>acre</v>
      </c>
      <c r="G58" s="765"/>
      <c r="H58" s="765"/>
      <c r="I58" s="765"/>
      <c r="J58" s="765"/>
    </row>
    <row r="59" spans="3:10" s="611" customFormat="1" ht="21">
      <c r="C59" s="660" t="str">
        <f>BASEBUDGETS!B2640</f>
        <v xml:space="preserve">   - Herbicide - #2</v>
      </c>
      <c r="D59" s="765">
        <f>BASEBUDGETS!D2640</f>
        <v>0</v>
      </c>
      <c r="E59" s="775" t="e">
        <f>BASEBUDGETS!E2640/BASEBUDGETS!C2619</f>
        <v>#DIV/0!</v>
      </c>
      <c r="F59" s="769" t="str">
        <f>BASEBUDGETS!C2640</f>
        <v>acre</v>
      </c>
      <c r="G59" s="765"/>
      <c r="H59" s="765"/>
      <c r="I59" s="765"/>
      <c r="J59" s="765"/>
    </row>
    <row r="60" spans="3:10" s="611" customFormat="1" ht="21">
      <c r="C60" s="660" t="str">
        <f>BASEBUDGETS!B2641</f>
        <v xml:space="preserve">   - Insecticides</v>
      </c>
      <c r="D60" s="765">
        <f>BASEBUDGETS!D2641</f>
        <v>0</v>
      </c>
      <c r="E60" s="775" t="e">
        <f>BASEBUDGETS!E2641/BASEBUDGETS!C2619</f>
        <v>#DIV/0!</v>
      </c>
      <c r="F60" s="769" t="str">
        <f>BASEBUDGETS!C2641</f>
        <v>acre</v>
      </c>
      <c r="G60" s="765"/>
      <c r="H60" s="765"/>
      <c r="I60" s="765"/>
      <c r="J60" s="765"/>
    </row>
    <row r="61" spans="3:10" s="611" customFormat="1" ht="21">
      <c r="C61" s="660" t="str">
        <f>BASEBUDGETS!B2642</f>
        <v xml:space="preserve">   - Insecticide - #2</v>
      </c>
      <c r="D61" s="765">
        <f>BASEBUDGETS!D2642</f>
        <v>0</v>
      </c>
      <c r="E61" s="775" t="e">
        <f>BASEBUDGETS!E2642/BASEBUDGETS!C2619</f>
        <v>#DIV/0!</v>
      </c>
      <c r="F61" s="769" t="str">
        <f>BASEBUDGETS!C2642</f>
        <v>acre</v>
      </c>
      <c r="G61" s="765"/>
      <c r="H61" s="765"/>
      <c r="I61" s="765"/>
      <c r="J61" s="765"/>
    </row>
    <row r="62" spans="3:10" s="611" customFormat="1" ht="21">
      <c r="C62" s="660" t="str">
        <f>BASEBUDGETS!B2657</f>
        <v>Row Cultivator, Custom</v>
      </c>
      <c r="D62" s="765">
        <f>CustomOperations!T28</f>
        <v>0</v>
      </c>
      <c r="E62" s="771" t="e">
        <f>BASEBUDGETS!E2657/BASEBUDGETS!C2619</f>
        <v>#DIV/0!</v>
      </c>
      <c r="F62" s="770" t="str">
        <f>BASEBUDGETS!C2657</f>
        <v>acre</v>
      </c>
      <c r="G62" s="756">
        <v>0</v>
      </c>
      <c r="H62" s="756">
        <v>0</v>
      </c>
      <c r="I62" s="756" t="e">
        <f>IF(E62=0,0,BASEBUDGETS!D2657*E62)</f>
        <v>#DIV/0!</v>
      </c>
      <c r="J62" s="765" t="e">
        <f>G62+H62+I62</f>
        <v>#DIV/0!</v>
      </c>
    </row>
    <row r="63" spans="3:10" s="611" customFormat="1" ht="21">
      <c r="C63" s="660" t="str">
        <f>TillageOperations!$B$20</f>
        <v>Row Cultivator</v>
      </c>
      <c r="D63" s="765"/>
      <c r="E63" s="771" t="e">
        <f>BASEBUDGETS!E2692/BASEBUDGETS!C2619</f>
        <v>#DIV/0!</v>
      </c>
      <c r="F63" s="770" t="str">
        <f>BASEBUDGETS!C2692</f>
        <v>acre</v>
      </c>
      <c r="G63" s="756" t="e">
        <f>IF(E63=0,0,BASEBUDGETS!D2693*E63)</f>
        <v>#DIV/0!</v>
      </c>
      <c r="H63" s="756" t="e">
        <f>IF(E63=0,0,BASEBUDGETS!D2692*E63)</f>
        <v>#DIV/0!</v>
      </c>
      <c r="I63" s="756">
        <v>0</v>
      </c>
      <c r="J63" s="765" t="e">
        <f>G63+H63+I63</f>
        <v>#DIV/0!</v>
      </c>
    </row>
    <row r="64" spans="3:10" s="611" customFormat="1" ht="21">
      <c r="C64" s="660" t="s">
        <v>151</v>
      </c>
      <c r="D64" s="765"/>
      <c r="E64" s="776" t="s">
        <v>10</v>
      </c>
      <c r="F64" s="777" t="s">
        <v>10</v>
      </c>
      <c r="G64" s="756" t="e">
        <f>(D66*E66)+(D69*E69)+(D72*E72)</f>
        <v>#DIV/0!</v>
      </c>
      <c r="H64" s="756">
        <v>0</v>
      </c>
      <c r="I64" s="678" t="e">
        <f>(D65*E65)+(D68*E68)+(D71*E71)+(D67*E67)+(D70*E70)+(D73*E73)</f>
        <v>#DIV/0!</v>
      </c>
      <c r="J64" s="765" t="e">
        <f>G64+H64+I64</f>
        <v>#DIV/0!</v>
      </c>
    </row>
    <row r="65" spans="2:10" s="611" customFormat="1" ht="21">
      <c r="B65" s="660"/>
      <c r="C65" s="660" t="str">
        <f>BASEBUDGETS!B2643</f>
        <v>Flood - Irrigation Water</v>
      </c>
      <c r="D65" s="765">
        <f>BASEBUDGETS!D2643</f>
        <v>55</v>
      </c>
      <c r="E65" s="775" t="e">
        <f>BASEBUDGETS!E2643/BASEBUDGETS!C$2619</f>
        <v>#DIV/0!</v>
      </c>
      <c r="F65" s="769" t="str">
        <f>BASEBUDGETS!C2643</f>
        <v>ac ft</v>
      </c>
      <c r="G65" s="756"/>
      <c r="H65" s="756"/>
      <c r="I65" s="765"/>
      <c r="J65" s="765"/>
    </row>
    <row r="66" spans="2:10" s="611" customFormat="1" ht="21">
      <c r="C66" s="660" t="str">
        <f>BASEBUDGETS!B2644</f>
        <v>Flood - Irrigation Labor</v>
      </c>
      <c r="D66" s="765">
        <f>BASEBUDGETS!D2644</f>
        <v>14.55</v>
      </c>
      <c r="E66" s="775" t="e">
        <f>BASEBUDGETS!E2644/BASEBUDGETS!C$2619</f>
        <v>#DIV/0!</v>
      </c>
      <c r="F66" s="769" t="str">
        <f>BASEBUDGETS!C2644</f>
        <v>hour</v>
      </c>
      <c r="G66" s="757"/>
      <c r="H66" s="757"/>
      <c r="I66" s="756"/>
      <c r="J66" s="778" t="s">
        <v>10</v>
      </c>
    </row>
    <row r="67" spans="2:10" s="611" customFormat="1" ht="21">
      <c r="C67" s="660" t="str">
        <f>BASEBUDGETS!B2645</f>
        <v xml:space="preserve">   - Annual Repairs &amp; Maintenance</v>
      </c>
      <c r="D67" s="765">
        <f>BASEBUDGETS!D2645</f>
        <v>3</v>
      </c>
      <c r="E67" s="775" t="e">
        <f>BASEBUDGETS!E2645/BASEBUDGETS!C$2619</f>
        <v>#DIV/0!</v>
      </c>
      <c r="F67" s="769" t="str">
        <f>BASEBUDGETS!C2645</f>
        <v>acre</v>
      </c>
      <c r="G67" s="757"/>
      <c r="H67" s="757"/>
      <c r="I67" s="756"/>
      <c r="J67" s="778"/>
    </row>
    <row r="68" spans="2:10" s="611" customFormat="1" ht="21">
      <c r="C68" s="660" t="str">
        <f>BASEBUDGETS!B2646</f>
        <v>Drip-tape - Irrigation Water</v>
      </c>
      <c r="D68" s="765">
        <f>BASEBUDGETS!D2646</f>
        <v>55</v>
      </c>
      <c r="E68" s="775" t="e">
        <f>BASEBUDGETS!E2646/BASEBUDGETS!C$2619</f>
        <v>#DIV/0!</v>
      </c>
      <c r="F68" s="769" t="str">
        <f>BASEBUDGETS!C2646</f>
        <v>ac ft</v>
      </c>
      <c r="G68" s="756"/>
      <c r="H68" s="756"/>
      <c r="I68" s="756"/>
      <c r="J68" s="765"/>
    </row>
    <row r="69" spans="2:10" s="611" customFormat="1" ht="21">
      <c r="C69" s="660" t="str">
        <f>BASEBUDGETS!B2647</f>
        <v>Drip-tape - Irrigation Labor</v>
      </c>
      <c r="D69" s="765">
        <f>BASEBUDGETS!D2647</f>
        <v>14.55</v>
      </c>
      <c r="E69" s="775" t="e">
        <f>BASEBUDGETS!E2647/BASEBUDGETS!C$2619</f>
        <v>#DIV/0!</v>
      </c>
      <c r="F69" s="769" t="str">
        <f>BASEBUDGETS!C2647</f>
        <v>hour</v>
      </c>
      <c r="G69" s="756"/>
      <c r="H69" s="756"/>
      <c r="I69" s="756"/>
      <c r="J69" s="765"/>
    </row>
    <row r="70" spans="2:10" s="611" customFormat="1" ht="21">
      <c r="C70" s="660" t="str">
        <f>BASEBUDGETS!B2648</f>
        <v xml:space="preserve">   - Annual Repairs &amp; Maintenance</v>
      </c>
      <c r="D70" s="765">
        <f>BASEBUDGETS!D2648</f>
        <v>7.5</v>
      </c>
      <c r="E70" s="775" t="e">
        <f>BASEBUDGETS!E2648/BASEBUDGETS!C$2619</f>
        <v>#DIV/0!</v>
      </c>
      <c r="F70" s="769" t="str">
        <f>BASEBUDGETS!C2648</f>
        <v>acre</v>
      </c>
      <c r="G70" s="756"/>
      <c r="H70" s="756"/>
      <c r="I70" s="756"/>
      <c r="J70" s="765"/>
    </row>
    <row r="71" spans="2:10" s="611" customFormat="1" ht="21">
      <c r="C71" s="660" t="str">
        <f>BASEBUDGETS!B2649</f>
        <v>Sprinkler - Irrigation Water</v>
      </c>
      <c r="D71" s="765">
        <f>BASEBUDGETS!D2649</f>
        <v>55</v>
      </c>
      <c r="E71" s="775" t="e">
        <f>BASEBUDGETS!E2649/BASEBUDGETS!C$2619</f>
        <v>#DIV/0!</v>
      </c>
      <c r="F71" s="769" t="str">
        <f>BASEBUDGETS!C2649</f>
        <v>ac ft</v>
      </c>
      <c r="G71" s="756"/>
      <c r="H71" s="756"/>
      <c r="I71" s="756"/>
      <c r="J71" s="765"/>
    </row>
    <row r="72" spans="2:10" s="611" customFormat="1" ht="21">
      <c r="C72" s="660" t="str">
        <f>BASEBUDGETS!B2650</f>
        <v>Sprinkler - Irrigation Labor</v>
      </c>
      <c r="D72" s="765">
        <f>BASEBUDGETS!D2650</f>
        <v>14.55</v>
      </c>
      <c r="E72" s="775" t="e">
        <f>BASEBUDGETS!E2650/BASEBUDGETS!C$2619</f>
        <v>#DIV/0!</v>
      </c>
      <c r="F72" s="769" t="str">
        <f>BASEBUDGETS!C2650</f>
        <v>hour</v>
      </c>
      <c r="G72" s="756"/>
      <c r="H72" s="756"/>
      <c r="I72" s="756"/>
      <c r="J72" s="765"/>
    </row>
    <row r="73" spans="2:10" s="611" customFormat="1" ht="21">
      <c r="C73" s="660" t="str">
        <f>BASEBUDGETS!B2651</f>
        <v xml:space="preserve">   - Annual Repairs &amp; Maintenance</v>
      </c>
      <c r="D73" s="765">
        <f>BASEBUDGETS!D2651</f>
        <v>15</v>
      </c>
      <c r="E73" s="775" t="e">
        <f>BASEBUDGETS!E2651/BASEBUDGETS!C$2619</f>
        <v>#DIV/0!</v>
      </c>
      <c r="F73" s="769" t="str">
        <f>BASEBUDGETS!C2651</f>
        <v>acre</v>
      </c>
      <c r="G73" s="756"/>
      <c r="H73" s="756"/>
      <c r="I73" s="756"/>
      <c r="J73" s="765"/>
    </row>
    <row r="74" spans="2:10" s="611" customFormat="1" ht="21">
      <c r="C74" s="660" t="str">
        <f>BASEBUDGETS!B2729</f>
        <v>Additional Crop Prod. Labor</v>
      </c>
      <c r="D74" s="765">
        <f>GeneralInputPrices!$D$31</f>
        <v>14.55</v>
      </c>
      <c r="E74" s="771" t="e">
        <f>BASEBUDGETS!E2729/BASEBUDGETS!C2619</f>
        <v>#DIV/0!</v>
      </c>
      <c r="F74" s="770" t="str">
        <f>BASEBUDGETS!C2729</f>
        <v>hour</v>
      </c>
      <c r="G74" s="756" t="e">
        <f>D74*E74</f>
        <v>#DIV/0!</v>
      </c>
      <c r="H74" s="756">
        <v>0</v>
      </c>
      <c r="I74" s="756">
        <v>0</v>
      </c>
      <c r="J74" s="765" t="e">
        <f t="shared" ref="J74:J75" si="2">G74+H74+I74</f>
        <v>#DIV/0!</v>
      </c>
    </row>
    <row r="75" spans="2:10" s="611" customFormat="1" ht="21">
      <c r="C75" s="660" t="str">
        <f>BASEBUDGETS!B2730</f>
        <v>Additional Crop Prod. Labor</v>
      </c>
      <c r="D75" s="765">
        <f>GeneralInputPrices!$D$31</f>
        <v>14.55</v>
      </c>
      <c r="E75" s="771" t="e">
        <f>BASEBUDGETS!E2730/BASEBUDGETS!C2619</f>
        <v>#DIV/0!</v>
      </c>
      <c r="F75" s="770" t="str">
        <f>BASEBUDGETS!C2730</f>
        <v>hour</v>
      </c>
      <c r="G75" s="756" t="e">
        <f>D75*E75</f>
        <v>#DIV/0!</v>
      </c>
      <c r="H75" s="756">
        <v>0</v>
      </c>
      <c r="I75" s="756">
        <v>0</v>
      </c>
      <c r="J75" s="765" t="e">
        <f t="shared" si="2"/>
        <v>#DIV/0!</v>
      </c>
    </row>
    <row r="76" spans="2:10" s="611" customFormat="1" ht="21">
      <c r="B76" s="804" t="s">
        <v>44</v>
      </c>
      <c r="C76" s="804"/>
      <c r="D76" s="778"/>
      <c r="E76" s="758"/>
      <c r="F76" s="780" t="s">
        <v>10</v>
      </c>
      <c r="G76" s="777" t="s">
        <v>10</v>
      </c>
      <c r="H76" s="777" t="s">
        <v>10</v>
      </c>
      <c r="I76" s="777" t="s">
        <v>10</v>
      </c>
      <c r="J76" s="777" t="s">
        <v>10</v>
      </c>
    </row>
    <row r="77" spans="2:10" s="611" customFormat="1" ht="21">
      <c r="C77" s="660" t="str">
        <f>BASEBUDGETS!B2652</f>
        <v>Harvest, Custom</v>
      </c>
      <c r="D77" s="765">
        <f>CustomOperations!T37</f>
        <v>25</v>
      </c>
      <c r="E77" s="771" t="e">
        <f>BASEBUDGETS!E2652/BASEBUDGETS!C2619</f>
        <v>#DIV/0!</v>
      </c>
      <c r="F77" s="770" t="str">
        <f>BASEBUDGETS!C2652</f>
        <v>acre</v>
      </c>
      <c r="G77" s="756">
        <v>0</v>
      </c>
      <c r="H77" s="756">
        <v>0</v>
      </c>
      <c r="I77" s="756" t="e">
        <f>IF(E77=0,0,BASEBUDGETS!D2652*E77)</f>
        <v>#DIV/0!</v>
      </c>
      <c r="J77" s="765" t="e">
        <f t="shared" ref="J77:J88" si="3">G77+H77+I77</f>
        <v>#DIV/0!</v>
      </c>
    </row>
    <row r="78" spans="2:10" s="611" customFormat="1" ht="21">
      <c r="C78" s="660" t="str">
        <f>BASEBUDGETS!B2653</f>
        <v>Hauling, Custom</v>
      </c>
      <c r="D78" s="765">
        <f>CustomOperations!T39</f>
        <v>0</v>
      </c>
      <c r="E78" s="771" t="e">
        <f>BASEBUDGETS!E2653/BASEBUDGETS!C2619</f>
        <v>#DIV/0!</v>
      </c>
      <c r="F78" s="770" t="str">
        <f>BASEBUDGETS!C2653</f>
        <v>mile</v>
      </c>
      <c r="G78" s="756">
        <v>0</v>
      </c>
      <c r="H78" s="756">
        <v>0</v>
      </c>
      <c r="I78" s="756" t="e">
        <f>IF(E78=0,0,BASEBUDGETS!D2653*E78)</f>
        <v>#DIV/0!</v>
      </c>
      <c r="J78" s="765" t="e">
        <f t="shared" si="3"/>
        <v>#DIV/0!</v>
      </c>
    </row>
    <row r="79" spans="2:10" s="611" customFormat="1" ht="21">
      <c r="C79" s="660" t="str">
        <f>BASEBUDGETS!B2654</f>
        <v>Gin Cotton/Drying/Swathing, Custom</v>
      </c>
      <c r="D79" s="765">
        <f>CustomOperations!T41</f>
        <v>0</v>
      </c>
      <c r="E79" s="771" t="e">
        <f>BASEBUDGETS!E2654/BASEBUDGETS!C2619</f>
        <v>#DIV/0!</v>
      </c>
      <c r="F79" s="770" t="str">
        <f>BASEBUDGETS!C2654</f>
        <v>bale</v>
      </c>
      <c r="G79" s="756">
        <v>0</v>
      </c>
      <c r="H79" s="756">
        <v>0</v>
      </c>
      <c r="I79" s="756" t="e">
        <f>IF(E79=0,0,BASEBUDGETS!D2654*E79)</f>
        <v>#DIV/0!</v>
      </c>
      <c r="J79" s="765" t="e">
        <f t="shared" si="3"/>
        <v>#DIV/0!</v>
      </c>
    </row>
    <row r="80" spans="2:10" s="611" customFormat="1" ht="21">
      <c r="C80" s="660" t="str">
        <f>TillageOperations!$B$27</f>
        <v>Cotton Picker</v>
      </c>
      <c r="D80" s="765"/>
      <c r="E80" s="771" t="e">
        <f>BASEBUDGETS!E2696/BASEBUDGETS!C2619</f>
        <v>#DIV/0!</v>
      </c>
      <c r="F80" s="770" t="str">
        <f>BASEBUDGETS!C2696</f>
        <v>acre</v>
      </c>
      <c r="G80" s="756" t="e">
        <f>IF(E80=0,0,BASEBUDGETS!D2697*E80)</f>
        <v>#DIV/0!</v>
      </c>
      <c r="H80" s="756" t="e">
        <f>IF(E80=0,0,BASEBUDGETS!D2696*E80)</f>
        <v>#DIV/0!</v>
      </c>
      <c r="I80" s="756">
        <v>0</v>
      </c>
      <c r="J80" s="765" t="e">
        <f t="shared" si="3"/>
        <v>#DIV/0!</v>
      </c>
    </row>
    <row r="81" spans="2:10" s="611" customFormat="1" ht="21">
      <c r="C81" s="781" t="s">
        <v>287</v>
      </c>
      <c r="D81" s="765"/>
      <c r="E81" s="771" t="e">
        <f>BASEBUDGETS!E2698/BASEBUDGETS!C2619</f>
        <v>#DIV/0!</v>
      </c>
      <c r="F81" s="770" t="str">
        <f>BASEBUDGETS!C2698</f>
        <v>acre</v>
      </c>
      <c r="G81" s="756" t="e">
        <f>IF(E81=0,0,BASEBUDGETS!D2699*E81)</f>
        <v>#DIV/0!</v>
      </c>
      <c r="H81" s="756" t="e">
        <f>IF(E81=0,0,BASEBUDGETS!D2698*E81)</f>
        <v>#DIV/0!</v>
      </c>
      <c r="I81" s="756">
        <v>0</v>
      </c>
      <c r="J81" s="765" t="e">
        <f t="shared" si="3"/>
        <v>#DIV/0!</v>
      </c>
    </row>
    <row r="82" spans="2:10" s="611" customFormat="1" ht="21">
      <c r="C82" s="660" t="str">
        <f>TillageOperations!$B$29</f>
        <v>Haul Cotton</v>
      </c>
      <c r="D82" s="765"/>
      <c r="E82" s="771" t="e">
        <f>BASEBUDGETS!E2700/BASEBUDGETS!C2619</f>
        <v>#DIV/0!</v>
      </c>
      <c r="F82" s="770" t="str">
        <f>BASEBUDGETS!C2700</f>
        <v>acre</v>
      </c>
      <c r="G82" s="756" t="e">
        <f>IF(E82=0,0,BASEBUDGETS!D2701*E82)</f>
        <v>#DIV/0!</v>
      </c>
      <c r="H82" s="756" t="e">
        <f>IF(E82=0,0,BASEBUDGETS!D2700*E82)</f>
        <v>#DIV/0!</v>
      </c>
      <c r="I82" s="756">
        <v>0</v>
      </c>
      <c r="J82" s="765" t="e">
        <f t="shared" si="3"/>
        <v>#DIV/0!</v>
      </c>
    </row>
    <row r="83" spans="2:10" s="611" customFormat="1" ht="21">
      <c r="C83" s="660" t="str">
        <f>TillageOperations!$B$30</f>
        <v>Combine</v>
      </c>
      <c r="D83" s="765"/>
      <c r="E83" s="771" t="e">
        <f>BASEBUDGETS!E2704/BASEBUDGETS!C2619</f>
        <v>#DIV/0!</v>
      </c>
      <c r="F83" s="770" t="str">
        <f>BASEBUDGETS!C2704</f>
        <v>acre</v>
      </c>
      <c r="G83" s="756" t="e">
        <f>IF(E83=0,0,BASEBUDGETS!D2705*E83)</f>
        <v>#DIV/0!</v>
      </c>
      <c r="H83" s="756" t="e">
        <f>IF(E83=0,0,BASEBUDGETS!D2704*E83)</f>
        <v>#DIV/0!</v>
      </c>
      <c r="I83" s="756">
        <v>0</v>
      </c>
      <c r="J83" s="765" t="e">
        <f t="shared" si="3"/>
        <v>#DIV/0!</v>
      </c>
    </row>
    <row r="84" spans="2:10" s="611" customFormat="1" ht="21">
      <c r="C84" s="660" t="str">
        <f>TillageOperations!$B$31</f>
        <v>Grain Cart</v>
      </c>
      <c r="D84" s="765"/>
      <c r="E84" s="771" t="e">
        <f>BASEBUDGETS!E2706/BASEBUDGETS!C2619</f>
        <v>#DIV/0!</v>
      </c>
      <c r="F84" s="770" t="str">
        <f>BASEBUDGETS!C2706</f>
        <v>acre</v>
      </c>
      <c r="G84" s="756" t="e">
        <f>IF(E84=0,0,BASEBUDGETS!D2707*E84)</f>
        <v>#DIV/0!</v>
      </c>
      <c r="H84" s="756" t="e">
        <f>IF(E84=0,0,BASEBUDGETS!D2706*E84)</f>
        <v>#DIV/0!</v>
      </c>
      <c r="I84" s="756">
        <v>0</v>
      </c>
      <c r="J84" s="765" t="e">
        <f t="shared" si="3"/>
        <v>#DIV/0!</v>
      </c>
    </row>
    <row r="85" spans="2:10" s="611" customFormat="1" ht="21">
      <c r="C85" s="660" t="str">
        <f>TillageOperations!$B$32</f>
        <v>Swather</v>
      </c>
      <c r="D85" s="765"/>
      <c r="E85" s="771" t="e">
        <f>BASEBUDGETS!E2708/BASEBUDGETS!C2619</f>
        <v>#DIV/0!</v>
      </c>
      <c r="F85" s="770" t="str">
        <f>BASEBUDGETS!C2708</f>
        <v>acre</v>
      </c>
      <c r="G85" s="756" t="e">
        <f>IF(E85=0,0,BASEBUDGETS!D2709*E85)</f>
        <v>#DIV/0!</v>
      </c>
      <c r="H85" s="756" t="e">
        <f>IF(E85=0,0,BASEBUDGETS!D2708*E85)</f>
        <v>#DIV/0!</v>
      </c>
      <c r="I85" s="756">
        <v>0</v>
      </c>
      <c r="J85" s="765" t="e">
        <f t="shared" si="3"/>
        <v>#DIV/0!</v>
      </c>
    </row>
    <row r="86" spans="2:10" s="611" customFormat="1" ht="21">
      <c r="C86" s="660" t="str">
        <f>TillageOperations!$B$33</f>
        <v>Baler</v>
      </c>
      <c r="D86" s="765"/>
      <c r="E86" s="771" t="e">
        <f>BASEBUDGETS!E2710/BASEBUDGETS!C2619</f>
        <v>#DIV/0!</v>
      </c>
      <c r="F86" s="770" t="str">
        <f>BASEBUDGETS!C2710</f>
        <v>acre</v>
      </c>
      <c r="G86" s="756" t="e">
        <f>IF(E86=0,0,BASEBUDGETS!D2711*E86)</f>
        <v>#DIV/0!</v>
      </c>
      <c r="H86" s="756" t="e">
        <f>IF(E86=0,0,BASEBUDGETS!D2710*E86)</f>
        <v>#DIV/0!</v>
      </c>
      <c r="I86" s="756" t="e">
        <f>IF(E86=0,0,D89*E89)</f>
        <v>#DIV/0!</v>
      </c>
      <c r="J86" s="765" t="e">
        <f t="shared" si="3"/>
        <v>#DIV/0!</v>
      </c>
    </row>
    <row r="87" spans="2:10" s="611" customFormat="1" ht="21">
      <c r="C87" s="660" t="str">
        <f>TillageOperations!$B$34</f>
        <v>Swather</v>
      </c>
      <c r="D87" s="765"/>
      <c r="E87" s="771" t="e">
        <f>BASEBUDGETS!E2712/BASEBUDGETS!C2619</f>
        <v>#DIV/0!</v>
      </c>
      <c r="F87" s="770" t="str">
        <f>BASEBUDGETS!C2712</f>
        <v>acre</v>
      </c>
      <c r="G87" s="756" t="e">
        <f>IF(E87=0,0,BASEBUDGETS!D2713*E87)</f>
        <v>#DIV/0!</v>
      </c>
      <c r="H87" s="756" t="e">
        <f>IF(E87=0,0,BASEBUDGETS!D2712*E87)</f>
        <v>#DIV/0!</v>
      </c>
      <c r="I87" s="756">
        <v>0</v>
      </c>
      <c r="J87" s="765" t="e">
        <f t="shared" si="3"/>
        <v>#DIV/0!</v>
      </c>
    </row>
    <row r="88" spans="2:10" s="611" customFormat="1" ht="21">
      <c r="C88" s="660" t="str">
        <f>TillageOperations!$B$35</f>
        <v>Baler</v>
      </c>
      <c r="D88" s="765"/>
      <c r="E88" s="771" t="e">
        <f>BASEBUDGETS!E2714/BASEBUDGETS!C2619</f>
        <v>#DIV/0!</v>
      </c>
      <c r="F88" s="770" t="str">
        <f>BASEBUDGETS!C2714</f>
        <v>acre</v>
      </c>
      <c r="G88" s="756" t="e">
        <f>IF(E88=0,0,BASEBUDGETS!D2715*E88)</f>
        <v>#DIV/0!</v>
      </c>
      <c r="H88" s="756" t="e">
        <f>IF(E88=0,0,BASEBUDGETS!D2714*E88)</f>
        <v>#DIV/0!</v>
      </c>
      <c r="I88" s="756" t="e">
        <f>IF(E88=0,0,D89*E89)</f>
        <v>#DIV/0!</v>
      </c>
      <c r="J88" s="765" t="e">
        <f t="shared" si="3"/>
        <v>#DIV/0!</v>
      </c>
    </row>
    <row r="89" spans="2:10" s="611" customFormat="1" ht="21">
      <c r="C89" s="660" t="str">
        <f>'Inputs&amp;PricesbyCrop'!$B$31</f>
        <v xml:space="preserve">   - Baling Twine</v>
      </c>
      <c r="D89" s="765">
        <f>BASEBUDGETS!D2716</f>
        <v>0</v>
      </c>
      <c r="E89" s="775" t="e">
        <f>BASEBUDGETS!E2716/BASEBUDGETS!C2619</f>
        <v>#DIV/0!</v>
      </c>
      <c r="F89" s="769" t="str">
        <f>'Inputs&amp;PricesbyCrop'!$C$31</f>
        <v>acre</v>
      </c>
      <c r="G89" s="756"/>
      <c r="H89" s="756"/>
      <c r="I89" s="756"/>
      <c r="J89" s="765"/>
    </row>
    <row r="90" spans="2:10" s="611" customFormat="1" ht="21">
      <c r="C90" s="660" t="str">
        <f>TillageOperations!$B$36</f>
        <v>Bale Wagon</v>
      </c>
      <c r="D90" s="765"/>
      <c r="E90" s="771" t="e">
        <f>BASEBUDGETS!E2717/BASEBUDGETS!C2619</f>
        <v>#DIV/0!</v>
      </c>
      <c r="F90" s="770" t="str">
        <f>BASEBUDGETS!C2717</f>
        <v>acre</v>
      </c>
      <c r="G90" s="756" t="e">
        <f>IF(E90=0,0,BASEBUDGETS!D2718*E90)</f>
        <v>#DIV/0!</v>
      </c>
      <c r="H90" s="756" t="e">
        <f>IF(E90=0,0,BASEBUDGETS!D2717*E90)</f>
        <v>#DIV/0!</v>
      </c>
      <c r="I90" s="756">
        <v>0</v>
      </c>
      <c r="J90" s="765" t="e">
        <f t="shared" ref="J90:J92" si="4">G90+H90+I90</f>
        <v>#DIV/0!</v>
      </c>
    </row>
    <row r="91" spans="2:10" s="611" customFormat="1" ht="21">
      <c r="C91" s="660" t="str">
        <f>BASEBUDGETS!B2731</f>
        <v>Additional Harvest Labor</v>
      </c>
      <c r="D91" s="765">
        <f>GeneralInputPrices!$D$32</f>
        <v>17.89</v>
      </c>
      <c r="E91" s="771" t="e">
        <f>BASEBUDGETS!E2731/BASEBUDGETS!C2619</f>
        <v>#DIV/0!</v>
      </c>
      <c r="F91" s="770" t="str">
        <f>BASEBUDGETS!C2731</f>
        <v>hour</v>
      </c>
      <c r="G91" s="756" t="e">
        <f>D91*E91</f>
        <v>#DIV/0!</v>
      </c>
      <c r="H91" s="756">
        <v>0</v>
      </c>
      <c r="I91" s="756">
        <v>0</v>
      </c>
      <c r="J91" s="765" t="e">
        <f t="shared" si="4"/>
        <v>#DIV/0!</v>
      </c>
    </row>
    <row r="92" spans="2:10" s="611" customFormat="1" ht="21">
      <c r="C92" s="660" t="str">
        <f>BASEBUDGETS!B2732</f>
        <v>Additional Harvest Labor</v>
      </c>
      <c r="D92" s="765">
        <f>GeneralInputPrices!$D$32</f>
        <v>17.89</v>
      </c>
      <c r="E92" s="771" t="e">
        <f>BASEBUDGETS!E2732/BASEBUDGETS!C2619</f>
        <v>#DIV/0!</v>
      </c>
      <c r="F92" s="770" t="str">
        <f>BASEBUDGETS!C2732</f>
        <v>hour</v>
      </c>
      <c r="G92" s="756" t="e">
        <f>D92*E92</f>
        <v>#DIV/0!</v>
      </c>
      <c r="H92" s="756">
        <v>0</v>
      </c>
      <c r="I92" s="756">
        <v>0</v>
      </c>
      <c r="J92" s="765" t="e">
        <f t="shared" si="4"/>
        <v>#DIV/0!</v>
      </c>
    </row>
    <row r="93" spans="2:10" s="611" customFormat="1" ht="21">
      <c r="B93" s="760" t="s">
        <v>184</v>
      </c>
      <c r="C93" s="760"/>
      <c r="D93" s="765"/>
      <c r="E93" s="771"/>
      <c r="F93" s="770"/>
      <c r="G93" s="756"/>
      <c r="H93" s="756"/>
      <c r="I93" s="756"/>
      <c r="J93" s="765"/>
    </row>
    <row r="94" spans="2:10" s="611" customFormat="1" ht="21">
      <c r="C94" s="660" t="str">
        <f>BASEBUDGETS!B2733</f>
        <v>Other Expenses</v>
      </c>
      <c r="D94" s="765"/>
      <c r="E94" s="783">
        <f>BASEBUDGETS!D2733</f>
        <v>0.05</v>
      </c>
      <c r="F94" s="780" t="s">
        <v>10</v>
      </c>
      <c r="G94" s="756">
        <v>0</v>
      </c>
      <c r="H94" s="756">
        <v>0</v>
      </c>
      <c r="I94" s="756" t="e">
        <f>SUM(J9:J92)*E94</f>
        <v>#DIV/0!</v>
      </c>
      <c r="J94" s="765" t="e">
        <f>G94+H94+I94</f>
        <v>#DIV/0!</v>
      </c>
    </row>
    <row r="95" spans="2:10" s="611" customFormat="1" ht="21">
      <c r="C95" s="660" t="str">
        <f>BASEBUDGETS!B2734</f>
        <v>Interest on Operating Capital</v>
      </c>
      <c r="D95" s="765"/>
      <c r="E95" s="783">
        <f>BASEBUDGETS!D2734</f>
        <v>0.06</v>
      </c>
      <c r="F95" s="780" t="s">
        <v>10</v>
      </c>
      <c r="G95" s="784">
        <v>0</v>
      </c>
      <c r="H95" s="784">
        <v>0</v>
      </c>
      <c r="I95" s="784" t="e">
        <f>SUM(J9:J94)*((E95/12)*GeneralInputPrices!$D$39)</f>
        <v>#DIV/0!</v>
      </c>
      <c r="J95" s="785" t="e">
        <f>G95+H95+I95</f>
        <v>#DIV/0!</v>
      </c>
    </row>
    <row r="96" spans="2:10" s="611" customFormat="1" ht="21">
      <c r="B96" s="660" t="s">
        <v>153</v>
      </c>
      <c r="C96" s="660"/>
      <c r="D96" s="765"/>
      <c r="E96" s="758"/>
      <c r="F96" s="660"/>
      <c r="G96" s="756" t="e">
        <f>SUM(G9:G95)</f>
        <v>#DIV/0!</v>
      </c>
      <c r="H96" s="756" t="e">
        <f>SUM(H9:H95)</f>
        <v>#DIV/0!</v>
      </c>
      <c r="I96" s="756" t="e">
        <f>SUM(I9:I95)</f>
        <v>#DIV/0!</v>
      </c>
      <c r="J96" s="756" t="e">
        <f>SUM(J9:J95)</f>
        <v>#DIV/0!</v>
      </c>
    </row>
    <row r="97" spans="2:10" s="611" customFormat="1">
      <c r="D97" s="786"/>
      <c r="E97" s="774"/>
      <c r="G97" s="757"/>
      <c r="H97" s="757"/>
      <c r="I97" s="757"/>
      <c r="J97" s="757"/>
    </row>
    <row r="98" spans="2:10" s="611" customFormat="1" ht="21">
      <c r="B98" s="660" t="s">
        <v>155</v>
      </c>
      <c r="C98" s="660"/>
      <c r="D98" s="765"/>
      <c r="E98" s="758"/>
      <c r="F98" s="660"/>
      <c r="G98" s="756"/>
      <c r="H98" s="756"/>
      <c r="I98" s="756"/>
      <c r="J98" s="756" t="e">
        <f>J5-J96</f>
        <v>#DIV/0!</v>
      </c>
    </row>
    <row r="99" spans="2:10" s="611" customFormat="1">
      <c r="D99" s="786"/>
      <c r="E99" s="774"/>
      <c r="G99" s="757"/>
      <c r="H99" s="757"/>
      <c r="I99" s="757"/>
      <c r="J99" s="757"/>
    </row>
    <row r="100" spans="2:10" s="611" customFormat="1" ht="21">
      <c r="B100" s="787" t="s">
        <v>78</v>
      </c>
      <c r="C100" s="787"/>
      <c r="D100" s="787"/>
      <c r="E100" s="787"/>
      <c r="F100" s="787"/>
      <c r="G100" s="791"/>
      <c r="H100" s="792" t="s">
        <v>1</v>
      </c>
      <c r="I100" s="767" t="s">
        <v>24</v>
      </c>
      <c r="J100" s="767" t="s">
        <v>0</v>
      </c>
    </row>
    <row r="101" spans="2:10" s="611" customFormat="1" ht="21">
      <c r="B101" s="754" t="str">
        <f>BASEBUDGETS!B2769</f>
        <v>Crop Insurance</v>
      </c>
      <c r="C101" s="754"/>
      <c r="D101" s="754"/>
      <c r="E101" s="754"/>
      <c r="F101" s="754"/>
      <c r="G101" s="757"/>
      <c r="H101" s="770" t="str">
        <f>BASEBUDGETS!C2769</f>
        <v>acre</v>
      </c>
      <c r="I101" s="756" t="e">
        <f>BASEBUDGETS!F2769/BASEBUDGETS!C2619</f>
        <v>#DIV/0!</v>
      </c>
      <c r="J101" s="756" t="e">
        <f>I101</f>
        <v>#DIV/0!</v>
      </c>
    </row>
    <row r="102" spans="2:10" s="611" customFormat="1" ht="21">
      <c r="B102" s="760" t="str">
        <f>BASEBUDGETS!B2770</f>
        <v>Property Insurance</v>
      </c>
      <c r="C102" s="760"/>
      <c r="D102" s="760"/>
      <c r="E102" s="760"/>
      <c r="F102" s="760"/>
      <c r="G102" s="757"/>
      <c r="H102" s="770" t="str">
        <f>BASEBUDGETS!C2770</f>
        <v>acre</v>
      </c>
      <c r="I102" s="756" t="e">
        <f>BASEBUDGETS!F2770/BASEBUDGETS!C2619</f>
        <v>#DIV/0!</v>
      </c>
      <c r="J102" s="756" t="e">
        <f>I102</f>
        <v>#DIV/0!</v>
      </c>
    </row>
    <row r="103" spans="2:10" s="611" customFormat="1" ht="21">
      <c r="B103" s="760" t="str">
        <f>BASEBUDGETS!B2771</f>
        <v>Property Taxes</v>
      </c>
      <c r="C103" s="760"/>
      <c r="D103" s="760"/>
      <c r="E103" s="760"/>
      <c r="F103" s="760"/>
      <c r="G103" s="757"/>
      <c r="H103" s="770" t="str">
        <f>BASEBUDGETS!C2771</f>
        <v>acre</v>
      </c>
      <c r="I103" s="756" t="e">
        <f>BASEBUDGETS!F2771/BASEBUDGETS!C2619</f>
        <v>#DIV/0!</v>
      </c>
      <c r="J103" s="756" t="e">
        <f t="shared" ref="J103:J106" si="5">I103</f>
        <v>#DIV/0!</v>
      </c>
    </row>
    <row r="104" spans="2:10" s="611" customFormat="1" ht="21">
      <c r="B104" s="760" t="str">
        <f>BASEBUDGETS!B2774</f>
        <v>Licenses and Fees</v>
      </c>
      <c r="C104" s="760"/>
      <c r="D104" s="760"/>
      <c r="E104" s="760"/>
      <c r="F104" s="760"/>
      <c r="G104" s="757"/>
      <c r="H104" s="770" t="str">
        <f>BASEBUDGETS!C2774</f>
        <v>acre</v>
      </c>
      <c r="I104" s="756" t="e">
        <f>BASEBUDGETS!F2774/BASEBUDGETS!C2619</f>
        <v>#DIV/0!</v>
      </c>
      <c r="J104" s="756" t="e">
        <f t="shared" si="5"/>
        <v>#DIV/0!</v>
      </c>
    </row>
    <row r="105" spans="2:10" s="611" customFormat="1" ht="21">
      <c r="B105" s="794" t="s">
        <v>484</v>
      </c>
      <c r="C105" s="794"/>
      <c r="D105" s="794"/>
      <c r="E105" s="794"/>
      <c r="F105" s="794"/>
      <c r="G105" s="794"/>
      <c r="H105" s="770" t="s">
        <v>157</v>
      </c>
      <c r="I105" s="756">
        <f>IF('AcresYieldsPrices&amp;Water'!D9=0,0,((Fallow!$L$17*'AcresYieldsPrices&amp;Water'!T24)/'AcresYieldsPrices&amp;Water'!D18)*-1)</f>
        <v>0</v>
      </c>
      <c r="J105" s="765">
        <f>I105</f>
        <v>0</v>
      </c>
    </row>
    <row r="106" spans="2:10" s="611" customFormat="1" ht="21">
      <c r="B106" s="760" t="str">
        <f>BASEBUDGETS!B2772</f>
        <v>Annual Cash Rent Payment</v>
      </c>
      <c r="C106" s="760"/>
      <c r="D106" s="760"/>
      <c r="E106" s="760"/>
      <c r="F106" s="760"/>
      <c r="G106" s="757"/>
      <c r="H106" s="770" t="str">
        <f>BASEBUDGETS!C2772</f>
        <v>acre</v>
      </c>
      <c r="I106" s="756" t="e">
        <f>BASEBUDGETS!F2772/BASEBUDGETS!C2619</f>
        <v>#DIV/0!</v>
      </c>
      <c r="J106" s="784" t="e">
        <f t="shared" si="5"/>
        <v>#DIV/0!</v>
      </c>
    </row>
    <row r="107" spans="2:10" s="611" customFormat="1" ht="21">
      <c r="B107" s="760" t="s">
        <v>79</v>
      </c>
      <c r="C107" s="760"/>
      <c r="D107" s="760"/>
      <c r="E107" s="760"/>
      <c r="F107" s="760"/>
      <c r="G107" s="756"/>
      <c r="H107" s="756"/>
      <c r="I107" s="756"/>
      <c r="J107" s="765" t="e">
        <f>SUM(J101:J106)</f>
        <v>#DIV/0!</v>
      </c>
    </row>
    <row r="108" spans="2:10" s="611" customFormat="1">
      <c r="D108" s="786"/>
      <c r="E108" s="774"/>
      <c r="G108" s="757"/>
      <c r="H108" s="757"/>
      <c r="I108" s="757"/>
      <c r="J108" s="786"/>
    </row>
    <row r="109" spans="2:10" s="611" customFormat="1" ht="21">
      <c r="B109" s="805" t="s">
        <v>154</v>
      </c>
      <c r="C109" s="805"/>
      <c r="D109" s="805"/>
      <c r="E109" s="805"/>
      <c r="F109" s="805"/>
      <c r="G109" s="791"/>
      <c r="H109" s="792" t="s">
        <v>1</v>
      </c>
      <c r="I109" s="767" t="s">
        <v>24</v>
      </c>
      <c r="J109" s="767" t="s">
        <v>0</v>
      </c>
    </row>
    <row r="110" spans="2:10" s="611" customFormat="1" ht="21">
      <c r="B110" s="760" t="s">
        <v>534</v>
      </c>
      <c r="C110" s="760"/>
      <c r="D110" s="760"/>
      <c r="E110" s="760"/>
      <c r="F110" s="760"/>
      <c r="G110" s="760"/>
      <c r="H110" s="770" t="s">
        <v>157</v>
      </c>
      <c r="I110" s="756" t="e">
        <f>SUM(BASEBUDGETS!F2738:F2740)/BASEBUDGETS!C2619</f>
        <v>#DIV/0!</v>
      </c>
      <c r="J110" s="765" t="e">
        <f>I110</f>
        <v>#DIV/0!</v>
      </c>
    </row>
    <row r="111" spans="2:10" s="611" customFormat="1" ht="21">
      <c r="B111" s="794" t="s">
        <v>156</v>
      </c>
      <c r="C111" s="794"/>
      <c r="D111" s="794"/>
      <c r="E111" s="794"/>
      <c r="F111" s="794"/>
      <c r="G111" s="756"/>
      <c r="H111" s="770" t="str">
        <f>BASEBUDGETS!C2738</f>
        <v>acre</v>
      </c>
      <c r="I111" s="758" t="e">
        <f>SUM(BASEBUDGETS!F2741:F2768)/BASEBUDGETS!C2619</f>
        <v>#DIV/0!</v>
      </c>
      <c r="J111" s="797" t="e">
        <f>I111</f>
        <v>#DIV/0!</v>
      </c>
    </row>
    <row r="112" spans="2:10" s="611" customFormat="1" ht="21">
      <c r="B112" s="807" t="s">
        <v>77</v>
      </c>
      <c r="C112" s="807"/>
      <c r="D112" s="807"/>
      <c r="E112" s="807"/>
      <c r="F112" s="807"/>
      <c r="G112" s="756"/>
      <c r="H112" s="756"/>
      <c r="I112" s="756"/>
      <c r="J112" s="678" t="e">
        <f>J111+J110</f>
        <v>#DIV/0!</v>
      </c>
    </row>
    <row r="113" spans="2:10" s="611" customFormat="1" ht="21">
      <c r="B113" s="660"/>
      <c r="C113" s="660"/>
      <c r="D113" s="765"/>
      <c r="E113" s="758"/>
      <c r="F113" s="660"/>
      <c r="G113" s="756"/>
      <c r="H113" s="756"/>
      <c r="I113" s="756"/>
      <c r="J113" s="765"/>
    </row>
    <row r="114" spans="2:10" s="611" customFormat="1" ht="20.399999999999999">
      <c r="B114" s="808" t="s">
        <v>63</v>
      </c>
      <c r="C114" s="808"/>
      <c r="D114" s="808"/>
      <c r="E114" s="808"/>
      <c r="F114" s="808"/>
      <c r="G114" s="764"/>
      <c r="H114" s="764"/>
      <c r="I114" s="764"/>
      <c r="J114" s="801">
        <f>IF(I4=0,0,J96+J107+J112)</f>
        <v>0</v>
      </c>
    </row>
    <row r="115" spans="2:10" ht="20.399999999999999">
      <c r="B115" s="805" t="s">
        <v>64</v>
      </c>
      <c r="C115" s="805"/>
      <c r="D115" s="805"/>
      <c r="E115" s="805"/>
      <c r="F115" s="805"/>
      <c r="G115" s="803"/>
      <c r="H115" s="803"/>
      <c r="I115" s="803"/>
      <c r="J115" s="788">
        <f>J5-J114</f>
        <v>0</v>
      </c>
    </row>
  </sheetData>
  <sheetProtection algorithmName="SHA-512" hashValue="oktdNkp63N4aYXOxQL3HTnwoZ1Ia5L5dV9rSP8O/nVQCewRf4OUhXxrWdIsnIJuTTzJKlyMAzQcXaG78yAN16A==" saltValue="FGwJRsl/H+dmYoTsoFwlbA==" spinCount="100000" sheet="1" objects="1" scenarios="1"/>
  <mergeCells count="21">
    <mergeCell ref="B114:F114"/>
    <mergeCell ref="B115:F115"/>
    <mergeCell ref="B104:F104"/>
    <mergeCell ref="B106:F106"/>
    <mergeCell ref="B107:F107"/>
    <mergeCell ref="B109:F109"/>
    <mergeCell ref="B111:F111"/>
    <mergeCell ref="B112:F112"/>
    <mergeCell ref="B105:G105"/>
    <mergeCell ref="B93:C93"/>
    <mergeCell ref="B101:F101"/>
    <mergeCell ref="B102:F102"/>
    <mergeCell ref="B2:F2"/>
    <mergeCell ref="B110:G110"/>
    <mergeCell ref="G2:I2"/>
    <mergeCell ref="B103:F103"/>
    <mergeCell ref="B3:C3"/>
    <mergeCell ref="B8:C8"/>
    <mergeCell ref="B31:C31"/>
    <mergeCell ref="B76:C76"/>
    <mergeCell ref="B4:E4"/>
  </mergeCells>
  <pageMargins left="0.7" right="0.7" top="0.75" bottom="0.75" header="0.3" footer="0.3"/>
  <pageSetup scale="57" orientation="portrait" horizontalDpi="0" verticalDpi="0"/>
  <ignoredErrors>
    <ignoredError sqref="K38:K53 B5:J5 B115:J115 K29:K36 G2 D9:D17 D62 D40:D41 D32:D33 D37 D52 D77:D79 K9:K27 C28:D28 B4 F4:J4 C66:D73 I52 I54 I40:I41 I44 F66:F73" unlockedFormula="1"/>
    <ignoredError sqref="B114:J114 J52:J54 B29:C31 B32:C36 E32:J33 D34:J36 I37:J37 B9:C17 E9:J17 B40:C41 B52:C53 B74:C76 B55:C62 B106:J109 B77:C79 E77:J79 E55:J62 E52:H53 E42:H43 D74:J76 B42:D51 D29:J31 B38:J39 D53:D61 E45:J51 E44:H44 J44 E40:H41 J40:J41 B93:J104 I105:J105 B18:J27 B80:J92 E28:J28 B63:J63 B66 B65:D65 F65:J65 B68:B73 G68:J73 G66:J66 B64:F64 B113:J113 I53 J42:J43 I42:I43 B111:H111 I111:J111 I110:J110 J64 I64 E66:E73 B112:J112" evalError="1" unlockedFormula="1"/>
    <ignoredError sqref="B54:C54 E54:H54 G64 E65" evalError="1"/>
  </ignoredError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485D9-0C20-2E40-A360-BB30BA4F5C62}">
  <sheetPr codeName="Sheet38">
    <pageSetUpPr fitToPage="1"/>
  </sheetPr>
  <dimension ref="A1:BC113"/>
  <sheetViews>
    <sheetView topLeftCell="M2" zoomScale="80" zoomScaleNormal="80" workbookViewId="0">
      <selection activeCell="C6" sqref="C6"/>
    </sheetView>
  </sheetViews>
  <sheetFormatPr defaultColWidth="11.44140625" defaultRowHeight="14.4"/>
  <cols>
    <col min="1" max="1" width="3.109375" style="463" customWidth="1"/>
    <col min="2" max="2" width="23" style="263" customWidth="1"/>
    <col min="3" max="3" width="9.33203125" style="263" customWidth="1"/>
    <col min="4" max="5" width="12.33203125" style="263" customWidth="1"/>
    <col min="6" max="6" width="15.88671875" style="263" customWidth="1"/>
    <col min="7" max="7" width="12.33203125" style="263" customWidth="1"/>
    <col min="8" max="8" width="9.33203125" style="263" customWidth="1"/>
    <col min="9" max="10" width="12.33203125" style="263" customWidth="1"/>
    <col min="11" max="11" width="15.33203125" style="463" customWidth="1"/>
    <col min="12" max="15" width="12.33203125" style="463" customWidth="1"/>
    <col min="16" max="16" width="0" style="463" hidden="1" customWidth="1"/>
    <col min="17" max="17" width="11.44140625" style="463"/>
    <col min="18" max="18" width="48.33203125" style="463" customWidth="1"/>
    <col min="19" max="21" width="18.88671875" style="463" customWidth="1"/>
    <col min="22" max="22" width="5" style="463" customWidth="1"/>
    <col min="23" max="34" width="10.88671875" style="263"/>
    <col min="35" max="16384" width="11.44140625" style="463"/>
  </cols>
  <sheetData>
    <row r="1" spans="1:55" ht="6.9" customHeight="1">
      <c r="A1" s="611"/>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53"/>
      <c r="AJ1" s="653"/>
      <c r="AK1" s="653"/>
      <c r="AL1" s="653"/>
      <c r="AM1" s="653"/>
      <c r="AN1" s="653"/>
      <c r="AO1" s="653"/>
      <c r="AP1" s="653"/>
      <c r="AQ1" s="653"/>
      <c r="AR1" s="653"/>
      <c r="AS1" s="653"/>
      <c r="AT1" s="653"/>
      <c r="AU1" s="653"/>
      <c r="AV1" s="653"/>
      <c r="AW1" s="653"/>
      <c r="AX1" s="653"/>
      <c r="AY1" s="653"/>
      <c r="AZ1" s="653"/>
      <c r="BA1" s="653"/>
      <c r="BB1" s="653"/>
      <c r="BC1" s="653"/>
    </row>
    <row r="2" spans="1:55">
      <c r="A2" s="611"/>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53"/>
      <c r="AJ2" s="653"/>
      <c r="AK2" s="653"/>
      <c r="AL2" s="653"/>
      <c r="AM2" s="653"/>
      <c r="AN2" s="653"/>
      <c r="AO2" s="653"/>
      <c r="AP2" s="653"/>
      <c r="AQ2" s="653"/>
      <c r="AR2" s="653"/>
      <c r="AS2" s="653"/>
      <c r="AT2" s="653"/>
      <c r="AU2" s="653"/>
      <c r="AV2" s="653"/>
      <c r="AW2" s="653"/>
      <c r="AX2" s="653"/>
      <c r="AY2" s="653"/>
      <c r="AZ2" s="653"/>
      <c r="BA2" s="653"/>
      <c r="BB2" s="653"/>
      <c r="BC2" s="653"/>
    </row>
    <row r="3" spans="1:55" ht="21" customHeight="1">
      <c r="A3" s="611"/>
      <c r="B3" s="612" t="s">
        <v>502</v>
      </c>
      <c r="C3" s="613"/>
      <c r="D3" s="613"/>
      <c r="E3" s="613"/>
      <c r="F3" s="613"/>
      <c r="G3" s="613"/>
      <c r="H3" s="614"/>
      <c r="I3" s="614"/>
      <c r="J3" s="614"/>
      <c r="K3" s="614"/>
      <c r="L3" s="614"/>
      <c r="M3" s="614"/>
      <c r="N3" s="613"/>
      <c r="O3" s="615"/>
      <c r="P3" s="611"/>
      <c r="Q3" s="611"/>
      <c r="R3" s="654" t="s">
        <v>503</v>
      </c>
      <c r="S3" s="654"/>
      <c r="T3" s="654"/>
      <c r="U3" s="654"/>
      <c r="V3" s="679"/>
      <c r="W3" s="611"/>
      <c r="X3" s="611"/>
      <c r="Y3" s="611"/>
      <c r="Z3" s="611"/>
      <c r="AA3" s="611"/>
      <c r="AB3" s="611"/>
      <c r="AC3" s="611"/>
      <c r="AD3" s="611"/>
      <c r="AE3" s="611"/>
      <c r="AF3" s="611"/>
      <c r="AG3" s="611"/>
      <c r="AH3" s="611"/>
      <c r="AI3" s="653"/>
      <c r="AJ3" s="653"/>
      <c r="AK3" s="653"/>
      <c r="AL3" s="653"/>
      <c r="AM3" s="653"/>
      <c r="AN3" s="653"/>
      <c r="AO3" s="653"/>
      <c r="AP3" s="653"/>
      <c r="AQ3" s="653"/>
      <c r="AR3" s="653"/>
      <c r="AS3" s="653"/>
      <c r="AT3" s="653"/>
      <c r="AU3" s="653"/>
      <c r="AV3" s="653"/>
      <c r="AW3" s="653"/>
      <c r="AX3" s="653"/>
      <c r="AY3" s="653"/>
      <c r="AZ3" s="653"/>
      <c r="BA3" s="653"/>
      <c r="BB3" s="653"/>
      <c r="BC3" s="653"/>
    </row>
    <row r="4" spans="1:55" ht="20.100000000000001" customHeight="1">
      <c r="A4" s="611"/>
      <c r="B4" s="616"/>
      <c r="C4" s="617" t="s">
        <v>370</v>
      </c>
      <c r="D4" s="618"/>
      <c r="E4" s="618"/>
      <c r="F4" s="618"/>
      <c r="G4" s="619"/>
      <c r="H4" s="620" t="s">
        <v>371</v>
      </c>
      <c r="I4" s="621"/>
      <c r="J4" s="621"/>
      <c r="K4" s="621"/>
      <c r="L4" s="622"/>
      <c r="M4" s="623" t="s">
        <v>372</v>
      </c>
      <c r="N4" s="624"/>
      <c r="O4" s="625"/>
      <c r="P4" s="611"/>
      <c r="Q4" s="611"/>
      <c r="R4" s="655" t="s">
        <v>380</v>
      </c>
      <c r="S4" s="656" t="s">
        <v>546</v>
      </c>
      <c r="T4" s="656" t="s">
        <v>545</v>
      </c>
      <c r="U4" s="657" t="s">
        <v>379</v>
      </c>
      <c r="V4" s="680"/>
      <c r="W4" s="611"/>
      <c r="X4" s="611"/>
      <c r="Y4" s="611"/>
      <c r="Z4" s="611"/>
      <c r="AA4" s="611"/>
      <c r="AB4" s="611"/>
      <c r="AC4" s="611"/>
      <c r="AD4" s="611"/>
      <c r="AE4" s="611"/>
      <c r="AF4" s="611"/>
      <c r="AG4" s="611"/>
      <c r="AH4" s="611"/>
      <c r="AI4" s="653"/>
      <c r="AJ4" s="653"/>
      <c r="AK4" s="653"/>
      <c r="AL4" s="653"/>
      <c r="AM4" s="653"/>
      <c r="AN4" s="653"/>
      <c r="AO4" s="653"/>
      <c r="AP4" s="653"/>
      <c r="AQ4" s="653"/>
      <c r="AR4" s="653"/>
      <c r="AS4" s="653"/>
      <c r="AT4" s="653"/>
      <c r="AU4" s="653"/>
      <c r="AV4" s="653"/>
      <c r="AW4" s="653"/>
      <c r="AX4" s="653"/>
      <c r="AY4" s="653"/>
      <c r="AZ4" s="653"/>
      <c r="BA4" s="653"/>
      <c r="BB4" s="653"/>
      <c r="BC4" s="653"/>
    </row>
    <row r="5" spans="1:55" ht="21" customHeight="1">
      <c r="A5" s="611"/>
      <c r="B5" s="626" t="s">
        <v>71</v>
      </c>
      <c r="C5" s="627" t="s">
        <v>17</v>
      </c>
      <c r="D5" s="628" t="s">
        <v>45</v>
      </c>
      <c r="E5" s="628" t="s">
        <v>1</v>
      </c>
      <c r="F5" s="629" t="s">
        <v>3</v>
      </c>
      <c r="G5" s="630" t="s">
        <v>1</v>
      </c>
      <c r="H5" s="629" t="s">
        <v>17</v>
      </c>
      <c r="I5" s="628" t="s">
        <v>45</v>
      </c>
      <c r="J5" s="628" t="s">
        <v>1</v>
      </c>
      <c r="K5" s="629" t="s">
        <v>3</v>
      </c>
      <c r="L5" s="630" t="s">
        <v>1</v>
      </c>
      <c r="M5" s="631" t="s">
        <v>17</v>
      </c>
      <c r="N5" s="632" t="s">
        <v>375</v>
      </c>
      <c r="O5" s="633" t="s">
        <v>376</v>
      </c>
      <c r="P5" s="611"/>
      <c r="Q5" s="611"/>
      <c r="R5" s="658" t="s">
        <v>416</v>
      </c>
      <c r="S5" s="602">
        <v>0</v>
      </c>
      <c r="T5" s="663">
        <f>'NewCrop&amp;WholeFarmNetReturns'!V10*'AcresYieldsPrices&amp;Water'!D21</f>
        <v>-35583.459722233922</v>
      </c>
      <c r="U5" s="664">
        <f>T5-S5</f>
        <v>-35583.459722233922</v>
      </c>
      <c r="V5" s="681"/>
      <c r="W5" s="611"/>
      <c r="X5" s="611"/>
      <c r="Y5" s="611"/>
      <c r="Z5" s="611"/>
      <c r="AA5" s="611"/>
      <c r="AB5" s="611"/>
      <c r="AC5" s="611"/>
      <c r="AD5" s="611"/>
      <c r="AE5" s="611"/>
      <c r="AF5" s="611"/>
      <c r="AG5" s="611"/>
      <c r="AH5" s="611"/>
      <c r="AI5" s="653"/>
      <c r="AJ5" s="653"/>
      <c r="AK5" s="653"/>
      <c r="AL5" s="653"/>
      <c r="AM5" s="653"/>
      <c r="AN5" s="653"/>
      <c r="AO5" s="653"/>
      <c r="AP5" s="653"/>
      <c r="AQ5" s="653"/>
      <c r="AR5" s="653"/>
      <c r="AS5" s="653"/>
      <c r="AT5" s="653"/>
      <c r="AU5" s="653"/>
      <c r="AV5" s="653"/>
      <c r="AW5" s="653"/>
      <c r="AX5" s="653"/>
      <c r="AY5" s="653"/>
      <c r="AZ5" s="653"/>
      <c r="BA5" s="653"/>
      <c r="BB5" s="653"/>
      <c r="BC5" s="653"/>
    </row>
    <row r="6" spans="1:55" ht="21">
      <c r="A6" s="611"/>
      <c r="B6" s="634" t="str">
        <f>'AcresYieldsPrices&amp;Water'!B4</f>
        <v>Guayule</v>
      </c>
      <c r="C6" s="635">
        <v>0</v>
      </c>
      <c r="D6" s="636" t="s">
        <v>415</v>
      </c>
      <c r="E6" s="637" t="s">
        <v>244</v>
      </c>
      <c r="F6" s="638" t="s">
        <v>415</v>
      </c>
      <c r="G6" s="639" t="s">
        <v>300</v>
      </c>
      <c r="H6" s="635">
        <f>'AcresYieldsPrices&amp;Water'!D4</f>
        <v>150</v>
      </c>
      <c r="I6" s="636">
        <f>IF('Guayule Harvest'!I4=0,"NA",'Guayule Harvest'!J114/'Guayule Harvest'!I4)</f>
        <v>6.7645671214727213E-2</v>
      </c>
      <c r="J6" s="637" t="str">
        <f>'Guayule Harvest'!F4</f>
        <v>pound</v>
      </c>
      <c r="K6" s="638">
        <f>IF('Guayule Harvest'!I4=0,"NA",'Guayule Harvest'!J114/'Guayule Harvest'!G4)</f>
        <v>18602.559584049985</v>
      </c>
      <c r="L6" s="639" t="str">
        <f>'Guayule Harvest'!F4&amp;"s"</f>
        <v>pounds</v>
      </c>
      <c r="M6" s="640">
        <f>IF(H6=0,0,(H6-C6)/H6)</f>
        <v>1</v>
      </c>
      <c r="N6" s="640" t="str">
        <f>IF(D6="NA","NA",(I6-D6)/I6)</f>
        <v>NA</v>
      </c>
      <c r="O6" s="641" t="str">
        <f>IF(F6="NA","NA",(K6-F6)/K6)</f>
        <v>NA</v>
      </c>
      <c r="P6" s="611"/>
      <c r="Q6" s="611"/>
      <c r="R6" s="659" t="s">
        <v>381</v>
      </c>
      <c r="S6" s="603">
        <v>0</v>
      </c>
      <c r="T6" s="665"/>
      <c r="U6" s="666">
        <f t="shared" ref="U6:U9" si="0">T6-S6</f>
        <v>0</v>
      </c>
      <c r="V6" s="681"/>
      <c r="W6" s="611"/>
      <c r="X6" s="611"/>
      <c r="Y6" s="611"/>
      <c r="Z6" s="611"/>
      <c r="AA6" s="611"/>
      <c r="AB6" s="611"/>
      <c r="AC6" s="611"/>
      <c r="AD6" s="611"/>
      <c r="AE6" s="611"/>
      <c r="AF6" s="611"/>
      <c r="AG6" s="611"/>
      <c r="AH6" s="611"/>
      <c r="AI6" s="653"/>
      <c r="AJ6" s="653"/>
      <c r="AK6" s="653"/>
      <c r="AL6" s="653"/>
      <c r="AM6" s="653"/>
      <c r="AN6" s="653"/>
      <c r="AO6" s="653"/>
      <c r="AP6" s="653"/>
      <c r="AQ6" s="653"/>
      <c r="AR6" s="653"/>
      <c r="AS6" s="653"/>
      <c r="AT6" s="653"/>
      <c r="AU6" s="653"/>
      <c r="AV6" s="653"/>
      <c r="AW6" s="653"/>
      <c r="AX6" s="653"/>
      <c r="AY6" s="653"/>
      <c r="AZ6" s="653"/>
      <c r="BA6" s="653"/>
      <c r="BB6" s="653"/>
      <c r="BC6" s="653"/>
    </row>
    <row r="7" spans="1:55" ht="21">
      <c r="A7" s="611"/>
      <c r="B7" s="642" t="str">
        <f>'AcresYieldsPrices&amp;Water'!B5</f>
        <v>Guar</v>
      </c>
      <c r="C7" s="635">
        <v>0</v>
      </c>
      <c r="D7" s="636" t="s">
        <v>415</v>
      </c>
      <c r="E7" s="637" t="s">
        <v>244</v>
      </c>
      <c r="F7" s="638" t="s">
        <v>415</v>
      </c>
      <c r="G7" s="643" t="s">
        <v>300</v>
      </c>
      <c r="H7" s="635">
        <f>'AcresYieldsPrices&amp;Water'!D5</f>
        <v>150</v>
      </c>
      <c r="I7" s="636">
        <f>IF('Sheet #4'!I4=0,"NA",'Sheet #4'!J112/'Sheet #4'!I4)</f>
        <v>0.53749986109275272</v>
      </c>
      <c r="J7" s="637" t="str">
        <f>'Sheet #4'!F4</f>
        <v>pound</v>
      </c>
      <c r="K7" s="638">
        <f>IF('Sheet #4'!I4=0,"NA",'Sheet #4'!J112/'Sheet #4'!G4)</f>
        <v>3009.9992221194152</v>
      </c>
      <c r="L7" s="643" t="str">
        <f>'Sheet #4'!F4&amp;"s"</f>
        <v>pounds</v>
      </c>
      <c r="M7" s="640">
        <f>IF(H7=0,0,(H7-C7)/H7)</f>
        <v>1</v>
      </c>
      <c r="N7" s="640" t="str">
        <f>IF(D7="NA","NA",(I7-D7)/I7)</f>
        <v>NA</v>
      </c>
      <c r="O7" s="641" t="str">
        <f>IF(F7="NA","NA",(K7-F7)/K7)</f>
        <v>NA</v>
      </c>
      <c r="P7" s="611"/>
      <c r="Q7" s="611"/>
      <c r="R7" s="659" t="s">
        <v>397</v>
      </c>
      <c r="S7" s="604">
        <v>0</v>
      </c>
      <c r="T7" s="667">
        <f>'Sheet #4'!L9+'Guayule Establishment'!L10+'Guayule Harvest'!L10+'Guayule Grow'!L10+'Sheet #5'!L9+'Sheet #6'!L9+'Sheet #7'!L9+Fallow!L9+Cotton!L10+'Sheet #10'!L9+'Sheet #11'!L9+'Sheet #12'!L9+'Sheet #13'!L9+'Sheet #14'!L9+'Sheet #15'!L9+'Sheet #16'!L9+'Sheet #17'!L9+AlfalfaHayEst!L9+AlfalfaHayProd!L9</f>
        <v>2310</v>
      </c>
      <c r="U7" s="668">
        <f t="shared" si="0"/>
        <v>2310</v>
      </c>
      <c r="V7" s="681"/>
      <c r="W7" s="611"/>
      <c r="X7" s="611"/>
      <c r="Y7" s="611"/>
      <c r="Z7" s="611"/>
      <c r="AA7" s="611"/>
      <c r="AB7" s="611"/>
      <c r="AC7" s="611"/>
      <c r="AD7" s="611"/>
      <c r="AE7" s="611"/>
      <c r="AF7" s="611"/>
      <c r="AG7" s="611"/>
      <c r="AH7" s="611"/>
      <c r="AI7" s="653"/>
      <c r="AJ7" s="653"/>
      <c r="AK7" s="653"/>
      <c r="AL7" s="653"/>
      <c r="AM7" s="653"/>
      <c r="AN7" s="653"/>
      <c r="AO7" s="653"/>
      <c r="AP7" s="653"/>
      <c r="AQ7" s="653"/>
      <c r="AR7" s="653"/>
      <c r="AS7" s="653"/>
      <c r="AT7" s="653"/>
      <c r="AU7" s="653"/>
      <c r="AV7" s="653"/>
      <c r="AW7" s="653"/>
      <c r="AX7" s="653"/>
      <c r="AY7" s="653"/>
      <c r="AZ7" s="653"/>
      <c r="BA7" s="653"/>
      <c r="BB7" s="653"/>
      <c r="BC7" s="653"/>
    </row>
    <row r="8" spans="1:55" ht="21">
      <c r="A8" s="611"/>
      <c r="B8" s="642" t="str">
        <f>'AcresYieldsPrices&amp;Water'!B6</f>
        <v>Hemp for CBD Oil</v>
      </c>
      <c r="C8" s="635">
        <v>0</v>
      </c>
      <c r="D8" s="636" t="s">
        <v>415</v>
      </c>
      <c r="E8" s="637" t="s">
        <v>244</v>
      </c>
      <c r="F8" s="638" t="s">
        <v>415</v>
      </c>
      <c r="G8" s="643" t="s">
        <v>300</v>
      </c>
      <c r="H8" s="635">
        <f>'AcresYieldsPrices&amp;Water'!D6</f>
        <v>0</v>
      </c>
      <c r="I8" s="636" t="str">
        <f>IF('Sheet #5'!I4=0,"NA",'Sheet #5'!J112/'Sheet #5'!I4)</f>
        <v>NA</v>
      </c>
      <c r="J8" s="637" t="str">
        <f>'Sheet #5'!F4</f>
        <v>pound</v>
      </c>
      <c r="K8" s="638" t="str">
        <f>IF('Sheet #5'!I4=0,"NA",'Sheet #5'!J112/'Sheet #5'!G4)</f>
        <v>NA</v>
      </c>
      <c r="L8" s="643" t="str">
        <f>'Sheet #5'!F4&amp;"s"</f>
        <v>pounds</v>
      </c>
      <c r="M8" s="640">
        <f t="shared" ref="M8:M14" si="1">IF(H8=0,0,(H8-C8)/H8)</f>
        <v>0</v>
      </c>
      <c r="N8" s="640" t="str">
        <f t="shared" ref="N8:N14" si="2">IF(D8="NA","NA",(I8-D8)/I8)</f>
        <v>NA</v>
      </c>
      <c r="O8" s="641" t="str">
        <f t="shared" ref="O8:O14" si="3">IF(F8="NA","NA",(K8-F8)/K8)</f>
        <v>NA</v>
      </c>
      <c r="P8" s="611"/>
      <c r="Q8" s="611"/>
      <c r="R8" s="659" t="s">
        <v>398</v>
      </c>
      <c r="S8" s="604">
        <v>0</v>
      </c>
      <c r="T8" s="667">
        <f>'Sheet #4'!L10+'Guayule Establishment'!L11+'Guayule Harvest'!L11+'Guayule Grow'!L11+'Sheet #5'!L10+'Sheet #6'!L10+'Sheet #7'!L10+Fallow!L10+Cotton!L11+'Sheet #10'!L10+'Sheet #11'!L10+'Sheet #12'!L10+'Sheet #13'!L10+'Sheet #14'!L10+'Sheet #15'!L10+'Sheet #16'!L10+'Sheet #17'!L10+AlfalfaHayEst!L10+AlfalfaHayProd!L10</f>
        <v>24840</v>
      </c>
      <c r="U8" s="668">
        <f t="shared" si="0"/>
        <v>24840</v>
      </c>
      <c r="V8" s="681"/>
      <c r="W8" s="611"/>
      <c r="X8" s="611"/>
      <c r="Y8" s="611"/>
      <c r="Z8" s="611"/>
      <c r="AA8" s="611"/>
      <c r="AB8" s="611"/>
      <c r="AC8" s="611"/>
      <c r="AD8" s="611"/>
      <c r="AE8" s="611"/>
      <c r="AF8" s="611"/>
      <c r="AG8" s="611"/>
      <c r="AH8" s="611"/>
      <c r="AI8" s="653"/>
      <c r="AJ8" s="653"/>
      <c r="AK8" s="653"/>
      <c r="AL8" s="653"/>
      <c r="AM8" s="653"/>
      <c r="AN8" s="653"/>
      <c r="AO8" s="653"/>
      <c r="AP8" s="653"/>
      <c r="AQ8" s="653"/>
      <c r="AR8" s="653"/>
      <c r="AS8" s="653"/>
      <c r="AT8" s="653"/>
      <c r="AU8" s="653"/>
      <c r="AV8" s="653"/>
      <c r="AW8" s="653"/>
      <c r="AX8" s="653"/>
      <c r="AY8" s="653"/>
      <c r="AZ8" s="653"/>
      <c r="BA8" s="653"/>
      <c r="BB8" s="653"/>
      <c r="BC8" s="653"/>
    </row>
    <row r="9" spans="1:55" ht="21">
      <c r="A9" s="611"/>
      <c r="B9" s="642" t="str">
        <f>'AcresYieldsPrices&amp;Water'!B7</f>
        <v>Hemp for Grain</v>
      </c>
      <c r="C9" s="635">
        <v>0</v>
      </c>
      <c r="D9" s="636" t="s">
        <v>415</v>
      </c>
      <c r="E9" s="637" t="s">
        <v>244</v>
      </c>
      <c r="F9" s="638" t="s">
        <v>415</v>
      </c>
      <c r="G9" s="643" t="s">
        <v>300</v>
      </c>
      <c r="H9" s="635">
        <f>'AcresYieldsPrices&amp;Water'!D7</f>
        <v>0</v>
      </c>
      <c r="I9" s="636" t="str">
        <f>IF('Sheet #6'!I4=0,"NA",'Sheet #6'!J112/'Sheet #6'!I4)</f>
        <v>NA</v>
      </c>
      <c r="J9" s="637" t="str">
        <f>'Sheet #6'!F4</f>
        <v>pound</v>
      </c>
      <c r="K9" s="638" t="str">
        <f>IF('Sheet #6'!I4=0,"NA",'Sheet #6'!J112/'Sheet #6'!G4)</f>
        <v>NA</v>
      </c>
      <c r="L9" s="643" t="str">
        <f>'Sheet #6'!F4&amp;"s"</f>
        <v>pounds</v>
      </c>
      <c r="M9" s="640">
        <f t="shared" si="1"/>
        <v>0</v>
      </c>
      <c r="N9" s="640" t="str">
        <f t="shared" si="2"/>
        <v>NA</v>
      </c>
      <c r="O9" s="641" t="str">
        <f t="shared" si="3"/>
        <v>NA</v>
      </c>
      <c r="P9" s="611"/>
      <c r="Q9" s="611"/>
      <c r="R9" s="659" t="s">
        <v>402</v>
      </c>
      <c r="S9" s="604">
        <v>0</v>
      </c>
      <c r="T9" s="667">
        <f>'Sheet #4'!L11+'Guayule Establishment'!L12+'Guayule Harvest'!L12+'Guayule Grow'!L12+'Sheet #5'!L11+'Sheet #6'!L11+'Sheet #7'!L11+Fallow!L11+Cotton!L12+'Sheet #10'!L11+'Sheet #11'!L11+'Sheet #12'!L11+'Sheet #13'!L11+'Sheet #14'!L11+'Sheet #15'!L11+'Sheet #16'!L11+'Sheet #17'!L11+AlfalfaHayEst!L11+AlfalfaHayProd!L11</f>
        <v>20629.6875</v>
      </c>
      <c r="U9" s="668">
        <f t="shared" si="0"/>
        <v>20629.6875</v>
      </c>
      <c r="V9" s="681"/>
      <c r="W9" s="611"/>
      <c r="X9" s="611"/>
      <c r="Y9" s="611"/>
      <c r="Z9" s="611"/>
      <c r="AA9" s="611"/>
      <c r="AB9" s="611"/>
      <c r="AC9" s="611"/>
      <c r="AD9" s="611"/>
      <c r="AE9" s="611"/>
      <c r="AF9" s="611"/>
      <c r="AG9" s="611"/>
      <c r="AH9" s="611"/>
      <c r="AI9" s="653"/>
      <c r="AJ9" s="653"/>
      <c r="AK9" s="653"/>
      <c r="AL9" s="653"/>
      <c r="AM9" s="653"/>
      <c r="AN9" s="653"/>
      <c r="AO9" s="653"/>
      <c r="AP9" s="653"/>
      <c r="AQ9" s="653"/>
      <c r="AR9" s="653"/>
      <c r="AS9" s="653"/>
      <c r="AT9" s="653"/>
      <c r="AU9" s="653"/>
      <c r="AV9" s="653"/>
      <c r="AW9" s="653"/>
      <c r="AX9" s="653"/>
      <c r="AY9" s="653"/>
      <c r="AZ9" s="653"/>
      <c r="BA9" s="653"/>
      <c r="BB9" s="653"/>
      <c r="BC9" s="653"/>
    </row>
    <row r="10" spans="1:55" ht="21">
      <c r="A10" s="611"/>
      <c r="B10" s="642" t="str">
        <f>'AcresYieldsPrices&amp;Water'!B8</f>
        <v>Hemp for Fiber</v>
      </c>
      <c r="C10" s="635">
        <v>0</v>
      </c>
      <c r="D10" s="636" t="s">
        <v>415</v>
      </c>
      <c r="E10" s="637" t="s">
        <v>244</v>
      </c>
      <c r="F10" s="638" t="s">
        <v>415</v>
      </c>
      <c r="G10" s="643" t="s">
        <v>300</v>
      </c>
      <c r="H10" s="635">
        <f>'AcresYieldsPrices&amp;Water'!D8</f>
        <v>0</v>
      </c>
      <c r="I10" s="636" t="str">
        <f>IF('Sheet #7'!I4=0,"NA",'Sheet #7'!J112/'Sheet #7'!I4)</f>
        <v>NA</v>
      </c>
      <c r="J10" s="637" t="str">
        <f>'Sheet #7'!F4</f>
        <v>pound</v>
      </c>
      <c r="K10" s="638" t="str">
        <f>IF('Sheet #7'!I4=0,"NA",'Sheet #7'!J112/'Sheet #7'!G4)</f>
        <v>NA</v>
      </c>
      <c r="L10" s="643" t="str">
        <f>'Sheet #7'!F4&amp;"s"</f>
        <v>pounds</v>
      </c>
      <c r="M10" s="640">
        <f t="shared" si="1"/>
        <v>0</v>
      </c>
      <c r="N10" s="640" t="str">
        <f t="shared" si="2"/>
        <v>NA</v>
      </c>
      <c r="O10" s="641" t="str">
        <f t="shared" si="3"/>
        <v>NA</v>
      </c>
      <c r="P10" s="611"/>
      <c r="Q10" s="611"/>
      <c r="R10" s="659" t="s">
        <v>382</v>
      </c>
      <c r="S10" s="605">
        <v>0</v>
      </c>
      <c r="T10" s="669">
        <f>'Sheet #4'!L13+'Guayule Establishment'!L14+'Guayule Harvest'!L14+'Guayule Grow'!L14+'Sheet #5'!L13+'Sheet #6'!L13+'Sheet #7'!L13+Fallow!L13+Cotton!L14+'Sheet #10'!L13+'Sheet #11'!L13+'Sheet #12'!L13+'Sheet #13'!L13+'Sheet #14'!L13+'Sheet #15'!L13+'Sheet #16'!L13+'Sheet #17'!L13+AlfalfaHayEst!L13+AlfalfaHayProd!L13</f>
        <v>0</v>
      </c>
      <c r="U10" s="666">
        <f>T10-S10</f>
        <v>0</v>
      </c>
      <c r="V10" s="681"/>
      <c r="W10" s="611"/>
      <c r="X10" s="611"/>
      <c r="Y10" s="611"/>
      <c r="Z10" s="611"/>
      <c r="AA10" s="611"/>
      <c r="AB10" s="611"/>
      <c r="AC10" s="611"/>
      <c r="AD10" s="611"/>
      <c r="AE10" s="611"/>
      <c r="AF10" s="611"/>
      <c r="AG10" s="611"/>
      <c r="AH10" s="611"/>
      <c r="AI10" s="653"/>
      <c r="AJ10" s="653"/>
      <c r="AK10" s="653"/>
      <c r="AL10" s="653"/>
      <c r="AM10" s="653"/>
      <c r="AN10" s="653"/>
      <c r="AO10" s="653"/>
      <c r="AP10" s="653"/>
      <c r="AQ10" s="653"/>
      <c r="AR10" s="653"/>
      <c r="AS10" s="653"/>
      <c r="AT10" s="653"/>
      <c r="AU10" s="653"/>
      <c r="AV10" s="653"/>
      <c r="AW10" s="653"/>
      <c r="AX10" s="653"/>
      <c r="AY10" s="653"/>
      <c r="AZ10" s="653"/>
      <c r="BA10" s="653"/>
      <c r="BB10" s="653"/>
      <c r="BC10" s="653"/>
    </row>
    <row r="11" spans="1:55" ht="21">
      <c r="A11" s="611"/>
      <c r="B11" s="642" t="str">
        <f>'AcresYieldsPrices&amp;Water'!B9</f>
        <v>Irr. Water Reduction: Set-aside</v>
      </c>
      <c r="C11" s="635">
        <v>600</v>
      </c>
      <c r="D11" s="636" t="s">
        <v>415</v>
      </c>
      <c r="E11" s="644" t="s">
        <v>413</v>
      </c>
      <c r="F11" s="638" t="s">
        <v>415</v>
      </c>
      <c r="G11" s="645" t="s">
        <v>374</v>
      </c>
      <c r="H11" s="635">
        <f>'AcresYieldsPrices&amp;Water'!D9</f>
        <v>0</v>
      </c>
      <c r="I11" s="636" t="str">
        <f>IF(Fallow!I4=0,"NA",Fallow!J111/Fallow!I4)</f>
        <v>NA</v>
      </c>
      <c r="J11" s="644" t="s">
        <v>413</v>
      </c>
      <c r="K11" s="638" t="str">
        <f>IF(Fallow!I4=0,"NA",Fallow!J111/Fallow!G4)</f>
        <v>NA</v>
      </c>
      <c r="L11" s="645" t="s">
        <v>374</v>
      </c>
      <c r="M11" s="640">
        <f t="shared" si="1"/>
        <v>0</v>
      </c>
      <c r="N11" s="640" t="str">
        <f t="shared" si="2"/>
        <v>NA</v>
      </c>
      <c r="O11" s="641" t="str">
        <f t="shared" si="3"/>
        <v>NA</v>
      </c>
      <c r="P11" s="611" t="s">
        <v>414</v>
      </c>
      <c r="Q11" s="611"/>
      <c r="R11" s="659" t="s">
        <v>399</v>
      </c>
      <c r="S11" s="605">
        <v>0</v>
      </c>
      <c r="T11" s="669">
        <f>'Sheet #4'!L12+'Guayule Establishment'!L13+'Guayule Harvest'!L13+'Guayule Grow'!L13+'Sheet #5'!L12+'Sheet #6'!L12+'Sheet #7'!L12+Fallow!L12+Cotton!L13+'Sheet #10'!L12+'Sheet #11'!L12+'Sheet #12'!L12+'Sheet #13'!L12+'Sheet #14'!L12+'Sheet #15'!L12+'Sheet #16'!L12+'Sheet #17'!L12+AlfalfaHayEst!L12+AlfalfaHayProd!L12</f>
        <v>1738</v>
      </c>
      <c r="U11" s="666">
        <f>T11-S11</f>
        <v>1738</v>
      </c>
      <c r="V11" s="681"/>
      <c r="W11" s="611"/>
      <c r="X11" s="611"/>
      <c r="Y11" s="611"/>
      <c r="Z11" s="611"/>
      <c r="AA11" s="611"/>
      <c r="AB11" s="611"/>
      <c r="AC11" s="611"/>
      <c r="AD11" s="611"/>
      <c r="AE11" s="611"/>
      <c r="AF11" s="611"/>
      <c r="AG11" s="611"/>
      <c r="AH11" s="611"/>
      <c r="AI11" s="653"/>
      <c r="AJ11" s="653"/>
      <c r="AK11" s="653"/>
      <c r="AL11" s="653"/>
      <c r="AM11" s="653"/>
      <c r="AN11" s="653"/>
      <c r="AO11" s="653"/>
      <c r="AP11" s="653"/>
      <c r="AQ11" s="653"/>
      <c r="AR11" s="653"/>
      <c r="AS11" s="653"/>
      <c r="AT11" s="653"/>
      <c r="AU11" s="653"/>
      <c r="AV11" s="653"/>
      <c r="AW11" s="653"/>
      <c r="AX11" s="653"/>
      <c r="AY11" s="653"/>
      <c r="AZ11" s="653"/>
      <c r="BA11" s="653"/>
      <c r="BB11" s="653"/>
      <c r="BC11" s="653"/>
    </row>
    <row r="12" spans="1:55" ht="21">
      <c r="A12" s="611"/>
      <c r="B12" s="642" t="str">
        <f>'AcresYieldsPrices&amp;Water'!J11</f>
        <v>Cotton Lint</v>
      </c>
      <c r="C12" s="635">
        <v>300</v>
      </c>
      <c r="D12" s="636">
        <v>1.1008421628650822</v>
      </c>
      <c r="E12" s="637" t="s">
        <v>244</v>
      </c>
      <c r="F12" s="638">
        <v>1651.2632442976233</v>
      </c>
      <c r="G12" s="643" t="s">
        <v>300</v>
      </c>
      <c r="H12" s="635">
        <f>'AcresYieldsPrices&amp;Water'!D10</f>
        <v>0</v>
      </c>
      <c r="I12" s="636" t="str">
        <f>IF(Cotton!I4=0,"NA",Cotton!J119/Cotton!I4)</f>
        <v>NA</v>
      </c>
      <c r="J12" s="637" t="str">
        <f>Cotton!F4</f>
        <v>pound</v>
      </c>
      <c r="K12" s="638" t="str">
        <f>IF(Cotton!I4=0,"NA",Cotton!J119/Cotton!G4)</f>
        <v>NA</v>
      </c>
      <c r="L12" s="643" t="str">
        <f>Cotton!F4&amp;"s"</f>
        <v>pounds</v>
      </c>
      <c r="M12" s="640">
        <f t="shared" si="1"/>
        <v>0</v>
      </c>
      <c r="N12" s="640" t="e">
        <f t="shared" si="2"/>
        <v>#VALUE!</v>
      </c>
      <c r="O12" s="641" t="e">
        <f t="shared" si="3"/>
        <v>#VALUE!</v>
      </c>
      <c r="P12" s="611" t="s">
        <v>377</v>
      </c>
      <c r="Q12" s="611"/>
      <c r="R12" s="659" t="s">
        <v>403</v>
      </c>
      <c r="S12" s="604">
        <v>0</v>
      </c>
      <c r="T12" s="667">
        <f>'Sheet #4'!L16+'Guayule Establishment'!L17+'Guayule Harvest'!L17+'Guayule Grow'!L17+'Sheet #5'!L16+'Sheet #6'!L16+'Sheet #7'!L16+Fallow!L16+Cotton!L17+'Sheet #10'!L16+'Sheet #11'!L16+'Sheet #12'!L16+'Sheet #13'!L16+'Sheet #14'!L16+'Sheet #15'!L16+'Sheet #16'!L16+'Sheet #17'!L16+AlfalfaHayEst!L16+AlfalfaHayProd!L16</f>
        <v>3750</v>
      </c>
      <c r="U12" s="668">
        <f>T12-S12</f>
        <v>3750</v>
      </c>
      <c r="V12" s="681"/>
      <c r="W12" s="611"/>
      <c r="X12" s="611"/>
      <c r="Y12" s="611"/>
      <c r="Z12" s="611"/>
      <c r="AA12" s="611"/>
      <c r="AB12" s="611"/>
      <c r="AC12" s="611"/>
      <c r="AD12" s="611"/>
      <c r="AE12" s="611"/>
      <c r="AF12" s="611"/>
      <c r="AG12" s="611"/>
      <c r="AH12" s="611"/>
      <c r="AI12" s="653"/>
      <c r="AJ12" s="653"/>
      <c r="AK12" s="653"/>
      <c r="AL12" s="653"/>
      <c r="AM12" s="653"/>
      <c r="AN12" s="653"/>
      <c r="AO12" s="653"/>
      <c r="AP12" s="653"/>
      <c r="AQ12" s="653"/>
      <c r="AR12" s="653"/>
      <c r="AS12" s="653"/>
      <c r="AT12" s="653"/>
      <c r="AU12" s="653"/>
      <c r="AV12" s="653"/>
      <c r="AW12" s="653"/>
      <c r="AX12" s="653"/>
      <c r="AY12" s="653"/>
      <c r="AZ12" s="653"/>
      <c r="BA12" s="653"/>
      <c r="BB12" s="653"/>
      <c r="BC12" s="653"/>
    </row>
    <row r="13" spans="1:55" ht="21">
      <c r="A13" s="611"/>
      <c r="B13" s="642" t="str">
        <f>'AcresYieldsPrices&amp;Water'!J12</f>
        <v>Cotton Seed</v>
      </c>
      <c r="C13" s="635">
        <v>300</v>
      </c>
      <c r="D13" s="636" t="s">
        <v>415</v>
      </c>
      <c r="E13" s="637" t="s">
        <v>244</v>
      </c>
      <c r="F13" s="638">
        <v>11008.421628650822</v>
      </c>
      <c r="G13" s="643" t="s">
        <v>300</v>
      </c>
      <c r="H13" s="635">
        <f>'AcresYieldsPrices&amp;Water'!D10</f>
        <v>0</v>
      </c>
      <c r="I13" s="636" t="str">
        <f>IF(Cotton!JI5=0,"NA",Cotton!J119/Cotton!I5)</f>
        <v>NA</v>
      </c>
      <c r="J13" s="637" t="str">
        <f>Cotton!F5</f>
        <v>pound</v>
      </c>
      <c r="K13" s="638" t="str">
        <f>IF(Cotton!I5=0,"NA",Cotton!J119/Cotton!G5)</f>
        <v>NA</v>
      </c>
      <c r="L13" s="643" t="str">
        <f>Cotton!F5&amp;"s"</f>
        <v>pounds</v>
      </c>
      <c r="M13" s="640">
        <f t="shared" si="1"/>
        <v>0</v>
      </c>
      <c r="N13" s="640" t="str">
        <f t="shared" si="2"/>
        <v>NA</v>
      </c>
      <c r="O13" s="641" t="e">
        <f t="shared" si="3"/>
        <v>#VALUE!</v>
      </c>
      <c r="P13" s="611" t="s">
        <v>377</v>
      </c>
      <c r="Q13" s="611"/>
      <c r="R13" s="660" t="s">
        <v>404</v>
      </c>
      <c r="S13" s="606">
        <v>0</v>
      </c>
      <c r="T13" s="670">
        <f>'Sheet #4'!L14+'Guayule Establishment'!L15+'Guayule Harvest'!L15+'Guayule Grow'!L15+'Sheet #5'!L14+'Sheet #6'!L14+'Sheet #7'!L14+Fallow!L14+Cotton!L15+'Sheet #10'!L14+'Sheet #11'!L14+'Sheet #12'!L14+'Sheet #13'!L14+'Sheet #14'!L14+'Sheet #15'!L14+'Sheet #16'!L14+'Sheet #17'!L14+AlfalfaHayEst!L14+AlfalfaHayProd!L14</f>
        <v>22969.671617733351</v>
      </c>
      <c r="U13" s="668">
        <f>T13-S13</f>
        <v>22969.671617733351</v>
      </c>
      <c r="V13" s="681"/>
      <c r="W13" s="611"/>
      <c r="X13" s="611"/>
      <c r="Y13" s="611"/>
      <c r="Z13" s="611"/>
      <c r="AA13" s="611"/>
      <c r="AB13" s="611"/>
      <c r="AC13" s="611"/>
      <c r="AD13" s="611"/>
      <c r="AE13" s="611"/>
      <c r="AF13" s="611"/>
      <c r="AG13" s="611"/>
      <c r="AH13" s="611"/>
      <c r="AI13" s="653"/>
      <c r="AJ13" s="653"/>
      <c r="AK13" s="653"/>
      <c r="AL13" s="653"/>
      <c r="AM13" s="653"/>
      <c r="AN13" s="653"/>
      <c r="AO13" s="653"/>
      <c r="AP13" s="653"/>
      <c r="AQ13" s="653"/>
      <c r="AR13" s="653"/>
      <c r="AS13" s="653"/>
      <c r="AT13" s="653"/>
      <c r="AU13" s="653"/>
      <c r="AV13" s="653"/>
      <c r="AW13" s="653"/>
      <c r="AX13" s="653"/>
      <c r="AY13" s="653"/>
      <c r="AZ13" s="653"/>
      <c r="BA13" s="653"/>
      <c r="BB13" s="653"/>
      <c r="BC13" s="653"/>
    </row>
    <row r="14" spans="1:55" ht="21">
      <c r="A14" s="611"/>
      <c r="B14" s="642" t="str">
        <f>'AcresYieldsPrices&amp;Water'!B11</f>
        <v>Corn Silage</v>
      </c>
      <c r="C14" s="635">
        <v>45</v>
      </c>
      <c r="D14" s="636">
        <v>53.292385230315567</v>
      </c>
      <c r="E14" s="637" t="s">
        <v>252</v>
      </c>
      <c r="F14" s="638">
        <v>26.646192615157783</v>
      </c>
      <c r="G14" s="643" t="s">
        <v>378</v>
      </c>
      <c r="H14" s="635">
        <f>'AcresYieldsPrices&amp;Water'!D11</f>
        <v>0</v>
      </c>
      <c r="I14" s="636" t="str">
        <f>IF('Sheet #10'!I4=0,"NA",'Sheet #10'!J112/'Sheet #10'!I4)</f>
        <v>NA</v>
      </c>
      <c r="J14" s="637" t="str">
        <f>'Sheet #10'!F4</f>
        <v>ton</v>
      </c>
      <c r="K14" s="638" t="str">
        <f>IF('Sheet #10'!I4=0,"NA",'Sheet #10'!J112/'Sheet #10'!G4)</f>
        <v>NA</v>
      </c>
      <c r="L14" s="643" t="str">
        <f>'Sheet #10'!F4&amp;"s"</f>
        <v>tons</v>
      </c>
      <c r="M14" s="640">
        <f t="shared" si="1"/>
        <v>0</v>
      </c>
      <c r="N14" s="640" t="e">
        <f t="shared" si="2"/>
        <v>#VALUE!</v>
      </c>
      <c r="O14" s="641" t="e">
        <f t="shared" si="3"/>
        <v>#VALUE!</v>
      </c>
      <c r="P14" s="611"/>
      <c r="Q14" s="611"/>
      <c r="R14" s="660" t="s">
        <v>400</v>
      </c>
      <c r="S14" s="606">
        <v>0</v>
      </c>
      <c r="T14" s="670">
        <f>'Sheet #4'!L15+'Guayule Establishment'!L16+'Guayule Harvest'!L16+'Guayule Grow'!L16+'Sheet #5'!L15+'Sheet #6'!L15+'Sheet #7'!L15+Fallow!L15+Cotton!L16+'Sheet #10'!L15+'Sheet #11'!L15+'Sheet #12'!L15+'Sheet #13'!L15+'Sheet #14'!L15+'Sheet #15'!L15+'Sheet #16'!L15+'Sheet #17'!L15+AlfalfaHayEst!L15+AlfalfaHayProd!L15</f>
        <v>212054.94468773229</v>
      </c>
      <c r="U14" s="668">
        <f>T14-S14</f>
        <v>212054.94468773229</v>
      </c>
      <c r="V14" s="681"/>
      <c r="W14" s="611"/>
      <c r="X14" s="611"/>
      <c r="Y14" s="611"/>
      <c r="Z14" s="611"/>
      <c r="AA14" s="611"/>
      <c r="AB14" s="611"/>
      <c r="AC14" s="611"/>
      <c r="AD14" s="611"/>
      <c r="AE14" s="611"/>
      <c r="AF14" s="611"/>
      <c r="AG14" s="611"/>
      <c r="AH14" s="611"/>
      <c r="AI14" s="653"/>
      <c r="AJ14" s="653"/>
      <c r="AK14" s="653"/>
      <c r="AL14" s="653"/>
      <c r="AM14" s="653"/>
      <c r="AN14" s="653"/>
      <c r="AO14" s="653"/>
      <c r="AP14" s="653"/>
      <c r="AQ14" s="653"/>
      <c r="AR14" s="653"/>
      <c r="AS14" s="653"/>
      <c r="AT14" s="653"/>
      <c r="AU14" s="653"/>
      <c r="AV14" s="653"/>
      <c r="AW14" s="653"/>
      <c r="AX14" s="653"/>
      <c r="AY14" s="653"/>
      <c r="AZ14" s="653"/>
      <c r="BA14" s="653"/>
      <c r="BB14" s="653"/>
      <c r="BC14" s="653"/>
    </row>
    <row r="15" spans="1:55" ht="21">
      <c r="A15" s="611"/>
      <c r="B15" s="642" t="str">
        <f>'AcresYieldsPrices&amp;Water'!B12</f>
        <v>Sorghum</v>
      </c>
      <c r="C15" s="635">
        <v>0</v>
      </c>
      <c r="D15" s="636" t="s">
        <v>415</v>
      </c>
      <c r="E15" s="637" t="s">
        <v>251</v>
      </c>
      <c r="F15" s="638" t="s">
        <v>415</v>
      </c>
      <c r="G15" s="643" t="s">
        <v>319</v>
      </c>
      <c r="H15" s="635">
        <f>'AcresYieldsPrices&amp;Water'!D12</f>
        <v>0</v>
      </c>
      <c r="I15" s="636" t="str">
        <f>IF('Sheet #11'!I4=0,"NA",'Sheet #11'!J114/'Sheet #11'!I4)</f>
        <v>NA</v>
      </c>
      <c r="J15" s="637" t="str">
        <f>'Sheet #11'!F4</f>
        <v>bushel</v>
      </c>
      <c r="K15" s="638" t="str">
        <f>IF('Sheet #11'!I4=0,"NA",'Sheet #11'!J114/'Sheet #11'!G4)</f>
        <v>NA</v>
      </c>
      <c r="L15" s="643" t="str">
        <f>'Sheet #11'!F4&amp;"s"</f>
        <v>bushels</v>
      </c>
      <c r="M15" s="640">
        <f t="shared" ref="M15:M23" si="4">IF(H15=0,0,(H15-C15)/H15)</f>
        <v>0</v>
      </c>
      <c r="N15" s="640" t="str">
        <f t="shared" ref="N15:N23" si="5">IF(D15="NA","NA",(I15-D15)/I15)</f>
        <v>NA</v>
      </c>
      <c r="O15" s="641" t="str">
        <f t="shared" ref="O15:O23" si="6">IF(F15="NA","NA",(K15-F15)/K15)</f>
        <v>NA</v>
      </c>
      <c r="P15" s="611"/>
      <c r="Q15" s="611"/>
      <c r="R15" s="660" t="s">
        <v>535</v>
      </c>
      <c r="S15" s="606">
        <v>0</v>
      </c>
      <c r="T15" s="670"/>
      <c r="U15" s="668"/>
      <c r="V15" s="681"/>
      <c r="W15" s="611"/>
      <c r="X15" s="611"/>
      <c r="Y15" s="611"/>
      <c r="Z15" s="611"/>
      <c r="AA15" s="611"/>
      <c r="AB15" s="611"/>
      <c r="AC15" s="611"/>
      <c r="AD15" s="611"/>
      <c r="AE15" s="611"/>
      <c r="AF15" s="611"/>
      <c r="AG15" s="611"/>
      <c r="AH15" s="611"/>
      <c r="AI15" s="653"/>
      <c r="AJ15" s="653"/>
      <c r="AK15" s="653"/>
      <c r="AL15" s="653"/>
      <c r="AM15" s="653"/>
      <c r="AN15" s="653"/>
      <c r="AO15" s="653"/>
      <c r="AP15" s="653"/>
      <c r="AQ15" s="653"/>
      <c r="AR15" s="653"/>
      <c r="AS15" s="653"/>
      <c r="AT15" s="653"/>
      <c r="AU15" s="653"/>
      <c r="AV15" s="653"/>
      <c r="AW15" s="653"/>
      <c r="AX15" s="653"/>
      <c r="AY15" s="653"/>
      <c r="AZ15" s="653"/>
      <c r="BA15" s="653"/>
      <c r="BB15" s="653"/>
      <c r="BC15" s="653"/>
    </row>
    <row r="16" spans="1:55" ht="21">
      <c r="A16" s="611"/>
      <c r="B16" s="642" t="str">
        <f>'AcresYieldsPrices&amp;Water'!B13</f>
        <v>Spring Barley</v>
      </c>
      <c r="C16" s="635">
        <v>90</v>
      </c>
      <c r="D16" s="636">
        <v>15.754018482979227</v>
      </c>
      <c r="E16" s="637" t="s">
        <v>445</v>
      </c>
      <c r="F16" s="638">
        <v>67.517222069910972</v>
      </c>
      <c r="G16" s="643" t="s">
        <v>494</v>
      </c>
      <c r="H16" s="635">
        <f>'AcresYieldsPrices&amp;Water'!D13</f>
        <v>0</v>
      </c>
      <c r="I16" s="636" t="str">
        <f>IF('Sheet #12'!I4=0,"NA",'Sheet #12'!J112/'Sheet #12'!I4)</f>
        <v>NA</v>
      </c>
      <c r="J16" s="637" t="str">
        <f>'Sheet #12'!F4</f>
        <v>CWT</v>
      </c>
      <c r="K16" s="638" t="str">
        <f>IF('Sheet #12'!I4=0,"NA",'Sheet #12'!J112/'Sheet #12'!G4)</f>
        <v>NA</v>
      </c>
      <c r="L16" s="643" t="str">
        <f>'Sheet #12'!F4&amp;"s"</f>
        <v>CWTs</v>
      </c>
      <c r="M16" s="640">
        <f t="shared" si="4"/>
        <v>0</v>
      </c>
      <c r="N16" s="640" t="e">
        <f t="shared" si="5"/>
        <v>#VALUE!</v>
      </c>
      <c r="O16" s="641" t="e">
        <f t="shared" si="6"/>
        <v>#VALUE!</v>
      </c>
      <c r="P16" s="611"/>
      <c r="Q16" s="611"/>
      <c r="R16" s="661" t="str">
        <f>'AcresYieldsPrices&amp;Water'!E3</f>
        <v>Flood</v>
      </c>
      <c r="S16" s="606">
        <v>0</v>
      </c>
      <c r="T16" s="670">
        <f>((('AcresYieldsPrices&amp;Water'!E$4*'AcresYieldsPrices&amp;Water'!D$4)*GeneralInputPrices!D16)+(('AcresYieldsPrices&amp;Water'!E$5*'AcresYieldsPrices&amp;Water'!D$5)*GeneralInputPrices!D16)+(('AcresYieldsPrices&amp;Water'!E$6*'AcresYieldsPrices&amp;Water'!D$6)*GeneralInputPrices!D16)+(('AcresYieldsPrices&amp;Water'!E$7*'AcresYieldsPrices&amp;Water'!D$7)*GeneralInputPrices!D16)+(('AcresYieldsPrices&amp;Water'!E$8*'AcresYieldsPrices&amp;Water'!D$8)*GeneralInputPrices!D16)+(('AcresYieldsPrices&amp;Water'!E$9*'AcresYieldsPrices&amp;Water'!D$9)*GeneralInputPrices!D16)+(('AcresYieldsPrices&amp;Water'!E$10*'AcresYieldsPrices&amp;Water'!D$10)*GeneralInputPrices!D16)+(('AcresYieldsPrices&amp;Water'!E$11*'AcresYieldsPrices&amp;Water'!D$11)*GeneralInputPrices!D16)+(('AcresYieldsPrices&amp;Water'!E$12*'AcresYieldsPrices&amp;Water'!D$12)*GeneralInputPrices!D16)+(('AcresYieldsPrices&amp;Water'!E$13*'AcresYieldsPrices&amp;Water'!D$13)*GeneralInputPrices!D16)+(('AcresYieldsPrices&amp;Water'!E$14*'AcresYieldsPrices&amp;Water'!D$14)*GeneralInputPrices!D16)+(('AcresYieldsPrices&amp;Water'!E$15*'AcresYieldsPrices&amp;Water'!D$15)*GeneralInputPrices!D16)+(('AcresYieldsPrices&amp;Water'!E$16*'AcresYieldsPrices&amp;Water'!D$16)*GeneralInputPrices!D16)+(('AcresYieldsPrices&amp;Water'!E$17*'AcresYieldsPrices&amp;Water'!D$17)*GeneralInputPrices!D16)+(('AcresYieldsPrices&amp;Water'!E$18*'AcresYieldsPrices&amp;Water'!D$18)*GeneralInputPrices!D16)+(('AcresYieldsPrices&amp;Water'!E$19*'AcresYieldsPrices&amp;Water'!D$19)*GeneralInputPrices!D16)+(('AcresYieldsPrices&amp;Water'!E$20*'AcresYieldsPrices&amp;Water'!D$20)*GeneralInputPrices!D16))</f>
        <v>0</v>
      </c>
      <c r="U16" s="668">
        <f>T16-S16</f>
        <v>0</v>
      </c>
      <c r="V16" s="681"/>
      <c r="W16" s="611"/>
      <c r="X16" s="611"/>
      <c r="Y16" s="611"/>
      <c r="Z16" s="611"/>
      <c r="AA16" s="611"/>
      <c r="AB16" s="611"/>
      <c r="AC16" s="611"/>
      <c r="AD16" s="611"/>
      <c r="AE16" s="611"/>
      <c r="AF16" s="611"/>
      <c r="AG16" s="611"/>
      <c r="AH16" s="611"/>
      <c r="AI16" s="653"/>
      <c r="AJ16" s="653"/>
      <c r="AK16" s="653"/>
      <c r="AL16" s="653"/>
      <c r="AM16" s="653"/>
      <c r="AN16" s="653"/>
      <c r="AO16" s="653"/>
      <c r="AP16" s="653"/>
      <c r="AQ16" s="653"/>
      <c r="AR16" s="653"/>
      <c r="AS16" s="653"/>
      <c r="AT16" s="653"/>
      <c r="AU16" s="653"/>
      <c r="AV16" s="653"/>
      <c r="AW16" s="653"/>
      <c r="AX16" s="653"/>
      <c r="AY16" s="653"/>
      <c r="AZ16" s="653"/>
      <c r="BA16" s="653"/>
      <c r="BB16" s="653"/>
      <c r="BC16" s="653"/>
    </row>
    <row r="17" spans="1:55" ht="21">
      <c r="A17" s="611"/>
      <c r="B17" s="642" t="str">
        <f>'AcresYieldsPrices&amp;Water'!B14</f>
        <v>Durum Wheat</v>
      </c>
      <c r="C17" s="635">
        <v>165</v>
      </c>
      <c r="D17" s="636">
        <v>18.982544976606771</v>
      </c>
      <c r="E17" s="637" t="s">
        <v>445</v>
      </c>
      <c r="F17" s="638">
        <v>70.970422671148242</v>
      </c>
      <c r="G17" s="643" t="s">
        <v>494</v>
      </c>
      <c r="H17" s="635">
        <f>'AcresYieldsPrices&amp;Water'!D14</f>
        <v>0</v>
      </c>
      <c r="I17" s="636" t="str">
        <f>IF('Sheet #13'!I4=0,"NA",'Sheet #13'!J112/'Sheet #13'!I4)</f>
        <v>NA</v>
      </c>
      <c r="J17" s="637" t="str">
        <f>'Sheet #13'!F4</f>
        <v>CWT</v>
      </c>
      <c r="K17" s="638" t="str">
        <f>IF('Sheet #13'!I4=0,"NA",'Sheet #13'!J112/'Sheet #13'!G4)</f>
        <v>NA</v>
      </c>
      <c r="L17" s="643" t="str">
        <f>'Sheet #13'!F4&amp;"s"</f>
        <v>CWTs</v>
      </c>
      <c r="M17" s="640">
        <f t="shared" si="4"/>
        <v>0</v>
      </c>
      <c r="N17" s="640" t="e">
        <f t="shared" si="5"/>
        <v>#VALUE!</v>
      </c>
      <c r="O17" s="641" t="e">
        <f t="shared" si="6"/>
        <v>#VALUE!</v>
      </c>
      <c r="P17" s="611"/>
      <c r="Q17" s="611"/>
      <c r="R17" s="661" t="str">
        <f>'AcresYieldsPrices&amp;Water'!F3</f>
        <v>Drip-tape</v>
      </c>
      <c r="S17" s="606">
        <v>0</v>
      </c>
      <c r="T17" s="670">
        <f>((('AcresYieldsPrices&amp;Water'!F$4*'AcresYieldsPrices&amp;Water'!D$4)*GeneralInputPrices!D20)+(('AcresYieldsPrices&amp;Water'!F$5*'AcresYieldsPrices&amp;Water'!D$5)*GeneralInputPrices!D20)+(('AcresYieldsPrices&amp;Water'!F$6*'AcresYieldsPrices&amp;Water'!D$6)*GeneralInputPrices!D20)+(('AcresYieldsPrices&amp;Water'!F$7*'AcresYieldsPrices&amp;Water'!D$7)*GeneralInputPrices!D20)+(('AcresYieldsPrices&amp;Water'!F$8*'AcresYieldsPrices&amp;Water'!D$8)*GeneralInputPrices!D20)+(('AcresYieldsPrices&amp;Water'!F$9*'AcresYieldsPrices&amp;Water'!D$9)*GeneralInputPrices!D20)+(('AcresYieldsPrices&amp;Water'!F$10*'AcresYieldsPrices&amp;Water'!D$10)*GeneralInputPrices!D20)+(('AcresYieldsPrices&amp;Water'!F$11*'AcresYieldsPrices&amp;Water'!D$11)*GeneralInputPrices!D20)+(('AcresYieldsPrices&amp;Water'!F$12*'AcresYieldsPrices&amp;Water'!D$12)*GeneralInputPrices!D20)+(('AcresYieldsPrices&amp;Water'!F$13*'AcresYieldsPrices&amp;Water'!D$13)*GeneralInputPrices!D20)+(('AcresYieldsPrices&amp;Water'!F$14*'AcresYieldsPrices&amp;Water'!D$14)*GeneralInputPrices!D20)+(('AcresYieldsPrices&amp;Water'!F$15*'AcresYieldsPrices&amp;Water'!D$15)*GeneralInputPrices!D20)+(('AcresYieldsPrices&amp;Water'!F$16*'AcresYieldsPrices&amp;Water'!D$16)*GeneralInputPrices!D20)+(('AcresYieldsPrices&amp;Water'!F$17*'AcresYieldsPrices&amp;Water'!D$17)*GeneralInputPrices!D20)+(('AcresYieldsPrices&amp;Water'!F$18*'AcresYieldsPrices&amp;Water'!D$18)*GeneralInputPrices!D20)+(('AcresYieldsPrices&amp;Water'!F$19*'AcresYieldsPrices&amp;Water'!D$19)*GeneralInputPrices!D20)+(('AcresYieldsPrices&amp;Water'!F$20*'AcresYieldsPrices&amp;Water'!D$20)*GeneralInputPrices!D20))</f>
        <v>0</v>
      </c>
      <c r="U17" s="668">
        <f t="shared" ref="U17:U18" si="7">T17-S17</f>
        <v>0</v>
      </c>
      <c r="V17" s="681"/>
      <c r="W17" s="611"/>
      <c r="X17" s="611"/>
      <c r="Y17" s="611"/>
      <c r="Z17" s="611"/>
      <c r="AA17" s="611"/>
      <c r="AB17" s="611"/>
      <c r="AC17" s="611"/>
      <c r="AD17" s="611"/>
      <c r="AE17" s="611"/>
      <c r="AF17" s="611"/>
      <c r="AG17" s="611"/>
      <c r="AH17" s="611"/>
      <c r="AI17" s="653"/>
      <c r="AJ17" s="653"/>
      <c r="AK17" s="653"/>
      <c r="AL17" s="653"/>
      <c r="AM17" s="653"/>
      <c r="AN17" s="653"/>
      <c r="AO17" s="653"/>
      <c r="AP17" s="653"/>
      <c r="AQ17" s="653"/>
      <c r="AR17" s="653"/>
      <c r="AS17" s="653"/>
      <c r="AT17" s="653"/>
      <c r="AU17" s="653"/>
      <c r="AV17" s="653"/>
      <c r="AW17" s="653"/>
      <c r="AX17" s="653"/>
      <c r="AY17" s="653"/>
      <c r="AZ17" s="653"/>
      <c r="BA17" s="653"/>
      <c r="BB17" s="653"/>
      <c r="BC17" s="653"/>
    </row>
    <row r="18" spans="1:55" ht="21">
      <c r="A18" s="611"/>
      <c r="B18" s="642" t="str">
        <f>'AcresYieldsPrices&amp;Water'!B15</f>
        <v>Alt Crop #1</v>
      </c>
      <c r="C18" s="635">
        <v>0</v>
      </c>
      <c r="D18" s="636" t="s">
        <v>415</v>
      </c>
      <c r="E18" s="637" t="s">
        <v>251</v>
      </c>
      <c r="F18" s="638" t="s">
        <v>415</v>
      </c>
      <c r="G18" s="643" t="s">
        <v>319</v>
      </c>
      <c r="H18" s="635">
        <f>'AcresYieldsPrices&amp;Water'!D15</f>
        <v>0</v>
      </c>
      <c r="I18" s="636" t="str">
        <f>IF('Sheet #14'!I4=0,"NA",'Sheet #14'!J114/'Sheet #14'!I4)</f>
        <v>NA</v>
      </c>
      <c r="J18" s="637" t="str">
        <f>'Sheet #14'!F4</f>
        <v>bushel</v>
      </c>
      <c r="K18" s="638" t="str">
        <f>IF('Sheet #14'!I4=0,"NA",'Sheet #14'!J114/'Sheet #14'!G4)</f>
        <v>NA</v>
      </c>
      <c r="L18" s="643" t="str">
        <f>'Sheet #14'!F4&amp;"s"</f>
        <v>bushels</v>
      </c>
      <c r="M18" s="640">
        <f t="shared" si="4"/>
        <v>0</v>
      </c>
      <c r="N18" s="640" t="str">
        <f t="shared" si="5"/>
        <v>NA</v>
      </c>
      <c r="O18" s="641" t="str">
        <f t="shared" si="6"/>
        <v>NA</v>
      </c>
      <c r="P18" s="611"/>
      <c r="Q18" s="611"/>
      <c r="R18" s="662" t="str">
        <f>'AcresYieldsPrices&amp;Water'!G3</f>
        <v>Sprinkler</v>
      </c>
      <c r="S18" s="607">
        <v>0</v>
      </c>
      <c r="T18" s="671">
        <f>((('AcresYieldsPrices&amp;Water'!G$4*'AcresYieldsPrices&amp;Water'!D$4)*GeneralInputPrices!D24)+(('AcresYieldsPrices&amp;Water'!G$5*'AcresYieldsPrices&amp;Water'!D$5)*GeneralInputPrices!D24)+(('AcresYieldsPrices&amp;Water'!G$6*'AcresYieldsPrices&amp;Water'!D$6)*GeneralInputPrices!D24)+(('AcresYieldsPrices&amp;Water'!G$7*'AcresYieldsPrices&amp;Water'!D$7)*GeneralInputPrices!D24)+(('AcresYieldsPrices&amp;Water'!G$8*'AcresYieldsPrices&amp;Water'!D$8)*GeneralInputPrices!D24)+(('AcresYieldsPrices&amp;Water'!G$9*'AcresYieldsPrices&amp;Water'!D$9)*GeneralInputPrices!D24)+(('AcresYieldsPrices&amp;Water'!G$10*'AcresYieldsPrices&amp;Water'!D$10)*GeneralInputPrices!D24)+(('AcresYieldsPrices&amp;Water'!G$11*'AcresYieldsPrices&amp;Water'!D$11)*GeneralInputPrices!D24)+(('AcresYieldsPrices&amp;Water'!G$12*'AcresYieldsPrices&amp;Water'!D$12)*GeneralInputPrices!D24)+(('AcresYieldsPrices&amp;Water'!G$13*'AcresYieldsPrices&amp;Water'!D$13)*GeneralInputPrices!D24)+(('AcresYieldsPrices&amp;Water'!G$14*'AcresYieldsPrices&amp;Water'!D$14)*GeneralInputPrices!D24)+(('AcresYieldsPrices&amp;Water'!G$15*'AcresYieldsPrices&amp;Water'!D$15)*GeneralInputPrices!D24)+(('AcresYieldsPrices&amp;Water'!G$16*'AcresYieldsPrices&amp;Water'!D$16)*GeneralInputPrices!D24)+(('AcresYieldsPrices&amp;Water'!G$17*'AcresYieldsPrices&amp;Water'!D$17)*GeneralInputPrices!D24)+(('AcresYieldsPrices&amp;Water'!G$18*'AcresYieldsPrices&amp;Water'!D$18)*GeneralInputPrices!D24)+(('AcresYieldsPrices&amp;Water'!G$19*'AcresYieldsPrices&amp;Water'!D$19)*GeneralInputPrices!D24)+(('AcresYieldsPrices&amp;Water'!G$20*'AcresYieldsPrices&amp;Water'!D$20)*GeneralInputPrices!D24))</f>
        <v>0</v>
      </c>
      <c r="U18" s="672">
        <f t="shared" si="7"/>
        <v>0</v>
      </c>
      <c r="V18" s="681"/>
      <c r="W18" s="611"/>
      <c r="X18" s="611"/>
      <c r="Y18" s="611"/>
      <c r="Z18" s="611"/>
      <c r="AA18" s="611"/>
      <c r="AB18" s="611"/>
      <c r="AC18" s="611"/>
      <c r="AD18" s="611"/>
      <c r="AE18" s="611"/>
      <c r="AF18" s="611"/>
      <c r="AG18" s="611"/>
      <c r="AH18" s="611"/>
      <c r="AI18" s="653"/>
      <c r="AJ18" s="653"/>
      <c r="AK18" s="653"/>
      <c r="AL18" s="653"/>
      <c r="AM18" s="653"/>
      <c r="AN18" s="653"/>
      <c r="AO18" s="653"/>
      <c r="AP18" s="653"/>
      <c r="AQ18" s="653"/>
      <c r="AR18" s="653"/>
      <c r="AS18" s="653"/>
      <c r="AT18" s="653"/>
      <c r="AU18" s="653"/>
      <c r="AV18" s="653"/>
      <c r="AW18" s="653"/>
      <c r="AX18" s="653"/>
      <c r="AY18" s="653"/>
      <c r="AZ18" s="653"/>
      <c r="BA18" s="653"/>
      <c r="BB18" s="653"/>
      <c r="BC18" s="653"/>
    </row>
    <row r="19" spans="1:55" ht="21">
      <c r="A19" s="611"/>
      <c r="B19" s="642" t="str">
        <f>'AcresYieldsPrices&amp;Water'!B16</f>
        <v>Alt Crop #2</v>
      </c>
      <c r="C19" s="635">
        <v>0</v>
      </c>
      <c r="D19" s="636" t="s">
        <v>415</v>
      </c>
      <c r="E19" s="637" t="s">
        <v>251</v>
      </c>
      <c r="F19" s="638" t="s">
        <v>415</v>
      </c>
      <c r="G19" s="643" t="s">
        <v>319</v>
      </c>
      <c r="H19" s="635">
        <f>'AcresYieldsPrices&amp;Water'!D16</f>
        <v>0</v>
      </c>
      <c r="I19" s="636" t="str">
        <f>IF('Sheet #15'!I4=0,"NA",'Sheet #15'!J115/'Sheet #15'!I4)</f>
        <v>NA</v>
      </c>
      <c r="J19" s="637" t="str">
        <f>'Sheet #15'!F4</f>
        <v>bushel</v>
      </c>
      <c r="K19" s="638" t="str">
        <f>IF('Sheet #15'!I4=0,"NA",'Sheet #15'!J115/'Sheet #15'!G4)</f>
        <v>NA</v>
      </c>
      <c r="L19" s="643" t="str">
        <f>'Sheet #15'!F4&amp;"s"</f>
        <v>bushels</v>
      </c>
      <c r="M19" s="640">
        <f t="shared" si="4"/>
        <v>0</v>
      </c>
      <c r="N19" s="640" t="str">
        <f t="shared" si="5"/>
        <v>NA</v>
      </c>
      <c r="O19" s="641" t="str">
        <f t="shared" si="6"/>
        <v>NA</v>
      </c>
      <c r="P19" s="611"/>
      <c r="Q19" s="611"/>
      <c r="R19" s="660"/>
      <c r="S19" s="673"/>
      <c r="T19" s="653"/>
      <c r="U19" s="674"/>
      <c r="V19" s="681"/>
      <c r="W19" s="611"/>
      <c r="X19" s="611"/>
      <c r="Y19" s="611"/>
      <c r="Z19" s="611"/>
      <c r="AA19" s="611"/>
      <c r="AB19" s="611"/>
      <c r="AC19" s="611"/>
      <c r="AD19" s="611"/>
      <c r="AE19" s="611"/>
      <c r="AF19" s="611"/>
      <c r="AG19" s="611"/>
      <c r="AH19" s="611"/>
      <c r="AI19" s="653"/>
      <c r="AJ19" s="653"/>
      <c r="AK19" s="653"/>
      <c r="AL19" s="653"/>
      <c r="AM19" s="653"/>
      <c r="AN19" s="653"/>
      <c r="AO19" s="653"/>
      <c r="AP19" s="653"/>
      <c r="AQ19" s="653"/>
      <c r="AR19" s="653"/>
      <c r="AS19" s="653"/>
      <c r="AT19" s="653"/>
      <c r="AU19" s="653"/>
      <c r="AV19" s="653"/>
      <c r="AW19" s="653"/>
      <c r="AX19" s="653"/>
      <c r="AY19" s="653"/>
      <c r="AZ19" s="653"/>
      <c r="BA19" s="653"/>
      <c r="BB19" s="653"/>
      <c r="BC19" s="653"/>
    </row>
    <row r="20" spans="1:55" ht="20.100000000000001" customHeight="1">
      <c r="A20" s="611"/>
      <c r="B20" s="642" t="str">
        <f>'AcresYieldsPrices&amp;Water'!B17</f>
        <v>Alt Crop #3</v>
      </c>
      <c r="C20" s="635">
        <v>0</v>
      </c>
      <c r="D20" s="636" t="s">
        <v>415</v>
      </c>
      <c r="E20" s="637" t="s">
        <v>251</v>
      </c>
      <c r="F20" s="638" t="s">
        <v>415</v>
      </c>
      <c r="G20" s="643" t="s">
        <v>319</v>
      </c>
      <c r="H20" s="635">
        <f>'AcresYieldsPrices&amp;Water'!D17</f>
        <v>0</v>
      </c>
      <c r="I20" s="636" t="str">
        <f>IF('Sheet #16'!I4=0,"NA",'Sheet #16'!J114/'Sheet #16'!I4)</f>
        <v>NA</v>
      </c>
      <c r="J20" s="637" t="str">
        <f>'Sheet #16'!F4</f>
        <v>bushel</v>
      </c>
      <c r="K20" s="638" t="str">
        <f>IF('Sheet #16'!I4=0,"NA",'Sheet #16'!J114/'Sheet #16'!G4)</f>
        <v>NA</v>
      </c>
      <c r="L20" s="643" t="str">
        <f>'Sheet #16'!F4&amp;"s"</f>
        <v>bushels</v>
      </c>
      <c r="M20" s="640">
        <f t="shared" si="4"/>
        <v>0</v>
      </c>
      <c r="N20" s="640" t="str">
        <f t="shared" si="5"/>
        <v>NA</v>
      </c>
      <c r="O20" s="641" t="str">
        <f t="shared" si="6"/>
        <v>NA</v>
      </c>
      <c r="P20" s="611"/>
      <c r="Q20" s="611"/>
      <c r="R20" s="675" t="s">
        <v>528</v>
      </c>
      <c r="S20" s="675"/>
      <c r="T20" s="675"/>
      <c r="U20" s="675"/>
      <c r="V20" s="682"/>
      <c r="W20" s="611"/>
      <c r="X20" s="611"/>
      <c r="Y20" s="611"/>
      <c r="Z20" s="611"/>
      <c r="AA20" s="611"/>
      <c r="AB20" s="611"/>
      <c r="AC20" s="611"/>
      <c r="AD20" s="611"/>
      <c r="AE20" s="611"/>
      <c r="AF20" s="611"/>
      <c r="AG20" s="611"/>
      <c r="AH20" s="611"/>
      <c r="AI20" s="653"/>
      <c r="AJ20" s="653"/>
      <c r="AK20" s="653"/>
      <c r="AL20" s="653"/>
      <c r="AM20" s="653"/>
      <c r="AN20" s="653"/>
      <c r="AO20" s="653"/>
      <c r="AP20" s="653"/>
      <c r="AQ20" s="653"/>
      <c r="AR20" s="653"/>
      <c r="AS20" s="653"/>
      <c r="AT20" s="653"/>
      <c r="AU20" s="653"/>
      <c r="AV20" s="653"/>
      <c r="AW20" s="653"/>
      <c r="AX20" s="653"/>
      <c r="AY20" s="653"/>
      <c r="AZ20" s="653"/>
      <c r="BA20" s="653"/>
      <c r="BB20" s="653"/>
      <c r="BC20" s="653"/>
    </row>
    <row r="21" spans="1:55" ht="20.100000000000001" customHeight="1">
      <c r="A21" s="611"/>
      <c r="B21" s="642" t="str">
        <f>'AcresYieldsPrices&amp;Water'!B18</f>
        <v>Alt Crop #4</v>
      </c>
      <c r="C21" s="635">
        <v>0</v>
      </c>
      <c r="D21" s="636" t="s">
        <v>415</v>
      </c>
      <c r="E21" s="637" t="s">
        <v>251</v>
      </c>
      <c r="F21" s="638" t="s">
        <v>415</v>
      </c>
      <c r="G21" s="643" t="s">
        <v>319</v>
      </c>
      <c r="H21" s="635">
        <f>'AcresYieldsPrices&amp;Water'!D18</f>
        <v>0</v>
      </c>
      <c r="I21" s="636" t="str">
        <f>IF('Sheet #17'!I4=0,"NA",'Sheet #17'!J114/'Sheet #17'!I4)</f>
        <v>NA</v>
      </c>
      <c r="J21" s="637" t="str">
        <f>'Sheet #17'!F4</f>
        <v>bushel</v>
      </c>
      <c r="K21" s="638" t="str">
        <f>IF('Sheet #17'!I4=0,"NA",'Sheet #17'!J114/'Sheet #17'!G4)</f>
        <v>NA</v>
      </c>
      <c r="L21" s="643" t="str">
        <f>'Sheet #17'!F4&amp;"s"</f>
        <v>bushels</v>
      </c>
      <c r="M21" s="640">
        <f t="shared" si="4"/>
        <v>0</v>
      </c>
      <c r="N21" s="640" t="str">
        <f t="shared" si="5"/>
        <v>NA</v>
      </c>
      <c r="O21" s="641" t="str">
        <f t="shared" si="6"/>
        <v>NA</v>
      </c>
      <c r="P21" s="611"/>
      <c r="Q21" s="611"/>
      <c r="R21" s="675"/>
      <c r="S21" s="675"/>
      <c r="T21" s="675"/>
      <c r="U21" s="675"/>
      <c r="V21" s="682"/>
      <c r="W21" s="611"/>
      <c r="X21" s="611"/>
      <c r="Y21" s="611"/>
      <c r="Z21" s="611"/>
      <c r="AA21" s="611"/>
      <c r="AB21" s="611"/>
      <c r="AC21" s="611"/>
      <c r="AD21" s="611"/>
      <c r="AE21" s="611"/>
      <c r="AF21" s="611"/>
      <c r="AG21" s="611"/>
      <c r="AH21" s="611"/>
      <c r="AI21" s="653"/>
      <c r="AJ21" s="653"/>
      <c r="AK21" s="653"/>
      <c r="AL21" s="653"/>
      <c r="AM21" s="653"/>
      <c r="AN21" s="653"/>
      <c r="AO21" s="653"/>
      <c r="AP21" s="653"/>
      <c r="AQ21" s="653"/>
      <c r="AR21" s="653"/>
      <c r="AS21" s="653"/>
      <c r="AT21" s="653"/>
      <c r="AU21" s="653"/>
      <c r="AV21" s="653"/>
      <c r="AW21" s="653"/>
      <c r="AX21" s="653"/>
      <c r="AY21" s="653"/>
      <c r="AZ21" s="653"/>
      <c r="BA21" s="653"/>
      <c r="BB21" s="653"/>
      <c r="BC21" s="653"/>
    </row>
    <row r="22" spans="1:55" ht="21">
      <c r="A22" s="611"/>
      <c r="B22" s="642" t="str">
        <f>'AcresYieldsPrices&amp;Water'!B19</f>
        <v>Alfalfa Hay Estab.</v>
      </c>
      <c r="C22" s="635">
        <v>75</v>
      </c>
      <c r="D22" s="636">
        <v>226.5747923782445</v>
      </c>
      <c r="E22" s="637" t="s">
        <v>252</v>
      </c>
      <c r="F22" s="638">
        <v>7.7035429408603129</v>
      </c>
      <c r="G22" s="643" t="s">
        <v>378</v>
      </c>
      <c r="H22" s="635">
        <f>'AcresYieldsPrices&amp;Water'!D19</f>
        <v>0</v>
      </c>
      <c r="I22" s="636" t="str">
        <f>IF(AlfalfaHayEst!I4=0,"NA",AlfalfaHayEst!J114/AlfalfaHayEst!I4)</f>
        <v>NA</v>
      </c>
      <c r="J22" s="637" t="str">
        <f>AlfalfaHayEst!F4</f>
        <v>ton</v>
      </c>
      <c r="K22" s="638" t="str">
        <f>IF(AlfalfaHayEst!I4=0,"NA",AlfalfaHayEst!J114/AlfalfaHayEst!G4)</f>
        <v>NA</v>
      </c>
      <c r="L22" s="643" t="str">
        <f>AlfalfaHayEst!F4&amp;"s"</f>
        <v>tons</v>
      </c>
      <c r="M22" s="640">
        <f t="shared" si="4"/>
        <v>0</v>
      </c>
      <c r="N22" s="640" t="e">
        <f t="shared" si="5"/>
        <v>#VALUE!</v>
      </c>
      <c r="O22" s="641" t="e">
        <f t="shared" si="6"/>
        <v>#VALUE!</v>
      </c>
      <c r="P22" s="611"/>
      <c r="Q22" s="611"/>
      <c r="R22" s="611"/>
      <c r="S22" s="611"/>
      <c r="T22" s="611"/>
      <c r="U22" s="611"/>
      <c r="V22" s="611"/>
      <c r="W22" s="611"/>
      <c r="X22" s="611"/>
      <c r="Y22" s="611"/>
      <c r="Z22" s="611"/>
      <c r="AA22" s="611"/>
      <c r="AB22" s="611"/>
      <c r="AC22" s="611"/>
      <c r="AD22" s="611"/>
      <c r="AE22" s="611"/>
      <c r="AF22" s="611"/>
      <c r="AG22" s="611"/>
      <c r="AH22" s="611"/>
      <c r="AI22" s="653"/>
      <c r="AJ22" s="653"/>
      <c r="AK22" s="653"/>
      <c r="AL22" s="653"/>
      <c r="AM22" s="653"/>
      <c r="AN22" s="653"/>
      <c r="AO22" s="653"/>
      <c r="AP22" s="653"/>
      <c r="AQ22" s="653"/>
      <c r="AR22" s="653"/>
      <c r="AS22" s="653"/>
      <c r="AT22" s="653"/>
      <c r="AU22" s="653"/>
      <c r="AV22" s="653"/>
      <c r="AW22" s="653"/>
      <c r="AX22" s="653"/>
      <c r="AY22" s="653"/>
      <c r="AZ22" s="653"/>
      <c r="BA22" s="653"/>
      <c r="BB22" s="653"/>
      <c r="BC22" s="653"/>
    </row>
    <row r="23" spans="1:55" ht="20.100000000000001" customHeight="1">
      <c r="A23" s="611"/>
      <c r="B23" s="626" t="str">
        <f>'AcresYieldsPrices&amp;Water'!B20</f>
        <v>Alfalfa Hay Prod.</v>
      </c>
      <c r="C23" s="646">
        <v>225.00000000000003</v>
      </c>
      <c r="D23" s="647">
        <v>220.87888191283707</v>
      </c>
      <c r="E23" s="648" t="s">
        <v>252</v>
      </c>
      <c r="F23" s="649">
        <v>7.5098819850364604</v>
      </c>
      <c r="G23" s="648" t="s">
        <v>378</v>
      </c>
      <c r="H23" s="646">
        <f>'AcresYieldsPrices&amp;Water'!D20</f>
        <v>0</v>
      </c>
      <c r="I23" s="647" t="str">
        <f>IF(AlfalfaHayProd!I4=0,"NA",AlfalfaHayProd!J115/AlfalfaHayProd!I4)</f>
        <v>NA</v>
      </c>
      <c r="J23" s="648" t="str">
        <f>AlfalfaHayProd!F4</f>
        <v>ton</v>
      </c>
      <c r="K23" s="649" t="str">
        <f>IF(AlfalfaHayProd!I4=0,"NA",AlfalfaHayProd!J115/AlfalfaHayProd!G4)</f>
        <v>NA</v>
      </c>
      <c r="L23" s="648" t="str">
        <f>AlfalfaHayProd!F4&amp;"s"</f>
        <v>tons</v>
      </c>
      <c r="M23" s="650">
        <f t="shared" si="4"/>
        <v>0</v>
      </c>
      <c r="N23" s="650" t="e">
        <f t="shared" si="5"/>
        <v>#VALUE!</v>
      </c>
      <c r="O23" s="651" t="e">
        <f t="shared" si="6"/>
        <v>#VALUE!</v>
      </c>
      <c r="P23" s="611"/>
      <c r="Q23" s="611"/>
      <c r="R23" s="676" t="s">
        <v>536</v>
      </c>
      <c r="S23" s="676"/>
      <c r="T23" s="676"/>
      <c r="U23" s="676"/>
      <c r="V23" s="683"/>
      <c r="W23" s="611"/>
      <c r="X23" s="611"/>
      <c r="Y23" s="611"/>
      <c r="Z23" s="611"/>
      <c r="AA23" s="611"/>
      <c r="AB23" s="611"/>
      <c r="AC23" s="611"/>
      <c r="AD23" s="611"/>
      <c r="AE23" s="611"/>
      <c r="AF23" s="611"/>
      <c r="AG23" s="611"/>
      <c r="AH23" s="611"/>
      <c r="AI23" s="653"/>
      <c r="AJ23" s="653"/>
      <c r="AK23" s="653"/>
      <c r="AL23" s="653"/>
      <c r="AM23" s="653"/>
      <c r="AN23" s="653"/>
      <c r="AO23" s="653"/>
      <c r="AP23" s="653"/>
      <c r="AQ23" s="653"/>
      <c r="AR23" s="653"/>
      <c r="AS23" s="653"/>
      <c r="AT23" s="653"/>
      <c r="AU23" s="653"/>
      <c r="AV23" s="653"/>
      <c r="AW23" s="653"/>
      <c r="AX23" s="653"/>
      <c r="AY23" s="653"/>
      <c r="AZ23" s="653"/>
      <c r="BA23" s="653"/>
      <c r="BB23" s="653"/>
      <c r="BC23" s="653"/>
    </row>
    <row r="24" spans="1:55" ht="15.9" customHeight="1" thickBot="1">
      <c r="A24" s="611"/>
      <c r="B24" s="611"/>
      <c r="C24" s="611"/>
      <c r="D24" s="611"/>
      <c r="E24" s="611"/>
      <c r="F24" s="611"/>
      <c r="G24" s="611"/>
      <c r="H24" s="611"/>
      <c r="I24" s="611"/>
      <c r="J24" s="611"/>
      <c r="K24" s="611"/>
      <c r="L24" s="611"/>
      <c r="M24" s="611"/>
      <c r="N24" s="611"/>
      <c r="O24" s="611"/>
      <c r="P24" s="611"/>
      <c r="Q24" s="611"/>
      <c r="R24" s="677"/>
      <c r="S24" s="677"/>
      <c r="T24" s="677"/>
      <c r="U24" s="677"/>
      <c r="V24" s="683"/>
      <c r="W24" s="611"/>
      <c r="X24" s="611"/>
      <c r="Y24" s="611"/>
      <c r="Z24" s="611"/>
      <c r="AA24" s="611"/>
      <c r="AB24" s="611"/>
      <c r="AC24" s="611"/>
      <c r="AD24" s="611"/>
      <c r="AE24" s="611"/>
      <c r="AF24" s="611"/>
      <c r="AG24" s="611"/>
      <c r="AH24" s="611"/>
      <c r="AI24" s="653"/>
      <c r="AJ24" s="653"/>
      <c r="AK24" s="653"/>
      <c r="AL24" s="653"/>
      <c r="AM24" s="653"/>
      <c r="AN24" s="653"/>
      <c r="AO24" s="653"/>
      <c r="AP24" s="653"/>
      <c r="AQ24" s="653"/>
      <c r="AR24" s="653"/>
      <c r="AS24" s="653"/>
      <c r="AT24" s="653"/>
      <c r="AU24" s="653"/>
      <c r="AV24" s="653"/>
      <c r="AW24" s="653"/>
      <c r="AX24" s="653"/>
      <c r="AY24" s="653"/>
      <c r="AZ24" s="653"/>
      <c r="BA24" s="653"/>
      <c r="BB24" s="653"/>
      <c r="BC24" s="653"/>
    </row>
    <row r="25" spans="1:55" ht="21">
      <c r="A25" s="611"/>
      <c r="B25" s="611"/>
      <c r="C25" s="652" t="s">
        <v>527</v>
      </c>
      <c r="D25" s="652"/>
      <c r="E25" s="652"/>
      <c r="F25" s="652"/>
      <c r="G25" s="652"/>
      <c r="H25" s="652"/>
      <c r="I25" s="652"/>
      <c r="J25" s="652"/>
      <c r="K25" s="652"/>
      <c r="L25" s="652"/>
      <c r="M25" s="652"/>
      <c r="N25" s="652"/>
      <c r="O25" s="652"/>
      <c r="P25" s="611"/>
      <c r="Q25" s="611"/>
      <c r="R25" s="591"/>
      <c r="S25" s="592" t="s">
        <v>10</v>
      </c>
      <c r="T25" s="592" t="s">
        <v>10</v>
      </c>
      <c r="U25" s="608" t="s">
        <v>10</v>
      </c>
      <c r="V25" s="684"/>
      <c r="W25" s="611"/>
      <c r="X25" s="611"/>
      <c r="Y25" s="611"/>
      <c r="Z25" s="611"/>
      <c r="AA25" s="611"/>
      <c r="AB25" s="611"/>
      <c r="AC25" s="611"/>
      <c r="AD25" s="611"/>
      <c r="AE25" s="611"/>
      <c r="AF25" s="611"/>
      <c r="AG25" s="611"/>
      <c r="AH25" s="611"/>
      <c r="AI25" s="653"/>
      <c r="AJ25" s="653"/>
      <c r="AK25" s="653"/>
      <c r="AL25" s="653"/>
      <c r="AM25" s="653"/>
      <c r="AN25" s="653"/>
      <c r="AO25" s="653"/>
      <c r="AP25" s="653"/>
      <c r="AQ25" s="653"/>
      <c r="AR25" s="653"/>
      <c r="AS25" s="653"/>
      <c r="AT25" s="653"/>
      <c r="AU25" s="653"/>
      <c r="AV25" s="653"/>
      <c r="AW25" s="653"/>
      <c r="AX25" s="653"/>
      <c r="AY25" s="653"/>
      <c r="AZ25" s="653"/>
      <c r="BA25" s="653"/>
      <c r="BB25" s="653"/>
      <c r="BC25" s="653"/>
    </row>
    <row r="26" spans="1:55" ht="21">
      <c r="A26" s="611"/>
      <c r="B26" s="611"/>
      <c r="C26" s="611"/>
      <c r="D26" s="611"/>
      <c r="E26" s="611"/>
      <c r="F26" s="611"/>
      <c r="G26" s="611"/>
      <c r="H26" s="611"/>
      <c r="I26" s="611"/>
      <c r="J26" s="611"/>
      <c r="K26" s="611"/>
      <c r="L26" s="611"/>
      <c r="M26" s="611"/>
      <c r="N26" s="611"/>
      <c r="O26" s="611"/>
      <c r="P26" s="611"/>
      <c r="Q26" s="611"/>
      <c r="R26" s="593"/>
      <c r="S26" s="594" t="s">
        <v>10</v>
      </c>
      <c r="T26" s="594" t="s">
        <v>10</v>
      </c>
      <c r="U26" s="609"/>
      <c r="V26" s="660"/>
      <c r="W26" s="611"/>
      <c r="X26" s="611"/>
      <c r="Y26" s="611"/>
      <c r="Z26" s="611"/>
      <c r="AA26" s="611"/>
      <c r="AB26" s="611"/>
      <c r="AC26" s="611"/>
      <c r="AD26" s="611"/>
      <c r="AE26" s="611"/>
      <c r="AF26" s="611"/>
      <c r="AG26" s="611"/>
      <c r="AH26" s="611"/>
      <c r="AI26" s="653"/>
      <c r="AJ26" s="653"/>
      <c r="AK26" s="653"/>
      <c r="AL26" s="653"/>
      <c r="AM26" s="653"/>
      <c r="AN26" s="653"/>
      <c r="AO26" s="653"/>
      <c r="AP26" s="653"/>
      <c r="AQ26" s="653"/>
      <c r="AR26" s="653"/>
      <c r="AS26" s="653"/>
      <c r="AT26" s="653"/>
      <c r="AU26" s="653"/>
      <c r="AV26" s="653"/>
      <c r="AW26" s="653"/>
      <c r="AX26" s="653"/>
      <c r="AY26" s="653"/>
      <c r="AZ26" s="653"/>
      <c r="BA26" s="653"/>
      <c r="BB26" s="653"/>
      <c r="BC26" s="653"/>
    </row>
    <row r="27" spans="1:55" ht="21">
      <c r="A27" s="611"/>
      <c r="B27" s="611"/>
      <c r="C27" s="611"/>
      <c r="D27" s="611"/>
      <c r="E27" s="611"/>
      <c r="F27" s="611"/>
      <c r="G27" s="611"/>
      <c r="H27" s="611"/>
      <c r="I27" s="611"/>
      <c r="J27" s="611"/>
      <c r="K27" s="611"/>
      <c r="L27" s="611"/>
      <c r="M27" s="611"/>
      <c r="N27" s="611"/>
      <c r="O27" s="611"/>
      <c r="P27" s="611"/>
      <c r="Q27" s="611"/>
      <c r="R27" s="593" t="s">
        <v>10</v>
      </c>
      <c r="S27" s="594" t="s">
        <v>10</v>
      </c>
      <c r="T27" s="595" t="s">
        <v>10</v>
      </c>
      <c r="U27" s="596" t="s">
        <v>10</v>
      </c>
      <c r="V27" s="660"/>
      <c r="W27" s="611"/>
      <c r="X27" s="611"/>
      <c r="Y27" s="611"/>
      <c r="Z27" s="611"/>
      <c r="AA27" s="611"/>
      <c r="AB27" s="611"/>
      <c r="AC27" s="611"/>
      <c r="AD27" s="611"/>
      <c r="AE27" s="611"/>
      <c r="AF27" s="611"/>
      <c r="AG27" s="611"/>
      <c r="AH27" s="611"/>
      <c r="AI27" s="653"/>
      <c r="AJ27" s="653"/>
      <c r="AK27" s="653"/>
      <c r="AL27" s="653"/>
      <c r="AM27" s="653"/>
      <c r="AN27" s="653"/>
      <c r="AO27" s="653"/>
      <c r="AP27" s="653"/>
      <c r="AQ27" s="653"/>
      <c r="AR27" s="653"/>
      <c r="AS27" s="653"/>
      <c r="AT27" s="653"/>
      <c r="AU27" s="653"/>
      <c r="AV27" s="653"/>
      <c r="AW27" s="653"/>
      <c r="AX27" s="653"/>
      <c r="AY27" s="653"/>
      <c r="AZ27" s="653"/>
      <c r="BA27" s="653"/>
      <c r="BB27" s="653"/>
      <c r="BC27" s="653"/>
    </row>
    <row r="28" spans="1:55" ht="21">
      <c r="A28" s="611"/>
      <c r="B28" s="611"/>
      <c r="C28" s="611"/>
      <c r="D28" s="611"/>
      <c r="E28" s="611"/>
      <c r="F28" s="611"/>
      <c r="G28" s="611"/>
      <c r="H28" s="611"/>
      <c r="I28" s="611"/>
      <c r="J28" s="611"/>
      <c r="K28" s="611"/>
      <c r="L28" s="611"/>
      <c r="M28" s="611"/>
      <c r="N28" s="611"/>
      <c r="O28" s="611"/>
      <c r="P28" s="611"/>
      <c r="Q28" s="611"/>
      <c r="R28" s="593" t="s">
        <v>10</v>
      </c>
      <c r="S28" s="594" t="s">
        <v>10</v>
      </c>
      <c r="T28" s="595" t="s">
        <v>10</v>
      </c>
      <c r="U28" s="597"/>
      <c r="V28" s="660"/>
      <c r="W28" s="611"/>
      <c r="X28" s="611"/>
      <c r="Y28" s="611"/>
      <c r="Z28" s="611"/>
      <c r="AA28" s="611"/>
      <c r="AB28" s="611"/>
      <c r="AC28" s="611"/>
      <c r="AD28" s="611"/>
      <c r="AE28" s="611"/>
      <c r="AF28" s="611"/>
      <c r="AG28" s="611"/>
      <c r="AH28" s="611"/>
      <c r="AI28" s="653"/>
      <c r="AJ28" s="653"/>
      <c r="AK28" s="653"/>
      <c r="AL28" s="653"/>
      <c r="AM28" s="653"/>
      <c r="AN28" s="653"/>
      <c r="AO28" s="653"/>
      <c r="AP28" s="653"/>
      <c r="AQ28" s="653"/>
      <c r="AR28" s="653"/>
      <c r="AS28" s="653"/>
      <c r="AT28" s="653"/>
      <c r="AU28" s="653"/>
      <c r="AV28" s="653"/>
      <c r="AW28" s="653"/>
      <c r="AX28" s="653"/>
      <c r="AY28" s="653"/>
      <c r="AZ28" s="653"/>
      <c r="BA28" s="653"/>
      <c r="BB28" s="653"/>
      <c r="BC28" s="653"/>
    </row>
    <row r="29" spans="1:55" ht="23.1" customHeight="1" thickBot="1">
      <c r="A29" s="611"/>
      <c r="B29" s="611"/>
      <c r="C29" s="611"/>
      <c r="D29" s="611"/>
      <c r="E29" s="611"/>
      <c r="F29" s="611"/>
      <c r="G29" s="611"/>
      <c r="H29" s="611"/>
      <c r="I29" s="611"/>
      <c r="J29" s="611"/>
      <c r="K29" s="653"/>
      <c r="L29" s="653"/>
      <c r="M29" s="653"/>
      <c r="N29" s="653"/>
      <c r="O29" s="653"/>
      <c r="P29" s="611"/>
      <c r="Q29" s="611"/>
      <c r="R29" s="598"/>
      <c r="S29" s="599"/>
      <c r="T29" s="600" t="s">
        <v>10</v>
      </c>
      <c r="U29" s="601"/>
      <c r="V29" s="660"/>
      <c r="W29" s="611"/>
      <c r="X29" s="611"/>
      <c r="Y29" s="611"/>
      <c r="Z29" s="611"/>
      <c r="AA29" s="611"/>
      <c r="AB29" s="611"/>
      <c r="AC29" s="611"/>
      <c r="AD29" s="611"/>
      <c r="AE29" s="611"/>
      <c r="AF29" s="611"/>
      <c r="AG29" s="611"/>
      <c r="AH29" s="611"/>
      <c r="AI29" s="653"/>
      <c r="AJ29" s="653"/>
      <c r="AK29" s="653"/>
      <c r="AL29" s="653"/>
      <c r="AM29" s="653"/>
      <c r="AN29" s="653"/>
      <c r="AO29" s="653"/>
      <c r="AP29" s="653"/>
      <c r="AQ29" s="653"/>
      <c r="AR29" s="653"/>
      <c r="AS29" s="653"/>
      <c r="AT29" s="653"/>
      <c r="AU29" s="653"/>
      <c r="AV29" s="653"/>
      <c r="AW29" s="653"/>
      <c r="AX29" s="653"/>
      <c r="AY29" s="653"/>
      <c r="AZ29" s="653"/>
      <c r="BA29" s="653"/>
      <c r="BB29" s="653"/>
      <c r="BC29" s="653"/>
    </row>
    <row r="30" spans="1:55">
      <c r="A30" s="611"/>
      <c r="B30" s="611"/>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53"/>
      <c r="AJ30" s="653"/>
      <c r="AK30" s="653"/>
      <c r="AL30" s="653"/>
      <c r="AM30" s="653"/>
      <c r="AN30" s="653"/>
      <c r="AO30" s="653"/>
      <c r="AP30" s="653"/>
      <c r="AQ30" s="653"/>
      <c r="AR30" s="653"/>
      <c r="AS30" s="653"/>
      <c r="AT30" s="653"/>
      <c r="AU30" s="653"/>
      <c r="AV30" s="653"/>
      <c r="AW30" s="653"/>
      <c r="AX30" s="653"/>
      <c r="AY30" s="653"/>
      <c r="AZ30" s="653"/>
      <c r="BA30" s="653"/>
      <c r="BB30" s="653"/>
      <c r="BC30" s="653"/>
    </row>
    <row r="31" spans="1:55">
      <c r="A31" s="611"/>
      <c r="B31" s="611"/>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53"/>
      <c r="AJ31" s="653"/>
      <c r="AK31" s="653"/>
      <c r="AL31" s="653"/>
      <c r="AM31" s="653"/>
      <c r="AN31" s="653"/>
      <c r="AO31" s="653"/>
      <c r="AP31" s="653"/>
      <c r="AQ31" s="653"/>
      <c r="AR31" s="653"/>
      <c r="AS31" s="653"/>
      <c r="AT31" s="653"/>
      <c r="AU31" s="653"/>
      <c r="AV31" s="653"/>
      <c r="AW31" s="653"/>
      <c r="AX31" s="653"/>
      <c r="AY31" s="653"/>
      <c r="AZ31" s="653"/>
      <c r="BA31" s="653"/>
      <c r="BB31" s="653"/>
      <c r="BC31" s="653"/>
    </row>
    <row r="32" spans="1:55" s="263" customFormat="1">
      <c r="A32" s="611"/>
      <c r="B32" s="611"/>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row>
    <row r="33" spans="1:55" s="263" customFormat="1">
      <c r="A33" s="611"/>
      <c r="B33" s="611"/>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row>
    <row r="34" spans="1:55" s="263" customFormat="1" ht="18" customHeight="1">
      <c r="A34" s="611"/>
      <c r="B34" s="611"/>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row>
    <row r="35" spans="1:55" s="263" customFormat="1" ht="18" customHeight="1">
      <c r="A35" s="611"/>
      <c r="B35" s="611"/>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row>
    <row r="36" spans="1:55" s="263" customFormat="1" ht="18" customHeight="1">
      <c r="A36" s="611"/>
      <c r="B36" s="611"/>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c r="AP36" s="611"/>
      <c r="AQ36" s="611"/>
      <c r="AR36" s="611"/>
      <c r="AS36" s="611"/>
      <c r="AT36" s="611"/>
      <c r="AU36" s="611"/>
      <c r="AV36" s="611"/>
      <c r="AW36" s="611"/>
      <c r="AX36" s="611"/>
      <c r="AY36" s="611"/>
      <c r="AZ36" s="611"/>
      <c r="BA36" s="611"/>
      <c r="BB36" s="611"/>
      <c r="BC36" s="611"/>
    </row>
    <row r="37" spans="1:55" s="263" customFormat="1" ht="18" customHeight="1">
      <c r="A37" s="611"/>
      <c r="B37" s="611"/>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row>
    <row r="38" spans="1:55" s="263" customFormat="1" ht="18" customHeight="1">
      <c r="A38" s="611"/>
      <c r="B38" s="611"/>
      <c r="C38" s="611"/>
      <c r="D38" s="611"/>
      <c r="E38" s="611"/>
      <c r="F38" s="611"/>
      <c r="G38" s="611"/>
      <c r="H38" s="611"/>
      <c r="I38" s="611"/>
      <c r="J38" s="611"/>
      <c r="K38" s="611"/>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row>
    <row r="39" spans="1:55" s="263" customFormat="1" ht="18" customHeight="1">
      <c r="A39" s="611"/>
      <c r="B39" s="611"/>
      <c r="C39" s="611"/>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row>
    <row r="40" spans="1:55" s="263" customFormat="1">
      <c r="A40" s="611"/>
      <c r="B40" s="611"/>
      <c r="C40" s="611"/>
      <c r="D40" s="611"/>
      <c r="E40" s="611"/>
      <c r="F40" s="611"/>
      <c r="G40" s="611"/>
      <c r="H40" s="611"/>
      <c r="I40" s="611"/>
      <c r="J40" s="611"/>
      <c r="K40" s="611"/>
      <c r="L40" s="611"/>
      <c r="M40" s="611"/>
      <c r="N40" s="611"/>
      <c r="O40" s="611"/>
      <c r="P40" s="611"/>
      <c r="Q40" s="611"/>
      <c r="R40" s="611"/>
      <c r="S40" s="611"/>
      <c r="T40" s="611"/>
      <c r="U40" s="611"/>
      <c r="V40" s="611"/>
      <c r="W40" s="611"/>
      <c r="X40" s="611"/>
      <c r="Y40" s="611"/>
      <c r="Z40" s="611"/>
      <c r="AA40" s="611"/>
      <c r="AB40" s="611"/>
      <c r="AC40" s="611"/>
      <c r="AD40" s="611"/>
      <c r="AE40" s="611"/>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row>
    <row r="41" spans="1:55" s="263" customFormat="1">
      <c r="A41" s="611"/>
      <c r="B41" s="611"/>
      <c r="C41" s="611"/>
      <c r="D41" s="611"/>
      <c r="E41" s="611"/>
      <c r="F41" s="611"/>
      <c r="G41" s="611"/>
      <c r="H41" s="611"/>
      <c r="I41" s="611"/>
      <c r="J41" s="611"/>
      <c r="K41" s="611"/>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1"/>
      <c r="AZ41" s="611"/>
      <c r="BA41" s="611"/>
      <c r="BB41" s="611"/>
      <c r="BC41" s="611"/>
    </row>
    <row r="42" spans="1:55" s="263" customFormat="1" ht="20.100000000000001" customHeight="1">
      <c r="A42" s="611"/>
      <c r="B42" s="611"/>
      <c r="C42" s="611"/>
      <c r="D42" s="611"/>
      <c r="E42" s="611"/>
      <c r="F42" s="611"/>
      <c r="G42" s="611"/>
      <c r="H42" s="611"/>
      <c r="I42" s="611"/>
      <c r="J42" s="611"/>
      <c r="K42" s="611"/>
      <c r="L42" s="611"/>
      <c r="M42" s="611"/>
      <c r="N42" s="611"/>
      <c r="O42" s="611"/>
      <c r="P42" s="611"/>
      <c r="Q42" s="611"/>
      <c r="R42" s="611"/>
      <c r="S42" s="611"/>
      <c r="T42" s="611"/>
      <c r="U42" s="611"/>
      <c r="V42" s="611"/>
      <c r="W42" s="611"/>
      <c r="X42" s="611"/>
      <c r="Y42" s="611"/>
      <c r="Z42" s="611"/>
      <c r="AA42" s="611"/>
      <c r="AB42" s="611"/>
      <c r="AC42" s="611"/>
      <c r="AD42" s="611"/>
      <c r="AE42" s="611"/>
      <c r="AF42" s="611"/>
      <c r="AG42" s="611"/>
      <c r="AH42" s="611"/>
      <c r="AI42" s="611"/>
      <c r="AJ42" s="611"/>
      <c r="AK42" s="611"/>
      <c r="AL42" s="611"/>
      <c r="AM42" s="611"/>
      <c r="AN42" s="611"/>
      <c r="AO42" s="611"/>
      <c r="AP42" s="611"/>
      <c r="AQ42" s="611"/>
      <c r="AR42" s="611"/>
      <c r="AS42" s="611"/>
      <c r="AT42" s="611"/>
      <c r="AU42" s="611"/>
      <c r="AV42" s="611"/>
      <c r="AW42" s="611"/>
      <c r="AX42" s="611"/>
      <c r="AY42" s="611"/>
      <c r="AZ42" s="611"/>
      <c r="BA42" s="611"/>
      <c r="BB42" s="611"/>
      <c r="BC42" s="611"/>
    </row>
    <row r="43" spans="1:55" s="263" customFormat="1" ht="20.100000000000001" customHeight="1">
      <c r="A43" s="61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row>
    <row r="44" spans="1:55" s="263" customFormat="1">
      <c r="A44" s="611"/>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c r="AP44" s="611"/>
      <c r="AQ44" s="611"/>
      <c r="AR44" s="611"/>
      <c r="AS44" s="611"/>
      <c r="AT44" s="611"/>
      <c r="AU44" s="611"/>
      <c r="AV44" s="611"/>
      <c r="AW44" s="611"/>
      <c r="AX44" s="611"/>
      <c r="AY44" s="611"/>
      <c r="AZ44" s="611"/>
      <c r="BA44" s="611"/>
      <c r="BB44" s="611"/>
      <c r="BC44" s="611"/>
    </row>
    <row r="45" spans="1:55" s="263" customFormat="1">
      <c r="A45" s="611"/>
      <c r="B45" s="611"/>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row>
    <row r="46" spans="1:55" s="263" customFormat="1">
      <c r="A46" s="611"/>
      <c r="B46" s="611"/>
      <c r="C46" s="611"/>
      <c r="D46" s="611"/>
      <c r="E46" s="611"/>
      <c r="F46" s="611"/>
      <c r="G46" s="611"/>
      <c r="H46" s="611"/>
      <c r="I46" s="611"/>
      <c r="J46" s="611"/>
      <c r="K46" s="611"/>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row>
    <row r="47" spans="1:55" s="263" customFormat="1">
      <c r="A47" s="611"/>
      <c r="B47" s="611"/>
      <c r="C47" s="611"/>
      <c r="D47" s="611"/>
      <c r="E47" s="611"/>
      <c r="F47" s="611"/>
      <c r="G47" s="611"/>
      <c r="H47" s="611"/>
      <c r="I47" s="611"/>
      <c r="J47" s="611"/>
      <c r="K47" s="611"/>
      <c r="L47" s="61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611"/>
    </row>
    <row r="48" spans="1:55" s="263" customFormat="1">
      <c r="A48" s="611"/>
      <c r="B48" s="611"/>
      <c r="C48" s="611"/>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611"/>
    </row>
    <row r="49" spans="1:55" s="263" customFormat="1">
      <c r="A49" s="611"/>
      <c r="B49" s="611"/>
      <c r="C49" s="611"/>
      <c r="D49" s="611"/>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row>
    <row r="50" spans="1:55" s="263" customFormat="1">
      <c r="A50" s="611"/>
      <c r="B50" s="611"/>
      <c r="C50" s="611"/>
      <c r="D50" s="611"/>
      <c r="E50" s="611"/>
      <c r="F50" s="611"/>
      <c r="G50" s="611"/>
      <c r="H50" s="611"/>
      <c r="I50" s="611"/>
      <c r="J50" s="611"/>
      <c r="K50" s="611"/>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c r="AP50" s="611"/>
      <c r="AQ50" s="611"/>
      <c r="AR50" s="611"/>
      <c r="AS50" s="611"/>
      <c r="AT50" s="611"/>
      <c r="AU50" s="611"/>
      <c r="AV50" s="611"/>
      <c r="AW50" s="611"/>
      <c r="AX50" s="611"/>
      <c r="AY50" s="611"/>
      <c r="AZ50" s="611"/>
      <c r="BA50" s="611"/>
      <c r="BB50" s="611"/>
      <c r="BC50" s="611"/>
    </row>
    <row r="51" spans="1:55" s="263" customFormat="1" ht="21">
      <c r="A51" s="611"/>
      <c r="B51" s="611"/>
      <c r="C51" s="611"/>
      <c r="D51" s="611"/>
      <c r="E51" s="611"/>
      <c r="F51" s="611"/>
      <c r="G51" s="611"/>
      <c r="H51" s="611"/>
      <c r="I51" s="611"/>
      <c r="J51" s="611"/>
      <c r="K51" s="611"/>
      <c r="L51" s="611"/>
      <c r="M51" s="611"/>
      <c r="N51" s="611"/>
      <c r="O51" s="611"/>
      <c r="P51" s="611"/>
      <c r="Q51" s="611"/>
      <c r="R51" s="660"/>
      <c r="S51" s="678"/>
      <c r="T51" s="678"/>
      <c r="U51" s="678"/>
      <c r="V51" s="681"/>
      <c r="W51" s="611"/>
      <c r="X51" s="611"/>
      <c r="Y51" s="611"/>
      <c r="Z51" s="611"/>
      <c r="AA51" s="611"/>
      <c r="AB51" s="611"/>
      <c r="AC51" s="611"/>
      <c r="AD51" s="611"/>
      <c r="AE51" s="611"/>
      <c r="AF51" s="611"/>
      <c r="AG51" s="611"/>
      <c r="AH51" s="611"/>
      <c r="AI51" s="611"/>
      <c r="AJ51" s="611"/>
      <c r="AK51" s="611"/>
      <c r="AL51" s="611"/>
      <c r="AM51" s="611"/>
      <c r="AN51" s="611"/>
      <c r="AO51" s="611"/>
      <c r="AP51" s="611"/>
      <c r="AQ51" s="611"/>
      <c r="AR51" s="611"/>
      <c r="AS51" s="611"/>
      <c r="AT51" s="611"/>
      <c r="AU51" s="611"/>
      <c r="AV51" s="611"/>
      <c r="AW51" s="611"/>
      <c r="AX51" s="611"/>
      <c r="AY51" s="611"/>
      <c r="AZ51" s="611"/>
      <c r="BA51" s="611"/>
      <c r="BB51" s="611"/>
      <c r="BC51" s="611"/>
    </row>
    <row r="52" spans="1:55" s="263" customFormat="1">
      <c r="A52" s="611"/>
      <c r="B52" s="611"/>
      <c r="C52" s="611"/>
      <c r="D52" s="611"/>
      <c r="E52" s="611"/>
      <c r="F52" s="611"/>
      <c r="G52" s="611"/>
      <c r="H52" s="611"/>
      <c r="I52" s="611"/>
      <c r="J52" s="611"/>
      <c r="K52" s="611"/>
      <c r="L52" s="611"/>
      <c r="M52" s="611"/>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row>
    <row r="53" spans="1:55" s="263" customFormat="1">
      <c r="A53" s="611"/>
      <c r="B53" s="611"/>
      <c r="C53" s="611"/>
      <c r="D53" s="611"/>
      <c r="E53" s="611"/>
      <c r="F53" s="611"/>
      <c r="G53" s="611"/>
      <c r="H53" s="611"/>
      <c r="I53" s="611"/>
      <c r="J53" s="611"/>
      <c r="K53" s="611"/>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O53" s="611"/>
      <c r="AP53" s="611"/>
      <c r="AQ53" s="611"/>
      <c r="AR53" s="611"/>
      <c r="AS53" s="611"/>
      <c r="AT53" s="611"/>
      <c r="AU53" s="611"/>
      <c r="AV53" s="611"/>
      <c r="AW53" s="611"/>
      <c r="AX53" s="611"/>
      <c r="AY53" s="611"/>
      <c r="AZ53" s="611"/>
      <c r="BA53" s="611"/>
      <c r="BB53" s="611"/>
      <c r="BC53" s="611"/>
    </row>
    <row r="54" spans="1:55" s="263" customFormat="1">
      <c r="A54" s="611"/>
      <c r="B54" s="611"/>
      <c r="C54" s="611"/>
      <c r="D54" s="611"/>
      <c r="E54" s="611"/>
      <c r="F54" s="611"/>
      <c r="G54" s="611"/>
      <c r="H54" s="611"/>
      <c r="I54" s="611"/>
      <c r="J54" s="611"/>
      <c r="K54" s="611"/>
      <c r="L54" s="611"/>
      <c r="M54" s="611"/>
      <c r="N54" s="611"/>
      <c r="O54" s="611"/>
      <c r="P54" s="611"/>
      <c r="Q54" s="611"/>
      <c r="R54" s="611"/>
      <c r="S54" s="611"/>
      <c r="T54" s="611"/>
      <c r="U54" s="611"/>
      <c r="V54" s="611"/>
      <c r="W54" s="611"/>
      <c r="X54" s="611"/>
      <c r="Y54" s="611"/>
      <c r="Z54" s="611"/>
      <c r="AA54" s="611"/>
      <c r="AB54" s="611"/>
      <c r="AC54" s="611"/>
      <c r="AD54" s="611"/>
      <c r="AE54" s="611"/>
      <c r="AF54" s="611"/>
      <c r="AG54" s="611"/>
      <c r="AH54" s="611"/>
      <c r="AI54" s="611"/>
      <c r="AJ54" s="611"/>
      <c r="AK54" s="611"/>
      <c r="AL54" s="611"/>
      <c r="AM54" s="611"/>
      <c r="AN54" s="611"/>
      <c r="AO54" s="611"/>
      <c r="AP54" s="611"/>
      <c r="AQ54" s="611"/>
      <c r="AR54" s="611"/>
      <c r="AS54" s="611"/>
      <c r="AT54" s="611"/>
      <c r="AU54" s="611"/>
      <c r="AV54" s="611"/>
      <c r="AW54" s="611"/>
      <c r="AX54" s="611"/>
      <c r="AY54" s="611"/>
      <c r="AZ54" s="611"/>
      <c r="BA54" s="611"/>
      <c r="BB54" s="611"/>
      <c r="BC54" s="611"/>
    </row>
    <row r="55" spans="1:55" s="263" customFormat="1">
      <c r="A55" s="611"/>
      <c r="B55" s="611"/>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row>
    <row r="56" spans="1:55" s="263" customFormat="1">
      <c r="A56" s="611"/>
      <c r="B56" s="611"/>
      <c r="C56" s="611"/>
      <c r="D56" s="611"/>
      <c r="E56" s="611"/>
      <c r="F56" s="611"/>
      <c r="G56" s="611"/>
      <c r="H56" s="611"/>
      <c r="I56" s="611"/>
      <c r="J56" s="611"/>
      <c r="K56" s="611"/>
      <c r="L56" s="611"/>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c r="AP56" s="611"/>
      <c r="AQ56" s="611"/>
      <c r="AR56" s="611"/>
      <c r="AS56" s="611"/>
      <c r="AT56" s="611"/>
      <c r="AU56" s="611"/>
      <c r="AV56" s="611"/>
      <c r="AW56" s="611"/>
      <c r="AX56" s="611"/>
      <c r="AY56" s="611"/>
      <c r="AZ56" s="611"/>
      <c r="BA56" s="611"/>
      <c r="BB56" s="611"/>
      <c r="BC56" s="611"/>
    </row>
    <row r="57" spans="1:55" s="263" customFormat="1">
      <c r="A57" s="611"/>
      <c r="B57" s="611"/>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c r="AP57" s="611"/>
      <c r="AQ57" s="611"/>
      <c r="AR57" s="611"/>
      <c r="AS57" s="611"/>
      <c r="AT57" s="611"/>
      <c r="AU57" s="611"/>
      <c r="AV57" s="611"/>
      <c r="AW57" s="611"/>
      <c r="AX57" s="611"/>
      <c r="AY57" s="611"/>
      <c r="AZ57" s="611"/>
      <c r="BA57" s="611"/>
      <c r="BB57" s="611"/>
      <c r="BC57" s="611"/>
    </row>
    <row r="58" spans="1:55" s="263" customFormat="1">
      <c r="A58" s="611"/>
      <c r="B58" s="611"/>
      <c r="C58" s="611"/>
      <c r="D58" s="611"/>
      <c r="E58" s="611"/>
      <c r="F58" s="611"/>
      <c r="G58" s="611"/>
      <c r="H58" s="611"/>
      <c r="I58" s="611"/>
      <c r="J58" s="611"/>
      <c r="K58" s="611"/>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row>
    <row r="59" spans="1:55" s="263" customFormat="1">
      <c r="A59" s="611"/>
      <c r="B59" s="611"/>
      <c r="C59" s="611"/>
      <c r="D59" s="611"/>
      <c r="E59" s="611"/>
      <c r="F59" s="611"/>
      <c r="G59" s="611"/>
      <c r="H59" s="611"/>
      <c r="I59" s="611"/>
      <c r="J59" s="611"/>
      <c r="K59" s="611"/>
      <c r="L59" s="61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611"/>
      <c r="AO59" s="611"/>
      <c r="AP59" s="611"/>
      <c r="AQ59" s="611"/>
      <c r="AR59" s="611"/>
      <c r="AS59" s="611"/>
      <c r="AT59" s="611"/>
      <c r="AU59" s="611"/>
      <c r="AV59" s="611"/>
      <c r="AW59" s="611"/>
      <c r="AX59" s="611"/>
      <c r="AY59" s="611"/>
      <c r="AZ59" s="611"/>
      <c r="BA59" s="611"/>
      <c r="BB59" s="611"/>
      <c r="BC59" s="611"/>
    </row>
    <row r="60" spans="1:55" s="263" customFormat="1">
      <c r="A60" s="611"/>
      <c r="B60" s="611"/>
      <c r="C60" s="611"/>
      <c r="D60" s="611"/>
      <c r="E60" s="611"/>
      <c r="F60" s="611"/>
      <c r="G60" s="611"/>
      <c r="H60" s="611"/>
      <c r="I60" s="611"/>
      <c r="J60" s="611"/>
      <c r="K60" s="611"/>
      <c r="L60" s="611"/>
      <c r="M60" s="611"/>
      <c r="N60" s="611"/>
      <c r="O60" s="611"/>
      <c r="P60" s="611"/>
      <c r="Q60" s="611"/>
      <c r="R60" s="611"/>
      <c r="S60" s="611"/>
      <c r="T60" s="611"/>
      <c r="U60" s="611"/>
      <c r="V60" s="611"/>
      <c r="W60" s="611"/>
      <c r="X60" s="611"/>
      <c r="Y60" s="611"/>
      <c r="Z60" s="611"/>
      <c r="AA60" s="611"/>
      <c r="AB60" s="611"/>
      <c r="AC60" s="611"/>
      <c r="AD60" s="611"/>
      <c r="AE60" s="611"/>
      <c r="AF60" s="611"/>
      <c r="AG60" s="611"/>
      <c r="AH60" s="611"/>
      <c r="AI60" s="611"/>
      <c r="AJ60" s="611"/>
      <c r="AK60" s="611"/>
      <c r="AL60" s="611"/>
      <c r="AM60" s="611"/>
      <c r="AN60" s="611"/>
      <c r="AO60" s="611"/>
      <c r="AP60" s="611"/>
      <c r="AQ60" s="611"/>
      <c r="AR60" s="611"/>
      <c r="AS60" s="611"/>
      <c r="AT60" s="611"/>
      <c r="AU60" s="611"/>
      <c r="AV60" s="611"/>
      <c r="AW60" s="611"/>
      <c r="AX60" s="611"/>
      <c r="AY60" s="611"/>
      <c r="AZ60" s="611"/>
      <c r="BA60" s="611"/>
      <c r="BB60" s="611"/>
      <c r="BC60" s="611"/>
    </row>
    <row r="61" spans="1:55" s="263" customFormat="1">
      <c r="A61" s="611"/>
      <c r="B61" s="611"/>
      <c r="C61" s="611"/>
      <c r="D61" s="611"/>
      <c r="E61" s="611"/>
      <c r="F61" s="611"/>
      <c r="G61" s="611"/>
      <c r="H61" s="611"/>
      <c r="I61" s="611"/>
      <c r="J61" s="611"/>
      <c r="K61" s="611"/>
      <c r="L61" s="611"/>
      <c r="M61" s="611"/>
      <c r="N61" s="611"/>
      <c r="O61" s="611"/>
      <c r="P61" s="611"/>
      <c r="Q61" s="611"/>
      <c r="R61" s="611"/>
      <c r="S61" s="611"/>
      <c r="T61" s="611"/>
      <c r="U61" s="611"/>
      <c r="V61" s="611"/>
      <c r="W61" s="611"/>
      <c r="X61" s="611"/>
      <c r="Y61" s="611"/>
      <c r="Z61" s="611"/>
      <c r="AA61" s="611"/>
      <c r="AB61" s="611"/>
      <c r="AC61" s="611"/>
      <c r="AD61" s="611"/>
      <c r="AE61" s="611"/>
      <c r="AF61" s="611"/>
      <c r="AG61" s="611"/>
      <c r="AH61" s="611"/>
      <c r="AI61" s="611"/>
      <c r="AJ61" s="611"/>
      <c r="AK61" s="611"/>
      <c r="AL61" s="611"/>
      <c r="AM61" s="611"/>
      <c r="AN61" s="611"/>
      <c r="AO61" s="611"/>
      <c r="AP61" s="611"/>
      <c r="AQ61" s="611"/>
      <c r="AR61" s="611"/>
      <c r="AS61" s="611"/>
      <c r="AT61" s="611"/>
      <c r="AU61" s="611"/>
      <c r="AV61" s="611"/>
      <c r="AW61" s="611"/>
      <c r="AX61" s="611"/>
      <c r="AY61" s="611"/>
      <c r="AZ61" s="611"/>
      <c r="BA61" s="611"/>
      <c r="BB61" s="611"/>
      <c r="BC61" s="611"/>
    </row>
    <row r="62" spans="1:55" s="263" customFormat="1">
      <c r="A62" s="611"/>
      <c r="B62" s="611"/>
      <c r="C62" s="611"/>
      <c r="D62" s="611"/>
      <c r="E62" s="611"/>
      <c r="F62" s="611"/>
      <c r="G62" s="611"/>
      <c r="H62" s="611"/>
      <c r="I62" s="611"/>
      <c r="J62" s="611"/>
      <c r="K62" s="611"/>
      <c r="L62" s="611"/>
      <c r="M62" s="611"/>
      <c r="N62" s="611"/>
      <c r="O62" s="611"/>
      <c r="P62" s="611"/>
      <c r="Q62" s="611"/>
      <c r="R62" s="611"/>
      <c r="S62" s="611"/>
      <c r="T62" s="611"/>
      <c r="U62" s="611"/>
      <c r="V62" s="611"/>
      <c r="W62" s="611"/>
      <c r="X62" s="611"/>
      <c r="Y62" s="611"/>
      <c r="Z62" s="611"/>
      <c r="AA62" s="611"/>
      <c r="AB62" s="611"/>
      <c r="AC62" s="611"/>
      <c r="AD62" s="611"/>
      <c r="AE62" s="611"/>
      <c r="AF62" s="611"/>
      <c r="AG62" s="611"/>
      <c r="AH62" s="611"/>
      <c r="AI62" s="611"/>
      <c r="AJ62" s="611"/>
      <c r="AK62" s="611"/>
      <c r="AL62" s="611"/>
      <c r="AM62" s="611"/>
      <c r="AN62" s="611"/>
      <c r="AO62" s="611"/>
      <c r="AP62" s="611"/>
      <c r="AQ62" s="611"/>
      <c r="AR62" s="611"/>
      <c r="AS62" s="611"/>
      <c r="AT62" s="611"/>
      <c r="AU62" s="611"/>
      <c r="AV62" s="611"/>
      <c r="AW62" s="611"/>
      <c r="AX62" s="611"/>
      <c r="AY62" s="611"/>
      <c r="AZ62" s="611"/>
      <c r="BA62" s="611"/>
      <c r="BB62" s="611"/>
      <c r="BC62" s="611"/>
    </row>
    <row r="63" spans="1:55" s="263" customFormat="1">
      <c r="A63" s="611"/>
      <c r="B63" s="611"/>
      <c r="C63" s="611"/>
      <c r="D63" s="611"/>
      <c r="E63" s="611"/>
      <c r="F63" s="611"/>
      <c r="G63" s="611"/>
      <c r="H63" s="611"/>
      <c r="I63" s="611"/>
      <c r="J63" s="611"/>
      <c r="K63" s="611"/>
      <c r="L63" s="611"/>
      <c r="M63" s="611"/>
      <c r="N63" s="611"/>
      <c r="O63" s="611"/>
      <c r="P63" s="611"/>
      <c r="Q63" s="611"/>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row>
    <row r="64" spans="1:55" s="263" customFormat="1">
      <c r="A64" s="611"/>
      <c r="B64" s="611"/>
      <c r="C64" s="611"/>
      <c r="D64" s="611"/>
      <c r="E64" s="611"/>
      <c r="F64" s="611"/>
      <c r="G64" s="611"/>
      <c r="H64" s="611"/>
      <c r="I64" s="611"/>
      <c r="J64" s="611"/>
      <c r="K64" s="611"/>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1"/>
      <c r="AQ64" s="611"/>
      <c r="AR64" s="611"/>
      <c r="AS64" s="611"/>
      <c r="AT64" s="611"/>
      <c r="AU64" s="611"/>
      <c r="AV64" s="611"/>
      <c r="AW64" s="611"/>
      <c r="AX64" s="611"/>
      <c r="AY64" s="611"/>
      <c r="AZ64" s="611"/>
      <c r="BA64" s="611"/>
      <c r="BB64" s="611"/>
      <c r="BC64" s="611"/>
    </row>
    <row r="65" spans="1:55" s="263" customFormat="1">
      <c r="A65" s="611"/>
      <c r="B65" s="611"/>
      <c r="C65" s="611"/>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row>
    <row r="66" spans="1:55" s="263" customFormat="1">
      <c r="A66" s="611"/>
      <c r="B66" s="611"/>
      <c r="C66" s="611"/>
      <c r="D66" s="611"/>
      <c r="E66" s="611"/>
      <c r="F66" s="611"/>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row>
    <row r="67" spans="1:55" s="263" customFormat="1">
      <c r="A67" s="611"/>
      <c r="B67" s="611"/>
      <c r="C67" s="611"/>
      <c r="D67" s="611"/>
      <c r="E67" s="611"/>
      <c r="F67" s="611"/>
      <c r="G67" s="611"/>
      <c r="H67" s="611"/>
      <c r="I67" s="611"/>
      <c r="J67" s="611"/>
      <c r="K67" s="611"/>
      <c r="L67" s="611"/>
      <c r="M67" s="611"/>
      <c r="N67" s="611"/>
      <c r="O67" s="611"/>
      <c r="P67" s="611"/>
      <c r="Q67" s="611"/>
      <c r="R67" s="611"/>
      <c r="S67" s="611"/>
      <c r="T67" s="611"/>
      <c r="U67" s="611"/>
      <c r="V67" s="611"/>
      <c r="W67" s="611"/>
      <c r="X67" s="611"/>
      <c r="Y67" s="611"/>
      <c r="Z67" s="611"/>
      <c r="AA67" s="611"/>
      <c r="AB67" s="611"/>
      <c r="AC67" s="611"/>
      <c r="AD67" s="611"/>
      <c r="AE67" s="611"/>
      <c r="AF67" s="611"/>
      <c r="AG67" s="611"/>
      <c r="AH67" s="611"/>
      <c r="AI67" s="611"/>
      <c r="AJ67" s="611"/>
      <c r="AK67" s="611"/>
      <c r="AL67" s="611"/>
      <c r="AM67" s="611"/>
      <c r="AN67" s="611"/>
      <c r="AO67" s="611"/>
      <c r="AP67" s="611"/>
      <c r="AQ67" s="611"/>
      <c r="AR67" s="611"/>
      <c r="AS67" s="611"/>
      <c r="AT67" s="611"/>
      <c r="AU67" s="611"/>
      <c r="AV67" s="611"/>
      <c r="AW67" s="611"/>
      <c r="AX67" s="611"/>
      <c r="AY67" s="611"/>
      <c r="AZ67" s="611"/>
      <c r="BA67" s="611"/>
      <c r="BB67" s="611"/>
      <c r="BC67" s="611"/>
    </row>
    <row r="68" spans="1:55" s="263" customFormat="1">
      <c r="A68" s="611"/>
      <c r="B68" s="611"/>
      <c r="C68" s="611"/>
      <c r="D68" s="611"/>
      <c r="E68" s="611"/>
      <c r="F68" s="611"/>
      <c r="G68" s="611"/>
      <c r="H68" s="611"/>
      <c r="I68" s="611"/>
      <c r="J68" s="611"/>
      <c r="K68" s="611"/>
      <c r="L68" s="611"/>
      <c r="M68" s="611"/>
      <c r="N68" s="611"/>
      <c r="O68" s="611"/>
      <c r="P68" s="611"/>
      <c r="Q68" s="611"/>
      <c r="R68" s="611"/>
      <c r="S68" s="611"/>
      <c r="T68" s="611"/>
      <c r="U68" s="611"/>
      <c r="V68" s="611"/>
      <c r="W68" s="611"/>
      <c r="X68" s="611"/>
      <c r="Y68" s="611"/>
      <c r="Z68" s="611"/>
      <c r="AA68" s="611"/>
      <c r="AB68" s="611"/>
      <c r="AC68" s="611"/>
      <c r="AD68" s="611"/>
      <c r="AE68" s="611"/>
      <c r="AF68" s="611"/>
      <c r="AG68" s="611"/>
      <c r="AH68" s="611"/>
      <c r="AI68" s="611"/>
      <c r="AJ68" s="611"/>
      <c r="AK68" s="611"/>
      <c r="AL68" s="611"/>
      <c r="AM68" s="611"/>
      <c r="AN68" s="611"/>
      <c r="AO68" s="611"/>
      <c r="AP68" s="611"/>
      <c r="AQ68" s="611"/>
      <c r="AR68" s="611"/>
      <c r="AS68" s="611"/>
      <c r="AT68" s="611"/>
      <c r="AU68" s="611"/>
      <c r="AV68" s="611"/>
      <c r="AW68" s="611"/>
      <c r="AX68" s="611"/>
      <c r="AY68" s="611"/>
      <c r="AZ68" s="611"/>
      <c r="BA68" s="611"/>
      <c r="BB68" s="611"/>
      <c r="BC68" s="611"/>
    </row>
    <row r="69" spans="1:55" s="263" customFormat="1">
      <c r="A69" s="611"/>
      <c r="B69" s="611"/>
      <c r="C69" s="611"/>
      <c r="D69" s="611"/>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row>
    <row r="70" spans="1:55" s="263" customFormat="1">
      <c r="A70" s="611"/>
      <c r="B70" s="611"/>
      <c r="C70" s="611"/>
      <c r="D70" s="611"/>
      <c r="E70" s="611"/>
      <c r="F70" s="611"/>
      <c r="G70" s="611"/>
      <c r="H70" s="611"/>
      <c r="I70" s="611"/>
      <c r="J70" s="611"/>
      <c r="K70" s="611"/>
      <c r="L70" s="61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row>
    <row r="71" spans="1:55" s="263" customFormat="1">
      <c r="A71" s="611"/>
      <c r="B71" s="611"/>
      <c r="C71" s="611"/>
      <c r="D71" s="611"/>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row>
    <row r="72" spans="1:55" s="263" customFormat="1">
      <c r="A72" s="611"/>
      <c r="B72" s="611"/>
      <c r="C72" s="611"/>
      <c r="D72" s="611"/>
      <c r="E72" s="611"/>
      <c r="F72" s="611"/>
      <c r="G72" s="611"/>
      <c r="H72" s="611"/>
      <c r="I72" s="611"/>
      <c r="J72" s="611"/>
      <c r="K72" s="611"/>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row>
    <row r="73" spans="1:55" s="263" customFormat="1">
      <c r="A73" s="611"/>
      <c r="B73" s="611"/>
      <c r="C73" s="611"/>
      <c r="D73" s="611"/>
      <c r="E73" s="611"/>
      <c r="F73" s="611"/>
      <c r="G73" s="611"/>
      <c r="H73" s="611"/>
      <c r="I73" s="611"/>
      <c r="J73" s="611"/>
      <c r="K73" s="611"/>
      <c r="L73" s="61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1"/>
      <c r="AZ73" s="611"/>
      <c r="BA73" s="611"/>
      <c r="BB73" s="611"/>
      <c r="BC73" s="611"/>
    </row>
    <row r="74" spans="1:55" s="263" customFormat="1">
      <c r="A74" s="611"/>
      <c r="B74" s="611"/>
      <c r="C74" s="611"/>
      <c r="D74" s="611"/>
      <c r="E74" s="611"/>
      <c r="F74" s="611"/>
      <c r="G74" s="611"/>
      <c r="H74" s="611"/>
      <c r="I74" s="611"/>
      <c r="J74" s="611"/>
      <c r="K74" s="611"/>
      <c r="L74" s="611"/>
      <c r="M74" s="611"/>
      <c r="N74" s="611"/>
      <c r="O74" s="611"/>
      <c r="P74" s="611"/>
      <c r="Q74" s="611"/>
      <c r="R74" s="611"/>
      <c r="S74" s="611"/>
      <c r="T74" s="611"/>
      <c r="U74" s="611"/>
      <c r="V74" s="611"/>
      <c r="W74" s="611"/>
      <c r="X74" s="611"/>
      <c r="Y74" s="611"/>
      <c r="Z74" s="611"/>
      <c r="AA74" s="611"/>
      <c r="AB74" s="611"/>
      <c r="AC74" s="611"/>
      <c r="AD74" s="611"/>
      <c r="AE74" s="611"/>
      <c r="AF74" s="611"/>
      <c r="AG74" s="611"/>
      <c r="AH74" s="611"/>
      <c r="AI74" s="611"/>
      <c r="AJ74" s="611"/>
      <c r="AK74" s="611"/>
      <c r="AL74" s="611"/>
      <c r="AM74" s="611"/>
      <c r="AN74" s="611"/>
      <c r="AO74" s="611"/>
      <c r="AP74" s="611"/>
      <c r="AQ74" s="611"/>
      <c r="AR74" s="611"/>
      <c r="AS74" s="611"/>
      <c r="AT74" s="611"/>
      <c r="AU74" s="611"/>
      <c r="AV74" s="611"/>
      <c r="AW74" s="611"/>
      <c r="AX74" s="611"/>
      <c r="AY74" s="611"/>
      <c r="AZ74" s="611"/>
      <c r="BA74" s="611"/>
      <c r="BB74" s="611"/>
      <c r="BC74" s="611"/>
    </row>
    <row r="75" spans="1:55" s="263" customFormat="1">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1"/>
      <c r="AZ75" s="611"/>
      <c r="BA75" s="611"/>
      <c r="BB75" s="611"/>
      <c r="BC75" s="611"/>
    </row>
    <row r="76" spans="1:55" s="263" customFormat="1">
      <c r="A76" s="611"/>
      <c r="B76" s="611"/>
      <c r="C76" s="611"/>
      <c r="D76" s="611"/>
      <c r="E76" s="611"/>
      <c r="F76" s="611"/>
      <c r="G76" s="611"/>
      <c r="H76" s="611"/>
      <c r="I76" s="611"/>
      <c r="J76" s="611"/>
      <c r="K76" s="611"/>
      <c r="L76" s="611"/>
      <c r="M76" s="611"/>
      <c r="N76" s="611"/>
      <c r="O76" s="611"/>
      <c r="P76" s="611"/>
      <c r="Q76" s="611"/>
      <c r="R76" s="611"/>
      <c r="S76" s="611"/>
      <c r="T76" s="611"/>
      <c r="U76" s="611"/>
      <c r="V76" s="611"/>
      <c r="W76" s="611"/>
      <c r="X76" s="611"/>
      <c r="Y76" s="611"/>
      <c r="Z76" s="611"/>
      <c r="AA76" s="611"/>
      <c r="AB76" s="611"/>
      <c r="AC76" s="611"/>
      <c r="AD76" s="611"/>
      <c r="AE76" s="611"/>
      <c r="AF76" s="611"/>
      <c r="AG76" s="611"/>
      <c r="AH76" s="611"/>
      <c r="AI76" s="611"/>
      <c r="AJ76" s="611"/>
      <c r="AK76" s="611"/>
      <c r="AL76" s="611"/>
      <c r="AM76" s="611"/>
      <c r="AN76" s="611"/>
      <c r="AO76" s="611"/>
      <c r="AP76" s="611"/>
      <c r="AQ76" s="611"/>
      <c r="AR76" s="611"/>
      <c r="AS76" s="611"/>
      <c r="AT76" s="611"/>
      <c r="AU76" s="611"/>
      <c r="AV76" s="611"/>
      <c r="AW76" s="611"/>
      <c r="AX76" s="611"/>
      <c r="AY76" s="611"/>
      <c r="AZ76" s="611"/>
      <c r="BA76" s="611"/>
      <c r="BB76" s="611"/>
      <c r="BC76" s="611"/>
    </row>
    <row r="77" spans="1:55" s="263" customFormat="1">
      <c r="A77" s="611"/>
      <c r="B77" s="611"/>
      <c r="C77" s="611"/>
      <c r="D77" s="611"/>
      <c r="E77" s="611"/>
      <c r="F77" s="611"/>
      <c r="G77" s="611"/>
      <c r="H77" s="611"/>
      <c r="I77" s="611"/>
      <c r="J77" s="611"/>
      <c r="K77" s="611"/>
      <c r="L77" s="611"/>
      <c r="M77" s="611"/>
      <c r="N77" s="611"/>
      <c r="O77" s="611"/>
      <c r="P77" s="611"/>
      <c r="Q77" s="611"/>
      <c r="R77" s="611"/>
      <c r="S77" s="611"/>
      <c r="T77" s="611"/>
      <c r="U77" s="611"/>
      <c r="V77" s="611"/>
      <c r="W77" s="611"/>
      <c r="X77" s="611"/>
      <c r="Y77" s="611"/>
      <c r="Z77" s="611"/>
      <c r="AA77" s="611"/>
      <c r="AB77" s="611"/>
      <c r="AC77" s="611"/>
      <c r="AD77" s="611"/>
      <c r="AE77" s="611"/>
      <c r="AF77" s="611"/>
      <c r="AG77" s="611"/>
      <c r="AH77" s="611"/>
      <c r="AI77" s="611"/>
      <c r="AJ77" s="611"/>
      <c r="AK77" s="611"/>
      <c r="AL77" s="611"/>
      <c r="AM77" s="611"/>
      <c r="AN77" s="611"/>
      <c r="AO77" s="611"/>
      <c r="AP77" s="611"/>
      <c r="AQ77" s="611"/>
      <c r="AR77" s="611"/>
      <c r="AS77" s="611"/>
      <c r="AT77" s="611"/>
      <c r="AU77" s="611"/>
      <c r="AV77" s="611"/>
      <c r="AW77" s="611"/>
      <c r="AX77" s="611"/>
      <c r="AY77" s="611"/>
      <c r="AZ77" s="611"/>
      <c r="BA77" s="611"/>
      <c r="BB77" s="611"/>
      <c r="BC77" s="611"/>
    </row>
    <row r="78" spans="1:55" s="263" customFormat="1">
      <c r="A78" s="611"/>
      <c r="B78" s="611"/>
      <c r="C78" s="611"/>
      <c r="D78" s="611"/>
      <c r="E78" s="611"/>
      <c r="F78" s="611"/>
      <c r="G78" s="611"/>
      <c r="H78" s="611"/>
      <c r="I78" s="611"/>
      <c r="J78" s="611"/>
      <c r="K78" s="611"/>
      <c r="L78" s="611"/>
      <c r="M78" s="611"/>
      <c r="N78" s="611"/>
      <c r="O78" s="611"/>
      <c r="P78" s="611"/>
      <c r="Q78" s="611"/>
      <c r="R78" s="611"/>
      <c r="S78" s="611"/>
      <c r="T78" s="611"/>
      <c r="U78" s="611"/>
      <c r="V78" s="611"/>
      <c r="W78" s="611"/>
      <c r="X78" s="611"/>
      <c r="Y78" s="611"/>
      <c r="Z78" s="611"/>
      <c r="AA78" s="611"/>
      <c r="AB78" s="611"/>
      <c r="AC78" s="611"/>
      <c r="AD78" s="611"/>
      <c r="AE78" s="611"/>
      <c r="AF78" s="611"/>
      <c r="AG78" s="611"/>
      <c r="AH78" s="611"/>
      <c r="AI78" s="611"/>
      <c r="AJ78" s="611"/>
      <c r="AK78" s="611"/>
      <c r="AL78" s="611"/>
      <c r="AM78" s="611"/>
      <c r="AN78" s="611"/>
      <c r="AO78" s="611"/>
      <c r="AP78" s="611"/>
      <c r="AQ78" s="611"/>
      <c r="AR78" s="611"/>
      <c r="AS78" s="611"/>
      <c r="AT78" s="611"/>
      <c r="AU78" s="611"/>
      <c r="AV78" s="611"/>
      <c r="AW78" s="611"/>
      <c r="AX78" s="611"/>
      <c r="AY78" s="611"/>
      <c r="AZ78" s="611"/>
      <c r="BA78" s="611"/>
      <c r="BB78" s="611"/>
      <c r="BC78" s="611"/>
    </row>
    <row r="79" spans="1:55" s="263" customFormat="1">
      <c r="A79" s="611"/>
      <c r="B79" s="611"/>
      <c r="C79" s="611"/>
      <c r="D79" s="611"/>
      <c r="E79" s="611"/>
      <c r="F79" s="611"/>
      <c r="G79" s="611"/>
      <c r="H79" s="611"/>
      <c r="I79" s="611"/>
      <c r="J79" s="611"/>
      <c r="K79" s="611"/>
      <c r="L79" s="611"/>
      <c r="M79" s="611"/>
      <c r="N79" s="611"/>
      <c r="O79" s="611"/>
      <c r="P79" s="611"/>
      <c r="Q79" s="611"/>
      <c r="R79" s="611"/>
      <c r="S79" s="611"/>
      <c r="T79" s="611"/>
      <c r="U79" s="611"/>
      <c r="V79" s="611"/>
      <c r="W79" s="611"/>
      <c r="X79" s="611"/>
      <c r="Y79" s="611"/>
      <c r="Z79" s="611"/>
      <c r="AA79" s="611"/>
      <c r="AB79" s="611"/>
      <c r="AC79" s="611"/>
      <c r="AD79" s="611"/>
      <c r="AE79" s="611"/>
      <c r="AF79" s="611"/>
      <c r="AG79" s="611"/>
      <c r="AH79" s="611"/>
      <c r="AI79" s="611"/>
      <c r="AJ79" s="611"/>
      <c r="AK79" s="611"/>
      <c r="AL79" s="611"/>
      <c r="AM79" s="611"/>
      <c r="AN79" s="611"/>
      <c r="AO79" s="611"/>
      <c r="AP79" s="611"/>
      <c r="AQ79" s="611"/>
      <c r="AR79" s="611"/>
      <c r="AS79" s="611"/>
      <c r="AT79" s="611"/>
      <c r="AU79" s="611"/>
      <c r="AV79" s="611"/>
      <c r="AW79" s="611"/>
      <c r="AX79" s="611"/>
      <c r="AY79" s="611"/>
      <c r="AZ79" s="611"/>
      <c r="BA79" s="611"/>
      <c r="BB79" s="611"/>
      <c r="BC79" s="611"/>
    </row>
    <row r="80" spans="1:55" s="263" customFormat="1">
      <c r="A80" s="611"/>
      <c r="B80" s="611"/>
      <c r="C80" s="611"/>
      <c r="D80" s="611"/>
      <c r="E80" s="611"/>
      <c r="F80" s="611"/>
      <c r="G80" s="611"/>
      <c r="H80" s="611"/>
      <c r="I80" s="611"/>
      <c r="J80" s="611"/>
      <c r="K80" s="611"/>
      <c r="L80" s="611"/>
      <c r="M80" s="611"/>
      <c r="N80" s="611"/>
      <c r="O80" s="611"/>
      <c r="P80" s="611"/>
      <c r="Q80" s="611"/>
      <c r="R80" s="611"/>
      <c r="S80" s="611"/>
      <c r="T80" s="611"/>
      <c r="U80" s="611"/>
      <c r="V80" s="611"/>
      <c r="W80" s="611"/>
      <c r="X80" s="611"/>
      <c r="Y80" s="611"/>
      <c r="Z80" s="611"/>
      <c r="AA80" s="611"/>
      <c r="AB80" s="611"/>
      <c r="AC80" s="611"/>
      <c r="AD80" s="611"/>
      <c r="AE80" s="611"/>
      <c r="AF80" s="611"/>
      <c r="AG80" s="611"/>
      <c r="AH80" s="611"/>
      <c r="AI80" s="611"/>
      <c r="AJ80" s="611"/>
      <c r="AK80" s="611"/>
      <c r="AL80" s="611"/>
      <c r="AM80" s="611"/>
      <c r="AN80" s="611"/>
      <c r="AO80" s="611"/>
      <c r="AP80" s="611"/>
      <c r="AQ80" s="611"/>
      <c r="AR80" s="611"/>
      <c r="AS80" s="611"/>
      <c r="AT80" s="611"/>
      <c r="AU80" s="611"/>
      <c r="AV80" s="611"/>
      <c r="AW80" s="611"/>
      <c r="AX80" s="611"/>
      <c r="AY80" s="611"/>
      <c r="AZ80" s="611"/>
      <c r="BA80" s="611"/>
      <c r="BB80" s="611"/>
      <c r="BC80" s="611"/>
    </row>
    <row r="81" spans="1:55" s="263" customFormat="1">
      <c r="A81" s="611"/>
      <c r="B81" s="611"/>
      <c r="C81" s="611"/>
      <c r="D81" s="611"/>
      <c r="E81" s="611"/>
      <c r="F81" s="611"/>
      <c r="G81" s="611"/>
      <c r="H81" s="611"/>
      <c r="I81" s="611"/>
      <c r="J81" s="611"/>
      <c r="K81" s="611"/>
      <c r="L81" s="611"/>
      <c r="M81" s="611"/>
      <c r="N81" s="611"/>
      <c r="O81" s="611"/>
      <c r="P81" s="611"/>
      <c r="Q81" s="611"/>
      <c r="R81" s="611"/>
      <c r="S81" s="611"/>
      <c r="T81" s="611"/>
      <c r="U81" s="611"/>
      <c r="V81" s="611"/>
      <c r="W81" s="611"/>
      <c r="X81" s="611"/>
      <c r="Y81" s="611"/>
      <c r="Z81" s="611"/>
      <c r="AA81" s="611"/>
      <c r="AB81" s="611"/>
      <c r="AC81" s="611"/>
      <c r="AD81" s="611"/>
      <c r="AE81" s="611"/>
      <c r="AF81" s="611"/>
      <c r="AG81" s="611"/>
      <c r="AH81" s="611"/>
      <c r="AI81" s="611"/>
      <c r="AJ81" s="611"/>
      <c r="AK81" s="611"/>
      <c r="AL81" s="611"/>
      <c r="AM81" s="611"/>
      <c r="AN81" s="611"/>
      <c r="AO81" s="611"/>
      <c r="AP81" s="611"/>
      <c r="AQ81" s="611"/>
      <c r="AR81" s="611"/>
      <c r="AS81" s="611"/>
      <c r="AT81" s="611"/>
      <c r="AU81" s="611"/>
      <c r="AV81" s="611"/>
      <c r="AW81" s="611"/>
      <c r="AX81" s="611"/>
      <c r="AY81" s="611"/>
      <c r="AZ81" s="611"/>
      <c r="BA81" s="611"/>
      <c r="BB81" s="611"/>
      <c r="BC81" s="611"/>
    </row>
    <row r="82" spans="1:55" s="263" customFormat="1">
      <c r="A82" s="611"/>
      <c r="B82" s="611"/>
      <c r="C82" s="611"/>
      <c r="D82" s="611"/>
      <c r="E82" s="611"/>
      <c r="F82" s="611"/>
      <c r="G82" s="611"/>
      <c r="H82" s="611"/>
      <c r="I82" s="611"/>
      <c r="J82" s="611"/>
      <c r="K82" s="611"/>
      <c r="L82" s="611"/>
      <c r="M82" s="611"/>
      <c r="N82" s="611"/>
      <c r="O82" s="611"/>
      <c r="P82" s="611"/>
      <c r="Q82" s="611"/>
      <c r="R82" s="611"/>
      <c r="S82" s="611"/>
      <c r="T82" s="611"/>
      <c r="U82" s="611"/>
      <c r="V82" s="611"/>
      <c r="W82" s="611"/>
      <c r="X82" s="611"/>
      <c r="Y82" s="611"/>
      <c r="Z82" s="611"/>
      <c r="AA82" s="611"/>
      <c r="AB82" s="611"/>
      <c r="AC82" s="611"/>
      <c r="AD82" s="611"/>
      <c r="AE82" s="611"/>
      <c r="AF82" s="611"/>
      <c r="AG82" s="611"/>
      <c r="AH82" s="611"/>
      <c r="AI82" s="611"/>
      <c r="AJ82" s="611"/>
      <c r="AK82" s="611"/>
      <c r="AL82" s="611"/>
      <c r="AM82" s="611"/>
      <c r="AN82" s="611"/>
      <c r="AO82" s="611"/>
      <c r="AP82" s="611"/>
      <c r="AQ82" s="611"/>
      <c r="AR82" s="611"/>
      <c r="AS82" s="611"/>
      <c r="AT82" s="611"/>
      <c r="AU82" s="611"/>
      <c r="AV82" s="611"/>
      <c r="AW82" s="611"/>
      <c r="AX82" s="611"/>
      <c r="AY82" s="611"/>
      <c r="AZ82" s="611"/>
      <c r="BA82" s="611"/>
      <c r="BB82" s="611"/>
      <c r="BC82" s="611"/>
    </row>
    <row r="83" spans="1:55" s="263" customFormat="1">
      <c r="A83" s="611"/>
      <c r="B83" s="611"/>
      <c r="C83" s="611"/>
      <c r="D83" s="611"/>
      <c r="E83" s="611"/>
      <c r="F83" s="611"/>
      <c r="G83" s="611"/>
      <c r="H83" s="611"/>
      <c r="I83" s="611"/>
      <c r="J83" s="611"/>
      <c r="K83" s="611"/>
      <c r="L83" s="611"/>
      <c r="M83" s="611"/>
      <c r="N83" s="611"/>
      <c r="O83" s="611"/>
      <c r="P83" s="611"/>
      <c r="Q83" s="611"/>
      <c r="R83" s="611"/>
      <c r="S83" s="611"/>
      <c r="T83" s="611"/>
      <c r="U83" s="611"/>
      <c r="V83" s="611"/>
      <c r="W83" s="611"/>
      <c r="X83" s="611"/>
      <c r="Y83" s="611"/>
      <c r="Z83" s="611"/>
      <c r="AA83" s="611"/>
      <c r="AB83" s="611"/>
      <c r="AC83" s="611"/>
      <c r="AD83" s="611"/>
      <c r="AE83" s="611"/>
      <c r="AF83" s="611"/>
      <c r="AG83" s="611"/>
      <c r="AH83" s="611"/>
      <c r="AI83" s="611"/>
      <c r="AJ83" s="611"/>
      <c r="AK83" s="611"/>
      <c r="AL83" s="611"/>
      <c r="AM83" s="611"/>
      <c r="AN83" s="611"/>
      <c r="AO83" s="611"/>
      <c r="AP83" s="611"/>
      <c r="AQ83" s="611"/>
      <c r="AR83" s="611"/>
      <c r="AS83" s="611"/>
      <c r="AT83" s="611"/>
      <c r="AU83" s="611"/>
      <c r="AV83" s="611"/>
      <c r="AW83" s="611"/>
      <c r="AX83" s="611"/>
      <c r="AY83" s="611"/>
      <c r="AZ83" s="611"/>
      <c r="BA83" s="611"/>
      <c r="BB83" s="611"/>
      <c r="BC83" s="611"/>
    </row>
    <row r="84" spans="1:55" s="263" customFormat="1">
      <c r="A84" s="611"/>
      <c r="B84" s="611"/>
      <c r="C84" s="611"/>
      <c r="D84" s="611"/>
      <c r="E84" s="611"/>
      <c r="F84" s="611"/>
      <c r="G84" s="611"/>
      <c r="H84" s="611"/>
      <c r="I84" s="611"/>
      <c r="J84" s="611"/>
      <c r="K84" s="611"/>
      <c r="L84" s="611"/>
      <c r="M84" s="611"/>
      <c r="N84" s="611"/>
      <c r="O84" s="611"/>
      <c r="P84" s="611"/>
      <c r="Q84" s="611"/>
      <c r="R84" s="611"/>
      <c r="S84" s="611"/>
      <c r="T84" s="611"/>
      <c r="U84" s="611"/>
      <c r="V84" s="611"/>
      <c r="W84" s="611"/>
      <c r="X84" s="611"/>
      <c r="Y84" s="611"/>
      <c r="Z84" s="611"/>
      <c r="AA84" s="611"/>
      <c r="AB84" s="611"/>
      <c r="AC84" s="611"/>
      <c r="AD84" s="611"/>
      <c r="AE84" s="611"/>
      <c r="AF84" s="611"/>
      <c r="AG84" s="611"/>
      <c r="AH84" s="611"/>
      <c r="AI84" s="611"/>
      <c r="AJ84" s="611"/>
      <c r="AK84" s="611"/>
      <c r="AL84" s="611"/>
      <c r="AM84" s="611"/>
      <c r="AN84" s="611"/>
      <c r="AO84" s="611"/>
      <c r="AP84" s="611"/>
      <c r="AQ84" s="611"/>
      <c r="AR84" s="611"/>
      <c r="AS84" s="611"/>
      <c r="AT84" s="611"/>
      <c r="AU84" s="611"/>
      <c r="AV84" s="611"/>
      <c r="AW84" s="611"/>
      <c r="AX84" s="611"/>
      <c r="AY84" s="611"/>
      <c r="AZ84" s="611"/>
      <c r="BA84" s="611"/>
      <c r="BB84" s="611"/>
      <c r="BC84" s="611"/>
    </row>
    <row r="85" spans="1:55" s="263" customFormat="1">
      <c r="A85" s="611"/>
      <c r="B85" s="611"/>
      <c r="C85" s="611"/>
      <c r="D85" s="611"/>
      <c r="E85" s="611"/>
      <c r="F85" s="611"/>
      <c r="G85" s="611"/>
      <c r="H85" s="611"/>
      <c r="I85" s="611"/>
      <c r="J85" s="611"/>
      <c r="K85" s="611"/>
      <c r="L85" s="611"/>
      <c r="M85" s="611"/>
      <c r="N85" s="611"/>
      <c r="O85" s="611"/>
      <c r="P85" s="611"/>
      <c r="Q85" s="611"/>
      <c r="R85" s="611"/>
      <c r="S85" s="611"/>
      <c r="T85" s="611"/>
      <c r="U85" s="611"/>
      <c r="V85" s="611"/>
      <c r="W85" s="611"/>
      <c r="X85" s="611"/>
      <c r="Y85" s="611"/>
      <c r="Z85" s="611"/>
      <c r="AA85" s="611"/>
      <c r="AB85" s="611"/>
      <c r="AC85" s="611"/>
      <c r="AD85" s="611"/>
      <c r="AE85" s="611"/>
      <c r="AF85" s="611"/>
      <c r="AG85" s="611"/>
      <c r="AH85" s="611"/>
      <c r="AI85" s="611"/>
      <c r="AJ85" s="611"/>
      <c r="AK85" s="611"/>
      <c r="AL85" s="611"/>
      <c r="AM85" s="611"/>
      <c r="AN85" s="611"/>
      <c r="AO85" s="611"/>
      <c r="AP85" s="611"/>
      <c r="AQ85" s="611"/>
      <c r="AR85" s="611"/>
      <c r="AS85" s="611"/>
      <c r="AT85" s="611"/>
      <c r="AU85" s="611"/>
      <c r="AV85" s="611"/>
      <c r="AW85" s="611"/>
      <c r="AX85" s="611"/>
      <c r="AY85" s="611"/>
      <c r="AZ85" s="611"/>
      <c r="BA85" s="611"/>
      <c r="BB85" s="611"/>
      <c r="BC85" s="611"/>
    </row>
    <row r="86" spans="1:55" s="263" customFormat="1">
      <c r="A86" s="611"/>
      <c r="B86" s="611"/>
      <c r="C86" s="611"/>
      <c r="D86" s="611"/>
      <c r="E86" s="611"/>
      <c r="F86" s="611"/>
      <c r="G86" s="611"/>
      <c r="H86" s="611"/>
      <c r="I86" s="611"/>
      <c r="J86" s="611"/>
      <c r="K86" s="611"/>
      <c r="L86" s="611"/>
      <c r="M86" s="611"/>
      <c r="N86" s="611"/>
      <c r="O86" s="611"/>
      <c r="P86" s="611"/>
      <c r="Q86" s="611"/>
      <c r="R86" s="611"/>
      <c r="S86" s="611"/>
      <c r="T86" s="61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row>
    <row r="87" spans="1:55" s="263" customFormat="1">
      <c r="A87" s="611"/>
      <c r="B87" s="611"/>
      <c r="C87" s="611"/>
      <c r="D87" s="611"/>
      <c r="E87" s="611"/>
      <c r="F87" s="611"/>
      <c r="G87" s="611"/>
      <c r="H87" s="611"/>
      <c r="I87" s="611"/>
      <c r="J87" s="611"/>
      <c r="K87" s="611"/>
      <c r="L87" s="611"/>
      <c r="M87" s="611"/>
      <c r="N87" s="611"/>
      <c r="O87" s="611"/>
      <c r="P87" s="611"/>
      <c r="Q87" s="611"/>
      <c r="R87" s="611"/>
      <c r="S87" s="611"/>
      <c r="T87" s="611"/>
      <c r="U87" s="611"/>
      <c r="V87" s="611"/>
      <c r="W87" s="611"/>
      <c r="X87" s="611"/>
      <c r="Y87" s="611"/>
      <c r="Z87" s="611"/>
      <c r="AA87" s="611"/>
      <c r="AB87" s="611"/>
      <c r="AC87" s="611"/>
      <c r="AD87" s="611"/>
      <c r="AE87" s="611"/>
      <c r="AF87" s="611"/>
      <c r="AG87" s="611"/>
      <c r="AH87" s="611"/>
      <c r="AI87" s="611"/>
      <c r="AJ87" s="611"/>
      <c r="AK87" s="611"/>
      <c r="AL87" s="611"/>
      <c r="AM87" s="611"/>
      <c r="AN87" s="611"/>
      <c r="AO87" s="611"/>
      <c r="AP87" s="611"/>
      <c r="AQ87" s="611"/>
      <c r="AR87" s="611"/>
      <c r="AS87" s="611"/>
      <c r="AT87" s="611"/>
      <c r="AU87" s="611"/>
      <c r="AV87" s="611"/>
      <c r="AW87" s="611"/>
      <c r="AX87" s="611"/>
      <c r="AY87" s="611"/>
      <c r="AZ87" s="611"/>
      <c r="BA87" s="611"/>
      <c r="BB87" s="611"/>
      <c r="BC87" s="611"/>
    </row>
    <row r="88" spans="1:55" s="263" customFormat="1">
      <c r="A88" s="611"/>
      <c r="B88" s="611"/>
      <c r="C88" s="611"/>
      <c r="D88" s="611"/>
      <c r="E88" s="611"/>
      <c r="F88" s="611"/>
      <c r="G88" s="611"/>
      <c r="H88" s="611"/>
      <c r="I88" s="611"/>
      <c r="J88" s="611"/>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1"/>
      <c r="AK88" s="611"/>
      <c r="AL88" s="611"/>
      <c r="AM88" s="611"/>
      <c r="AN88" s="611"/>
      <c r="AO88" s="611"/>
      <c r="AP88" s="611"/>
      <c r="AQ88" s="611"/>
      <c r="AR88" s="611"/>
      <c r="AS88" s="611"/>
      <c r="AT88" s="611"/>
      <c r="AU88" s="611"/>
      <c r="AV88" s="611"/>
      <c r="AW88" s="611"/>
      <c r="AX88" s="611"/>
      <c r="AY88" s="611"/>
      <c r="AZ88" s="611"/>
      <c r="BA88" s="611"/>
      <c r="BB88" s="611"/>
      <c r="BC88" s="611"/>
    </row>
    <row r="89" spans="1:55">
      <c r="A89" s="653"/>
      <c r="B89" s="611"/>
      <c r="C89" s="611"/>
      <c r="D89" s="611"/>
      <c r="E89" s="611"/>
      <c r="F89" s="611"/>
      <c r="G89" s="611"/>
      <c r="H89" s="611"/>
      <c r="I89" s="611"/>
      <c r="J89" s="611"/>
      <c r="K89" s="653"/>
      <c r="L89" s="653"/>
      <c r="M89" s="653"/>
      <c r="N89" s="653"/>
      <c r="O89" s="653"/>
      <c r="P89" s="653"/>
      <c r="Q89" s="653"/>
      <c r="R89" s="653"/>
      <c r="S89" s="653"/>
      <c r="T89" s="653"/>
      <c r="U89" s="653"/>
      <c r="V89" s="653"/>
      <c r="W89" s="611"/>
      <c r="X89" s="611"/>
      <c r="Y89" s="611"/>
      <c r="Z89" s="611"/>
      <c r="AA89" s="611"/>
      <c r="AB89" s="611"/>
      <c r="AC89" s="611"/>
      <c r="AD89" s="611"/>
      <c r="AE89" s="611"/>
      <c r="AF89" s="611"/>
      <c r="AG89" s="611"/>
      <c r="AH89" s="611"/>
      <c r="AI89" s="653"/>
      <c r="AJ89" s="653"/>
      <c r="AK89" s="653"/>
      <c r="AL89" s="653"/>
      <c r="AM89" s="653"/>
      <c r="AN89" s="653"/>
      <c r="AO89" s="653"/>
      <c r="AP89" s="653"/>
      <c r="AQ89" s="653"/>
      <c r="AR89" s="653"/>
      <c r="AS89" s="653"/>
      <c r="AT89" s="653"/>
      <c r="AU89" s="653"/>
      <c r="AV89" s="653"/>
      <c r="AW89" s="653"/>
      <c r="AX89" s="653"/>
      <c r="AY89" s="653"/>
      <c r="AZ89" s="653"/>
      <c r="BA89" s="653"/>
      <c r="BB89" s="653"/>
      <c r="BC89" s="653"/>
    </row>
    <row r="90" spans="1:55">
      <c r="A90" s="653"/>
      <c r="B90" s="611"/>
      <c r="C90" s="611"/>
      <c r="D90" s="611"/>
      <c r="E90" s="611"/>
      <c r="F90" s="611"/>
      <c r="G90" s="611"/>
      <c r="H90" s="611"/>
      <c r="I90" s="611"/>
      <c r="J90" s="611"/>
      <c r="K90" s="653"/>
      <c r="L90" s="653"/>
      <c r="M90" s="653"/>
      <c r="N90" s="653"/>
      <c r="O90" s="653"/>
      <c r="P90" s="653"/>
      <c r="Q90" s="653"/>
      <c r="R90" s="653"/>
      <c r="S90" s="653"/>
      <c r="T90" s="653"/>
      <c r="U90" s="653"/>
      <c r="V90" s="653"/>
      <c r="W90" s="611"/>
      <c r="X90" s="611"/>
      <c r="Y90" s="611"/>
      <c r="Z90" s="611"/>
      <c r="AA90" s="611"/>
      <c r="AB90" s="611"/>
      <c r="AC90" s="611"/>
      <c r="AD90" s="611"/>
      <c r="AE90" s="611"/>
      <c r="AF90" s="611"/>
      <c r="AG90" s="611"/>
      <c r="AH90" s="611"/>
      <c r="AI90" s="653"/>
      <c r="AJ90" s="653"/>
      <c r="AK90" s="653"/>
      <c r="AL90" s="653"/>
      <c r="AM90" s="653"/>
      <c r="AN90" s="653"/>
      <c r="AO90" s="653"/>
      <c r="AP90" s="653"/>
      <c r="AQ90" s="653"/>
      <c r="AR90" s="653"/>
      <c r="AS90" s="653"/>
      <c r="AT90" s="653"/>
      <c r="AU90" s="653"/>
      <c r="AV90" s="653"/>
      <c r="AW90" s="653"/>
      <c r="AX90" s="653"/>
      <c r="AY90" s="653"/>
      <c r="AZ90" s="653"/>
      <c r="BA90" s="653"/>
      <c r="BB90" s="653"/>
      <c r="BC90" s="653"/>
    </row>
    <row r="91" spans="1:55">
      <c r="A91" s="653"/>
      <c r="B91" s="611"/>
      <c r="C91" s="611"/>
      <c r="D91" s="611"/>
      <c r="E91" s="611"/>
      <c r="F91" s="611"/>
      <c r="G91" s="611"/>
      <c r="H91" s="611"/>
      <c r="I91" s="611"/>
      <c r="J91" s="611"/>
      <c r="K91" s="653"/>
      <c r="L91" s="653"/>
      <c r="M91" s="653"/>
      <c r="N91" s="653"/>
      <c r="O91" s="653"/>
      <c r="P91" s="653"/>
      <c r="Q91" s="653"/>
      <c r="R91" s="653"/>
      <c r="S91" s="653"/>
      <c r="T91" s="653"/>
      <c r="U91" s="653"/>
      <c r="V91" s="653"/>
      <c r="W91" s="611"/>
      <c r="X91" s="611"/>
      <c r="Y91" s="611"/>
      <c r="Z91" s="611"/>
      <c r="AA91" s="611"/>
      <c r="AB91" s="611"/>
      <c r="AC91" s="611"/>
      <c r="AD91" s="611"/>
      <c r="AE91" s="611"/>
      <c r="AF91" s="611"/>
      <c r="AG91" s="611"/>
      <c r="AH91" s="611"/>
      <c r="AI91" s="653"/>
      <c r="AJ91" s="653"/>
      <c r="AK91" s="653"/>
      <c r="AL91" s="653"/>
      <c r="AM91" s="653"/>
      <c r="AN91" s="653"/>
      <c r="AO91" s="653"/>
      <c r="AP91" s="653"/>
      <c r="AQ91" s="653"/>
      <c r="AR91" s="653"/>
      <c r="AS91" s="653"/>
      <c r="AT91" s="653"/>
      <c r="AU91" s="653"/>
      <c r="AV91" s="653"/>
      <c r="AW91" s="653"/>
      <c r="AX91" s="653"/>
      <c r="AY91" s="653"/>
      <c r="AZ91" s="653"/>
      <c r="BA91" s="653"/>
      <c r="BB91" s="653"/>
      <c r="BC91" s="653"/>
    </row>
    <row r="92" spans="1:55">
      <c r="A92" s="653"/>
      <c r="B92" s="611"/>
      <c r="C92" s="611"/>
      <c r="D92" s="611"/>
      <c r="E92" s="611"/>
      <c r="F92" s="611"/>
      <c r="G92" s="611"/>
      <c r="H92" s="611"/>
      <c r="I92" s="611"/>
      <c r="J92" s="611"/>
      <c r="K92" s="653"/>
      <c r="L92" s="653"/>
      <c r="M92" s="653"/>
      <c r="N92" s="653"/>
      <c r="O92" s="653"/>
      <c r="P92" s="653"/>
      <c r="Q92" s="653"/>
      <c r="R92" s="653"/>
      <c r="S92" s="653"/>
      <c r="T92" s="653"/>
      <c r="U92" s="653"/>
      <c r="V92" s="653"/>
      <c r="W92" s="611"/>
      <c r="X92" s="611"/>
      <c r="Y92" s="611"/>
      <c r="Z92" s="611"/>
      <c r="AA92" s="611"/>
      <c r="AB92" s="611"/>
      <c r="AC92" s="611"/>
      <c r="AD92" s="611"/>
      <c r="AE92" s="611"/>
      <c r="AF92" s="611"/>
      <c r="AG92" s="611"/>
      <c r="AH92" s="611"/>
      <c r="AI92" s="653"/>
      <c r="AJ92" s="653"/>
      <c r="AK92" s="653"/>
      <c r="AL92" s="653"/>
      <c r="AM92" s="653"/>
      <c r="AN92" s="653"/>
      <c r="AO92" s="653"/>
      <c r="AP92" s="653"/>
      <c r="AQ92" s="653"/>
      <c r="AR92" s="653"/>
      <c r="AS92" s="653"/>
      <c r="AT92" s="653"/>
      <c r="AU92" s="653"/>
      <c r="AV92" s="653"/>
      <c r="AW92" s="653"/>
      <c r="AX92" s="653"/>
      <c r="AY92" s="653"/>
      <c r="AZ92" s="653"/>
      <c r="BA92" s="653"/>
      <c r="BB92" s="653"/>
      <c r="BC92" s="653"/>
    </row>
    <row r="93" spans="1:55">
      <c r="A93" s="653"/>
      <c r="B93" s="611"/>
      <c r="C93" s="611"/>
      <c r="D93" s="611"/>
      <c r="E93" s="611"/>
      <c r="F93" s="611"/>
      <c r="G93" s="611"/>
      <c r="H93" s="611"/>
      <c r="I93" s="611"/>
      <c r="J93" s="611"/>
      <c r="K93" s="653"/>
      <c r="L93" s="653"/>
      <c r="M93" s="653"/>
      <c r="N93" s="653"/>
      <c r="O93" s="653"/>
      <c r="P93" s="653"/>
      <c r="Q93" s="653"/>
      <c r="R93" s="653"/>
      <c r="S93" s="653"/>
      <c r="T93" s="653"/>
      <c r="U93" s="653"/>
      <c r="V93" s="653"/>
      <c r="W93" s="611"/>
      <c r="X93" s="611"/>
      <c r="Y93" s="611"/>
      <c r="Z93" s="611"/>
      <c r="AA93" s="611"/>
      <c r="AB93" s="611"/>
      <c r="AC93" s="611"/>
      <c r="AD93" s="611"/>
      <c r="AE93" s="611"/>
      <c r="AF93" s="611"/>
      <c r="AG93" s="611"/>
      <c r="AH93" s="611"/>
      <c r="AI93" s="653"/>
      <c r="AJ93" s="653"/>
      <c r="AK93" s="653"/>
      <c r="AL93" s="653"/>
      <c r="AM93" s="653"/>
      <c r="AN93" s="653"/>
      <c r="AO93" s="653"/>
      <c r="AP93" s="653"/>
      <c r="AQ93" s="653"/>
      <c r="AR93" s="653"/>
      <c r="AS93" s="653"/>
      <c r="AT93" s="653"/>
      <c r="AU93" s="653"/>
      <c r="AV93" s="653"/>
      <c r="AW93" s="653"/>
      <c r="AX93" s="653"/>
      <c r="AY93" s="653"/>
      <c r="AZ93" s="653"/>
      <c r="BA93" s="653"/>
      <c r="BB93" s="653"/>
      <c r="BC93" s="653"/>
    </row>
    <row r="94" spans="1:55">
      <c r="A94" s="653"/>
      <c r="B94" s="611"/>
      <c r="C94" s="611"/>
      <c r="D94" s="611"/>
      <c r="E94" s="611"/>
      <c r="F94" s="611"/>
      <c r="G94" s="611"/>
      <c r="H94" s="611"/>
      <c r="I94" s="611"/>
      <c r="J94" s="611"/>
      <c r="K94" s="653"/>
      <c r="L94" s="653"/>
      <c r="M94" s="653"/>
      <c r="N94" s="653"/>
      <c r="O94" s="653"/>
      <c r="P94" s="653"/>
      <c r="Q94" s="653"/>
      <c r="R94" s="653"/>
      <c r="S94" s="653"/>
      <c r="T94" s="653"/>
      <c r="U94" s="653"/>
      <c r="V94" s="653"/>
      <c r="W94" s="611"/>
      <c r="X94" s="611"/>
      <c r="Y94" s="611"/>
      <c r="Z94" s="611"/>
      <c r="AA94" s="611"/>
      <c r="AB94" s="611"/>
      <c r="AC94" s="611"/>
      <c r="AD94" s="611"/>
      <c r="AE94" s="611"/>
      <c r="AF94" s="611"/>
      <c r="AG94" s="611"/>
      <c r="AH94" s="611"/>
      <c r="AI94" s="653"/>
      <c r="AJ94" s="653"/>
      <c r="AK94" s="653"/>
      <c r="AL94" s="653"/>
      <c r="AM94" s="653"/>
      <c r="AN94" s="653"/>
      <c r="AO94" s="653"/>
      <c r="AP94" s="653"/>
      <c r="AQ94" s="653"/>
      <c r="AR94" s="653"/>
      <c r="AS94" s="653"/>
      <c r="AT94" s="653"/>
      <c r="AU94" s="653"/>
      <c r="AV94" s="653"/>
      <c r="AW94" s="653"/>
      <c r="AX94" s="653"/>
      <c r="AY94" s="653"/>
      <c r="AZ94" s="653"/>
      <c r="BA94" s="653"/>
      <c r="BB94" s="653"/>
      <c r="BC94" s="653"/>
    </row>
    <row r="95" spans="1:55">
      <c r="A95" s="653"/>
      <c r="B95" s="611"/>
      <c r="C95" s="611"/>
      <c r="D95" s="611"/>
      <c r="E95" s="611"/>
      <c r="F95" s="611"/>
      <c r="G95" s="611"/>
      <c r="H95" s="611"/>
      <c r="I95" s="611"/>
      <c r="J95" s="611"/>
      <c r="K95" s="653"/>
      <c r="L95" s="653"/>
      <c r="M95" s="653"/>
      <c r="N95" s="653"/>
      <c r="O95" s="653"/>
      <c r="P95" s="653"/>
      <c r="Q95" s="653"/>
      <c r="R95" s="653"/>
      <c r="S95" s="653"/>
      <c r="T95" s="653"/>
      <c r="U95" s="653"/>
      <c r="V95" s="653"/>
      <c r="W95" s="611"/>
      <c r="X95" s="611"/>
      <c r="Y95" s="611"/>
      <c r="Z95" s="611"/>
      <c r="AA95" s="611"/>
      <c r="AB95" s="611"/>
      <c r="AC95" s="611"/>
      <c r="AD95" s="611"/>
      <c r="AE95" s="611"/>
      <c r="AF95" s="611"/>
      <c r="AG95" s="611"/>
      <c r="AH95" s="611"/>
      <c r="AI95" s="653"/>
      <c r="AJ95" s="653"/>
      <c r="AK95" s="653"/>
      <c r="AL95" s="653"/>
      <c r="AM95" s="653"/>
      <c r="AN95" s="653"/>
      <c r="AO95" s="653"/>
      <c r="AP95" s="653"/>
      <c r="AQ95" s="653"/>
      <c r="AR95" s="653"/>
      <c r="AS95" s="653"/>
      <c r="AT95" s="653"/>
      <c r="AU95" s="653"/>
      <c r="AV95" s="653"/>
      <c r="AW95" s="653"/>
      <c r="AX95" s="653"/>
      <c r="AY95" s="653"/>
      <c r="AZ95" s="653"/>
      <c r="BA95" s="653"/>
      <c r="BB95" s="653"/>
      <c r="BC95" s="653"/>
    </row>
    <row r="96" spans="1:55">
      <c r="A96" s="653"/>
      <c r="B96" s="611"/>
      <c r="C96" s="611"/>
      <c r="D96" s="611"/>
      <c r="E96" s="611"/>
      <c r="F96" s="611"/>
      <c r="G96" s="611"/>
      <c r="H96" s="611"/>
      <c r="I96" s="611"/>
      <c r="J96" s="611"/>
      <c r="K96" s="653"/>
      <c r="L96" s="653"/>
      <c r="M96" s="653"/>
      <c r="N96" s="653"/>
      <c r="O96" s="653"/>
      <c r="P96" s="653"/>
      <c r="Q96" s="653"/>
      <c r="R96" s="653"/>
      <c r="S96" s="653"/>
      <c r="T96" s="653"/>
      <c r="U96" s="653"/>
      <c r="V96" s="653"/>
      <c r="W96" s="611"/>
      <c r="X96" s="611"/>
      <c r="Y96" s="611"/>
      <c r="Z96" s="611"/>
      <c r="AA96" s="611"/>
      <c r="AB96" s="611"/>
      <c r="AC96" s="611"/>
      <c r="AD96" s="611"/>
      <c r="AE96" s="611"/>
      <c r="AF96" s="611"/>
      <c r="AG96" s="611"/>
      <c r="AH96" s="611"/>
      <c r="AI96" s="653"/>
      <c r="AJ96" s="653"/>
      <c r="AK96" s="653"/>
      <c r="AL96" s="653"/>
      <c r="AM96" s="653"/>
      <c r="AN96" s="653"/>
      <c r="AO96" s="653"/>
      <c r="AP96" s="653"/>
      <c r="AQ96" s="653"/>
      <c r="AR96" s="653"/>
      <c r="AS96" s="653"/>
      <c r="AT96" s="653"/>
      <c r="AU96" s="653"/>
      <c r="AV96" s="653"/>
      <c r="AW96" s="653"/>
      <c r="AX96" s="653"/>
      <c r="AY96" s="653"/>
      <c r="AZ96" s="653"/>
      <c r="BA96" s="653"/>
      <c r="BB96" s="653"/>
      <c r="BC96" s="653"/>
    </row>
    <row r="97" spans="1:55">
      <c r="A97" s="653"/>
      <c r="B97" s="611"/>
      <c r="C97" s="611"/>
      <c r="D97" s="611"/>
      <c r="E97" s="611"/>
      <c r="F97" s="611"/>
      <c r="G97" s="611"/>
      <c r="H97" s="611"/>
      <c r="I97" s="611"/>
      <c r="J97" s="611"/>
      <c r="K97" s="653"/>
      <c r="L97" s="653"/>
      <c r="M97" s="653"/>
      <c r="N97" s="653"/>
      <c r="O97" s="653"/>
      <c r="P97" s="653"/>
      <c r="Q97" s="653"/>
      <c r="R97" s="653"/>
      <c r="S97" s="653"/>
      <c r="T97" s="653"/>
      <c r="U97" s="653"/>
      <c r="V97" s="653"/>
      <c r="W97" s="611"/>
      <c r="X97" s="611"/>
      <c r="Y97" s="611"/>
      <c r="Z97" s="611"/>
      <c r="AA97" s="611"/>
      <c r="AB97" s="611"/>
      <c r="AC97" s="611"/>
      <c r="AD97" s="611"/>
      <c r="AE97" s="611"/>
      <c r="AF97" s="611"/>
      <c r="AG97" s="611"/>
      <c r="AH97" s="611"/>
      <c r="AI97" s="653"/>
      <c r="AJ97" s="653"/>
      <c r="AK97" s="653"/>
      <c r="AL97" s="653"/>
      <c r="AM97" s="653"/>
      <c r="AN97" s="653"/>
      <c r="AO97" s="653"/>
      <c r="AP97" s="653"/>
      <c r="AQ97" s="653"/>
      <c r="AR97" s="653"/>
      <c r="AS97" s="653"/>
      <c r="AT97" s="653"/>
      <c r="AU97" s="653"/>
      <c r="AV97" s="653"/>
      <c r="AW97" s="653"/>
      <c r="AX97" s="653"/>
      <c r="AY97" s="653"/>
      <c r="AZ97" s="653"/>
      <c r="BA97" s="653"/>
      <c r="BB97" s="653"/>
      <c r="BC97" s="653"/>
    </row>
    <row r="98" spans="1:55">
      <c r="A98" s="653"/>
      <c r="B98" s="611"/>
      <c r="C98" s="611"/>
      <c r="D98" s="611"/>
      <c r="E98" s="611"/>
      <c r="F98" s="611"/>
      <c r="G98" s="611"/>
      <c r="H98" s="611"/>
      <c r="I98" s="611"/>
      <c r="J98" s="611"/>
      <c r="K98" s="653"/>
      <c r="L98" s="653"/>
      <c r="M98" s="653"/>
      <c r="N98" s="653"/>
      <c r="O98" s="653"/>
      <c r="P98" s="653"/>
      <c r="Q98" s="653"/>
      <c r="R98" s="653"/>
      <c r="S98" s="653"/>
      <c r="T98" s="653"/>
      <c r="U98" s="653"/>
      <c r="V98" s="653"/>
      <c r="W98" s="611"/>
      <c r="X98" s="611"/>
      <c r="Y98" s="611"/>
      <c r="Z98" s="611"/>
      <c r="AA98" s="611"/>
      <c r="AB98" s="611"/>
      <c r="AC98" s="611"/>
      <c r="AD98" s="611"/>
      <c r="AE98" s="611"/>
      <c r="AF98" s="611"/>
      <c r="AG98" s="611"/>
      <c r="AH98" s="611"/>
      <c r="AI98" s="653"/>
      <c r="AJ98" s="653"/>
      <c r="AK98" s="653"/>
      <c r="AL98" s="653"/>
      <c r="AM98" s="653"/>
      <c r="AN98" s="653"/>
      <c r="AO98" s="653"/>
      <c r="AP98" s="653"/>
      <c r="AQ98" s="653"/>
      <c r="AR98" s="653"/>
      <c r="AS98" s="653"/>
      <c r="AT98" s="653"/>
      <c r="AU98" s="653"/>
      <c r="AV98" s="653"/>
      <c r="AW98" s="653"/>
      <c r="AX98" s="653"/>
      <c r="AY98" s="653"/>
      <c r="AZ98" s="653"/>
      <c r="BA98" s="653"/>
      <c r="BB98" s="653"/>
      <c r="BC98" s="653"/>
    </row>
    <row r="99" spans="1:55">
      <c r="A99" s="653"/>
      <c r="B99" s="611"/>
      <c r="C99" s="611"/>
      <c r="D99" s="611"/>
      <c r="E99" s="611"/>
      <c r="F99" s="611"/>
      <c r="G99" s="611"/>
      <c r="H99" s="611"/>
      <c r="I99" s="611"/>
      <c r="J99" s="611"/>
      <c r="K99" s="653"/>
      <c r="L99" s="653"/>
      <c r="M99" s="653"/>
      <c r="N99" s="653"/>
      <c r="O99" s="653"/>
      <c r="P99" s="653"/>
      <c r="Q99" s="653"/>
      <c r="R99" s="653"/>
      <c r="S99" s="653"/>
      <c r="T99" s="653"/>
      <c r="U99" s="653"/>
      <c r="V99" s="653"/>
      <c r="W99" s="611"/>
      <c r="X99" s="611"/>
      <c r="Y99" s="611"/>
      <c r="Z99" s="611"/>
      <c r="AA99" s="611"/>
      <c r="AB99" s="611"/>
      <c r="AC99" s="611"/>
      <c r="AD99" s="611"/>
      <c r="AE99" s="611"/>
      <c r="AF99" s="611"/>
      <c r="AG99" s="611"/>
      <c r="AH99" s="611"/>
      <c r="AI99" s="653"/>
      <c r="AJ99" s="653"/>
      <c r="AK99" s="653"/>
      <c r="AL99" s="653"/>
      <c r="AM99" s="653"/>
      <c r="AN99" s="653"/>
      <c r="AO99" s="653"/>
      <c r="AP99" s="653"/>
      <c r="AQ99" s="653"/>
      <c r="AR99" s="653"/>
      <c r="AS99" s="653"/>
      <c r="AT99" s="653"/>
      <c r="AU99" s="653"/>
      <c r="AV99" s="653"/>
      <c r="AW99" s="653"/>
      <c r="AX99" s="653"/>
      <c r="AY99" s="653"/>
      <c r="AZ99" s="653"/>
      <c r="BA99" s="653"/>
      <c r="BB99" s="653"/>
      <c r="BC99" s="653"/>
    </row>
    <row r="100" spans="1:55">
      <c r="A100" s="653"/>
      <c r="B100" s="611"/>
      <c r="C100" s="611"/>
      <c r="D100" s="611"/>
      <c r="E100" s="611"/>
      <c r="F100" s="611"/>
      <c r="G100" s="611"/>
      <c r="H100" s="611"/>
      <c r="I100" s="611"/>
      <c r="J100" s="611"/>
      <c r="K100" s="653"/>
      <c r="L100" s="653"/>
      <c r="M100" s="653"/>
      <c r="N100" s="653"/>
      <c r="O100" s="653"/>
      <c r="P100" s="653"/>
      <c r="Q100" s="653"/>
      <c r="R100" s="653"/>
      <c r="S100" s="653"/>
      <c r="T100" s="653"/>
      <c r="U100" s="653"/>
      <c r="V100" s="653"/>
      <c r="W100" s="611"/>
      <c r="X100" s="611"/>
      <c r="Y100" s="611"/>
      <c r="Z100" s="611"/>
      <c r="AA100" s="611"/>
      <c r="AB100" s="611"/>
      <c r="AC100" s="611"/>
      <c r="AD100" s="611"/>
      <c r="AE100" s="611"/>
      <c r="AF100" s="611"/>
      <c r="AG100" s="611"/>
      <c r="AH100" s="611"/>
      <c r="AI100" s="653"/>
      <c r="AJ100" s="653"/>
      <c r="AK100" s="653"/>
      <c r="AL100" s="653"/>
      <c r="AM100" s="653"/>
      <c r="AN100" s="653"/>
      <c r="AO100" s="653"/>
      <c r="AP100" s="653"/>
      <c r="AQ100" s="653"/>
      <c r="AR100" s="653"/>
      <c r="AS100" s="653"/>
      <c r="AT100" s="653"/>
      <c r="AU100" s="653"/>
      <c r="AV100" s="653"/>
      <c r="AW100" s="653"/>
      <c r="AX100" s="653"/>
      <c r="AY100" s="653"/>
      <c r="AZ100" s="653"/>
      <c r="BA100" s="653"/>
      <c r="BB100" s="653"/>
      <c r="BC100" s="653"/>
    </row>
    <row r="113" spans="2:8">
      <c r="B113" s="463" t="s">
        <v>348</v>
      </c>
      <c r="C113" s="463"/>
      <c r="F113" s="610" t="s">
        <v>347</v>
      </c>
      <c r="G113" s="610"/>
      <c r="H113" s="610"/>
    </row>
  </sheetData>
  <sheetProtection algorithmName="SHA-512" hashValue="pjXXpt1RkXjQF8wf8Xqha+bOHeIrGfgtFU95AIamOxtWbEP5AB+S5oGywb30SXvBuV3Vj5WzncytPL6U6h4Lww==" saltValue="GohbOczDpJ8KpE3vyx8Ofg==" spinCount="100000" sheet="1" objects="1" scenarios="1"/>
  <mergeCells count="8">
    <mergeCell ref="R3:U3"/>
    <mergeCell ref="R20:U21"/>
    <mergeCell ref="R23:U24"/>
    <mergeCell ref="B3:O3"/>
    <mergeCell ref="C25:O25"/>
    <mergeCell ref="M4:O4"/>
    <mergeCell ref="H4:L4"/>
    <mergeCell ref="C4:G4"/>
  </mergeCells>
  <pageMargins left="0.7" right="0.7" top="0.75" bottom="0.75" header="0.3" footer="0.3"/>
  <pageSetup scale="41" orientation="landscape" r:id="rId1"/>
  <ignoredErrors>
    <ignoredError sqref="H7:K7 T5 H6:K6 L6:L7 H8:L14 H15:L23 T16:T18 T7:T14" unlockedFormula="1"/>
    <ignoredError sqref="N14:O14 N16:O16" evalError="1"/>
  </ignoredErrors>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92D9-E587-184F-AD8D-758074A4BE5E}">
  <sheetPr codeName="Sheet32">
    <pageSetUpPr fitToPage="1"/>
  </sheetPr>
  <dimension ref="A1:W115"/>
  <sheetViews>
    <sheetView zoomScale="110" zoomScaleNormal="110" workbookViewId="0">
      <selection sqref="A1:XFD1048576"/>
    </sheetView>
  </sheetViews>
  <sheetFormatPr defaultColWidth="11.44140625" defaultRowHeight="14.4"/>
  <cols>
    <col min="1" max="1" width="4.88671875" style="611" customWidth="1"/>
    <col min="2" max="2" width="5.6640625" style="611" customWidth="1"/>
    <col min="3" max="3" width="46" style="611" bestFit="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1" width="4.6640625" style="611" hidden="1" customWidth="1"/>
    <col min="12" max="14" width="11.44140625" style="653" hidden="1" customWidth="1"/>
    <col min="15" max="23" width="11.44140625" style="611"/>
    <col min="24" max="16384" width="11.44140625" style="653"/>
  </cols>
  <sheetData>
    <row r="1" spans="2:14" ht="15.9" customHeight="1" thickBot="1">
      <c r="B1" s="741"/>
      <c r="C1" s="741"/>
      <c r="D1" s="742"/>
      <c r="E1" s="743"/>
      <c r="F1" s="744"/>
      <c r="G1" s="745"/>
      <c r="H1" s="745"/>
      <c r="I1" s="745"/>
      <c r="J1" s="745"/>
    </row>
    <row r="2" spans="2:14" ht="22.8">
      <c r="B2" s="746" t="s">
        <v>488</v>
      </c>
      <c r="C2" s="746"/>
      <c r="D2" s="746"/>
      <c r="E2" s="746"/>
      <c r="F2" s="746"/>
      <c r="G2" s="746" t="str">
        <f>'AcresYieldsPrices&amp;Water'!B19</f>
        <v>Alfalfa Hay Estab.</v>
      </c>
      <c r="H2" s="746"/>
      <c r="I2" s="746"/>
      <c r="J2" s="747" t="s">
        <v>487</v>
      </c>
    </row>
    <row r="3" spans="2:14" ht="22.8">
      <c r="B3" s="748" t="s">
        <v>22</v>
      </c>
      <c r="C3" s="748"/>
      <c r="D3" s="749"/>
      <c r="E3" s="750"/>
      <c r="F3" s="751" t="s">
        <v>1</v>
      </c>
      <c r="G3" s="752" t="s">
        <v>24</v>
      </c>
      <c r="H3" s="753"/>
      <c r="I3" s="752" t="s">
        <v>25</v>
      </c>
      <c r="J3" s="752" t="s">
        <v>0</v>
      </c>
    </row>
    <row r="4" spans="2:14" ht="21">
      <c r="B4" s="754" t="str">
        <f>BASEBUDGETS!B2785</f>
        <v>Alfalfa Hay Estab.</v>
      </c>
      <c r="C4" s="754"/>
      <c r="D4" s="754"/>
      <c r="E4" s="754"/>
      <c r="F4" s="755" t="str">
        <f>BASEBUDGETS!C2785</f>
        <v>ton</v>
      </c>
      <c r="G4" s="756">
        <f>BASEBUDGETS!D2785</f>
        <v>250</v>
      </c>
      <c r="I4" s="758">
        <f>IF(BASEBUDGETS!E2785=0,0,BASEBUDGETS!E2785/BASEBUDGETS!C2781)</f>
        <v>0</v>
      </c>
      <c r="J4" s="761">
        <f>G4*I4</f>
        <v>0</v>
      </c>
    </row>
    <row r="5" spans="2:14" ht="20.399999999999999">
      <c r="B5" s="679" t="s">
        <v>27</v>
      </c>
      <c r="C5" s="679"/>
      <c r="D5" s="762"/>
      <c r="E5" s="763"/>
      <c r="F5" s="679"/>
      <c r="G5" s="764"/>
      <c r="H5" s="764"/>
      <c r="I5" s="764"/>
      <c r="J5" s="764">
        <f>SUM(J4:J4)</f>
        <v>0</v>
      </c>
    </row>
    <row r="6" spans="2:14" ht="21">
      <c r="B6" s="660"/>
      <c r="C6" s="660"/>
      <c r="D6" s="765"/>
      <c r="E6" s="758"/>
      <c r="F6" s="660"/>
      <c r="G6" s="756"/>
      <c r="H6" s="756"/>
      <c r="I6" s="756"/>
      <c r="J6" s="756"/>
    </row>
    <row r="7" spans="2:14" ht="21">
      <c r="B7" s="766" t="s">
        <v>76</v>
      </c>
      <c r="C7" s="766"/>
      <c r="D7" s="767" t="s">
        <v>45</v>
      </c>
      <c r="E7" s="810" t="s">
        <v>25</v>
      </c>
      <c r="F7" s="811" t="s">
        <v>1</v>
      </c>
      <c r="G7" s="812" t="s">
        <v>149</v>
      </c>
      <c r="H7" s="812" t="s">
        <v>8</v>
      </c>
      <c r="I7" s="812" t="s">
        <v>150</v>
      </c>
      <c r="J7" s="812" t="s">
        <v>7</v>
      </c>
    </row>
    <row r="8" spans="2:14" ht="21">
      <c r="B8" s="754" t="s">
        <v>210</v>
      </c>
      <c r="C8" s="754"/>
      <c r="D8" s="765"/>
      <c r="E8" s="758"/>
      <c r="F8" s="769"/>
      <c r="G8" s="770"/>
      <c r="H8" s="770"/>
      <c r="I8" s="770"/>
    </row>
    <row r="9" spans="2:14" ht="21">
      <c r="C9" s="660" t="str">
        <f>BASEBUDGETS!B2820</f>
        <v>V Ripper, Custom</v>
      </c>
      <c r="D9" s="765">
        <f>CustomOperations!U5</f>
        <v>44.25</v>
      </c>
      <c r="E9" s="771" t="e">
        <f>BASEBUDGETS!E2820/BASEBUDGETS!C$2781</f>
        <v>#DIV/0!</v>
      </c>
      <c r="F9" s="770" t="str">
        <f>BASEBUDGETS!C2820</f>
        <v>acre</v>
      </c>
      <c r="G9" s="756">
        <v>0</v>
      </c>
      <c r="H9" s="756">
        <v>0</v>
      </c>
      <c r="I9" s="756" t="e">
        <f>IF(E9=0,0,BASEBUDGETS!D2820*E9)</f>
        <v>#DIV/0!</v>
      </c>
      <c r="J9" s="765" t="e">
        <f>G9+H9+I9</f>
        <v>#DIV/0!</v>
      </c>
      <c r="L9" s="772">
        <f>N9*'AcresYieldsPrices&amp;Water'!D$19</f>
        <v>0</v>
      </c>
      <c r="M9" s="611" t="s">
        <v>394</v>
      </c>
      <c r="N9" s="653">
        <f>IFERROR(I37,0)</f>
        <v>0</v>
      </c>
    </row>
    <row r="10" spans="2:14" ht="21">
      <c r="C10" s="660" t="str">
        <f>BASEBUDGETS!B2821</f>
        <v>Disk, Custom</v>
      </c>
      <c r="D10" s="765">
        <f>CustomOperations!U7</f>
        <v>0</v>
      </c>
      <c r="E10" s="771" t="e">
        <f>BASEBUDGETS!E2821/BASEBUDGETS!C$2781</f>
        <v>#DIV/0!</v>
      </c>
      <c r="F10" s="770" t="str">
        <f>BASEBUDGETS!C2821</f>
        <v>acre</v>
      </c>
      <c r="G10" s="756">
        <v>0</v>
      </c>
      <c r="H10" s="756">
        <v>0</v>
      </c>
      <c r="I10" s="756" t="e">
        <f>IF(E10=0,0,BASEBUDGETS!D2821*E10)</f>
        <v>#DIV/0!</v>
      </c>
      <c r="J10" s="765" t="e">
        <f>G10+H10+I10</f>
        <v>#DIV/0!</v>
      </c>
      <c r="L10" s="772">
        <f>N10*'AcresYieldsPrices&amp;Water'!D$19</f>
        <v>0</v>
      </c>
      <c r="M10" s="611" t="s">
        <v>395</v>
      </c>
      <c r="N10" s="653">
        <f>IFERROR(I44,0)</f>
        <v>0</v>
      </c>
    </row>
    <row r="11" spans="2:14" ht="21">
      <c r="C11" s="660" t="str">
        <f>BASEBUDGETS!B2822</f>
        <v>Drag, Custom</v>
      </c>
      <c r="D11" s="765">
        <f>CustomOperations!U9</f>
        <v>0</v>
      </c>
      <c r="E11" s="771" t="e">
        <f>BASEBUDGETS!E2822/BASEBUDGETS!C$2781</f>
        <v>#DIV/0!</v>
      </c>
      <c r="F11" s="770" t="str">
        <f>BASEBUDGETS!C2822</f>
        <v>acre</v>
      </c>
      <c r="G11" s="756">
        <v>0</v>
      </c>
      <c r="H11" s="756">
        <v>0</v>
      </c>
      <c r="I11" s="756" t="e">
        <f>IF(E11=0,0,BASEBUDGETS!D2822*E11)</f>
        <v>#DIV/0!</v>
      </c>
      <c r="J11" s="765" t="e">
        <f t="shared" ref="J11:J30" si="0">G11+H11+I11</f>
        <v>#DIV/0!</v>
      </c>
      <c r="L11" s="772">
        <f>N11*'AcresYieldsPrices&amp;Water'!D$19</f>
        <v>0</v>
      </c>
      <c r="M11" s="611" t="s">
        <v>396</v>
      </c>
      <c r="N11" s="653">
        <f>IFERROR(I54,0)</f>
        <v>0</v>
      </c>
    </row>
    <row r="12" spans="2:14" ht="21">
      <c r="C12" s="660" t="str">
        <f>BASEBUDGETS!B2823</f>
        <v>Chisel, Custom</v>
      </c>
      <c r="D12" s="765">
        <f>CustomOperations!U11</f>
        <v>0</v>
      </c>
      <c r="E12" s="771" t="e">
        <f>BASEBUDGETS!E2823/BASEBUDGETS!C$2781</f>
        <v>#DIV/0!</v>
      </c>
      <c r="F12" s="770" t="str">
        <f>BASEBUDGETS!C2823</f>
        <v>acre</v>
      </c>
      <c r="G12" s="756">
        <v>0</v>
      </c>
      <c r="H12" s="756">
        <v>0</v>
      </c>
      <c r="I12" s="756" t="e">
        <f>IF(E12=0,0,BASEBUDGETS!D2823*E12)</f>
        <v>#DIV/0!</v>
      </c>
      <c r="J12" s="765" t="e">
        <f t="shared" si="0"/>
        <v>#DIV/0!</v>
      </c>
      <c r="L12" s="772">
        <f>N12*'AcresYieldsPrices&amp;Water'!D$19</f>
        <v>0</v>
      </c>
      <c r="M12" s="611" t="s">
        <v>392</v>
      </c>
      <c r="N12" s="653">
        <f>IFERROR(E29+E30+E74+E75+E91+E92+E72+E69+E66,0)</f>
        <v>0</v>
      </c>
    </row>
    <row r="13" spans="2:14" ht="21">
      <c r="C13" s="660" t="str">
        <f>BASEBUDGETS!B2824</f>
        <v>Moldboard Plow, Custom</v>
      </c>
      <c r="D13" s="765">
        <f>CustomOperations!U13</f>
        <v>0</v>
      </c>
      <c r="E13" s="771" t="e">
        <f>BASEBUDGETS!E2824/BASEBUDGETS!C$2781</f>
        <v>#DIV/0!</v>
      </c>
      <c r="F13" s="770" t="str">
        <f>BASEBUDGETS!C2824</f>
        <v>acre</v>
      </c>
      <c r="G13" s="756">
        <v>0</v>
      </c>
      <c r="H13" s="756">
        <v>0</v>
      </c>
      <c r="I13" s="756" t="e">
        <f>IF(E13=0,0,BASEBUDGETS!D2824*E13)</f>
        <v>#DIV/0!</v>
      </c>
      <c r="J13" s="765" t="e">
        <f t="shared" si="0"/>
        <v>#DIV/0!</v>
      </c>
      <c r="L13" s="772">
        <f>N13*'AcresYieldsPrices&amp;Water'!D$19</f>
        <v>0</v>
      </c>
      <c r="M13" s="611" t="s">
        <v>393</v>
      </c>
      <c r="N13" s="653">
        <f>IFERROR(((SUM(G18:G28)+G36+G34+G35+G43+G42+G53+G63+SUM(G80:G90))/[2]GeneralInputPrices!$D$20),0)</f>
        <v>0</v>
      </c>
    </row>
    <row r="14" spans="2:14" ht="21">
      <c r="C14" s="660" t="str">
        <f>BASEBUDGETS!B2825</f>
        <v>Landplane, Custom</v>
      </c>
      <c r="D14" s="765">
        <f>CustomOperations!U15</f>
        <v>17.940000000000001</v>
      </c>
      <c r="E14" s="771" t="e">
        <f>BASEBUDGETS!E2825/BASEBUDGETS!C$2781</f>
        <v>#DIV/0!</v>
      </c>
      <c r="F14" s="770" t="str">
        <f>BASEBUDGETS!C2825</f>
        <v>acre</v>
      </c>
      <c r="G14" s="756">
        <v>0</v>
      </c>
      <c r="H14" s="756">
        <v>0</v>
      </c>
      <c r="I14" s="756" t="e">
        <f>IF(E14=0,0,BASEBUDGETS!D2825*E14)</f>
        <v>#DIV/0!</v>
      </c>
      <c r="J14" s="765" t="e">
        <f t="shared" si="0"/>
        <v>#DIV/0!</v>
      </c>
      <c r="L14" s="772">
        <f>N14*'AcresYieldsPrices&amp;Water'!D$19</f>
        <v>0</v>
      </c>
      <c r="M14" s="611" t="s">
        <v>186</v>
      </c>
      <c r="N14" s="653">
        <f>IFERROR(H96,0)</f>
        <v>0</v>
      </c>
    </row>
    <row r="15" spans="2:14" ht="21">
      <c r="C15" s="660" t="str">
        <f>BASEBUDGETS!B2826</f>
        <v>Float, Custom</v>
      </c>
      <c r="D15" s="765">
        <f>CustomOperations!U17</f>
        <v>17.940000000000001</v>
      </c>
      <c r="E15" s="771" t="e">
        <f>BASEBUDGETS!E2826/BASEBUDGETS!C$2781</f>
        <v>#DIV/0!</v>
      </c>
      <c r="F15" s="770" t="str">
        <f>BASEBUDGETS!C2826</f>
        <v>acre</v>
      </c>
      <c r="G15" s="756">
        <v>0</v>
      </c>
      <c r="H15" s="756">
        <v>0</v>
      </c>
      <c r="I15" s="756" t="e">
        <f>IF(E15=0,0,BASEBUDGETS!D2826*E15)</f>
        <v>#DIV/0!</v>
      </c>
      <c r="J15" s="765" t="e">
        <f t="shared" si="0"/>
        <v>#DIV/0!</v>
      </c>
      <c r="L15" s="772">
        <f>N15*'AcresYieldsPrices&amp;Water'!D$19</f>
        <v>0</v>
      </c>
      <c r="M15" s="611" t="s">
        <v>401</v>
      </c>
      <c r="N15" s="653">
        <f>IFERROR(J111,0)</f>
        <v>0</v>
      </c>
    </row>
    <row r="16" spans="2:14" ht="21">
      <c r="C16" s="660" t="str">
        <f>BASEBUDGETS!B2827</f>
        <v>Lister, Custom</v>
      </c>
      <c r="D16" s="765">
        <f>CustomOperations!U19</f>
        <v>20.38</v>
      </c>
      <c r="E16" s="771" t="e">
        <f>BASEBUDGETS!E2827/BASEBUDGETS!C$2781</f>
        <v>#DIV/0!</v>
      </c>
      <c r="F16" s="770" t="str">
        <f>BASEBUDGETS!C2827</f>
        <v>acre</v>
      </c>
      <c r="G16" s="756">
        <v>0</v>
      </c>
      <c r="H16" s="756">
        <v>0</v>
      </c>
      <c r="I16" s="756" t="e">
        <f>IF(E16=0,0,BASEBUDGETS!D2827*E16)</f>
        <v>#DIV/0!</v>
      </c>
      <c r="J16" s="765" t="e">
        <f t="shared" si="0"/>
        <v>#DIV/0!</v>
      </c>
      <c r="L16" s="772">
        <f>N16*'AcresYieldsPrices&amp;Water'!D$19</f>
        <v>0</v>
      </c>
      <c r="M16" s="611" t="s">
        <v>405</v>
      </c>
      <c r="N16" s="653">
        <f>IFERROR((J79+J78+J77+J62+J52+J41+J40+J33+J32+SUM(J9:J17)),0)</f>
        <v>0</v>
      </c>
    </row>
    <row r="17" spans="2:10" ht="21">
      <c r="C17" s="660" t="str">
        <f>BASEBUDGETS!B2828</f>
        <v>Bed Shape, Custom</v>
      </c>
      <c r="D17" s="765">
        <f>CustomOperations!U21</f>
        <v>13.69</v>
      </c>
      <c r="E17" s="771" t="e">
        <f>BASEBUDGETS!E2828/BASEBUDGETS!C$2781</f>
        <v>#DIV/0!</v>
      </c>
      <c r="F17" s="770" t="str">
        <f>BASEBUDGETS!C2828</f>
        <v>acre</v>
      </c>
      <c r="G17" s="756">
        <v>0</v>
      </c>
      <c r="H17" s="756">
        <v>0</v>
      </c>
      <c r="I17" s="756" t="e">
        <f>IF(E17=0,0,BASEBUDGETS!D2828*E17)</f>
        <v>#DIV/0!</v>
      </c>
      <c r="J17" s="765" t="e">
        <f t="shared" si="0"/>
        <v>#DIV/0!</v>
      </c>
    </row>
    <row r="18" spans="2:10" ht="21">
      <c r="C18" s="660" t="str">
        <f>TillageOperations!$B$7</f>
        <v>V-Ripper</v>
      </c>
      <c r="D18" s="765"/>
      <c r="E18" s="771" t="e">
        <f>BASEBUDGETS!E2832/BASEBUDGETS!C2781</f>
        <v>#DIV/0!</v>
      </c>
      <c r="F18" s="770" t="str">
        <f>BASEBUDGETS!C2832</f>
        <v>acre</v>
      </c>
      <c r="G18" s="756" t="e">
        <f>IF(E18=0,0,BASEBUDGETS!D2833*E18)</f>
        <v>#DIV/0!</v>
      </c>
      <c r="H18" s="756" t="e">
        <f>IF(E18=0,0,BASEBUDGETS!D2832*E18)</f>
        <v>#DIV/0!</v>
      </c>
      <c r="I18" s="756">
        <v>0</v>
      </c>
      <c r="J18" s="765" t="e">
        <f t="shared" si="0"/>
        <v>#DIV/0!</v>
      </c>
    </row>
    <row r="19" spans="2:10" ht="21">
      <c r="C19" s="660" t="str">
        <f>TillageOperations!$B$8</f>
        <v>Offset Disk</v>
      </c>
      <c r="D19" s="765"/>
      <c r="E19" s="771" t="e">
        <f>BASEBUDGETS!E2834/BASEBUDGETS!C2781</f>
        <v>#DIV/0!</v>
      </c>
      <c r="F19" s="770" t="str">
        <f>BASEBUDGETS!C2834</f>
        <v>acre</v>
      </c>
      <c r="G19" s="756" t="e">
        <f>IF(E19=0,0,BASEBUDGETS!D2835*E19)</f>
        <v>#DIV/0!</v>
      </c>
      <c r="H19" s="756" t="e">
        <f>IF(E19=0,0,BASEBUDGETS!D2834*E19)</f>
        <v>#DIV/0!</v>
      </c>
      <c r="I19" s="756">
        <v>0</v>
      </c>
      <c r="J19" s="765" t="e">
        <f t="shared" si="0"/>
        <v>#DIV/0!</v>
      </c>
    </row>
    <row r="20" spans="2:10" ht="21">
      <c r="C20" s="660" t="str">
        <f>TillageOperations!$B$9</f>
        <v>Drag</v>
      </c>
      <c r="D20" s="765"/>
      <c r="E20" s="771" t="e">
        <f>BASEBUDGETS!E2836/BASEBUDGETS!C2781</f>
        <v>#DIV/0!</v>
      </c>
      <c r="F20" s="770" t="str">
        <f>BASEBUDGETS!C2836</f>
        <v>acre</v>
      </c>
      <c r="G20" s="756" t="e">
        <f>IF(E20=0,0,BASEBUDGETS!D2837*E20)</f>
        <v>#DIV/0!</v>
      </c>
      <c r="H20" s="756" t="e">
        <f>IF(E20=0,0,BASEBUDGETS!D2836*E20)</f>
        <v>#DIV/0!</v>
      </c>
      <c r="I20" s="756">
        <v>0</v>
      </c>
      <c r="J20" s="765" t="e">
        <f t="shared" si="0"/>
        <v>#DIV/0!</v>
      </c>
    </row>
    <row r="21" spans="2:10" ht="21">
      <c r="C21" s="660" t="str">
        <f>TillageOperations!$B$10</f>
        <v>Chisel</v>
      </c>
      <c r="D21" s="765"/>
      <c r="E21" s="771" t="e">
        <f>BASEBUDGETS!E2838/BASEBUDGETS!C2781</f>
        <v>#DIV/0!</v>
      </c>
      <c r="F21" s="770" t="str">
        <f>BASEBUDGETS!C2838</f>
        <v>acre</v>
      </c>
      <c r="G21" s="756" t="e">
        <f>IF(E21=0,0,BASEBUDGETS!D2839*E21)</f>
        <v>#DIV/0!</v>
      </c>
      <c r="H21" s="756" t="e">
        <f>IF(E21=0,0,BASEBUDGETS!D2838*E21)</f>
        <v>#DIV/0!</v>
      </c>
      <c r="I21" s="756">
        <v>0</v>
      </c>
      <c r="J21" s="765" t="e">
        <f t="shared" si="0"/>
        <v>#DIV/0!</v>
      </c>
    </row>
    <row r="22" spans="2:10" ht="21">
      <c r="C22" s="660" t="str">
        <f>TillageOperations!$B$11</f>
        <v>Moldboard Plow</v>
      </c>
      <c r="D22" s="765"/>
      <c r="E22" s="771" t="e">
        <f>BASEBUDGETS!E2840/BASEBUDGETS!C2781</f>
        <v>#DIV/0!</v>
      </c>
      <c r="F22" s="770" t="str">
        <f>BASEBUDGETS!C2840</f>
        <v>acre</v>
      </c>
      <c r="G22" s="756" t="e">
        <f>IF(E22=0,0,BASEBUDGETS!D2841*E22)</f>
        <v>#DIV/0!</v>
      </c>
      <c r="H22" s="756" t="e">
        <f>IF(E22=0,0,BASEBUDGETS!D2840*E22)</f>
        <v>#DIV/0!</v>
      </c>
      <c r="I22" s="756">
        <v>0</v>
      </c>
      <c r="J22" s="765" t="e">
        <f t="shared" si="0"/>
        <v>#DIV/0!</v>
      </c>
    </row>
    <row r="23" spans="2:10" ht="21">
      <c r="C23" s="660" t="str">
        <f>TillageOperations!$B$12</f>
        <v>Cultivator</v>
      </c>
      <c r="D23" s="765"/>
      <c r="E23" s="771" t="e">
        <f>BASEBUDGETS!E2842/BASEBUDGETS!C2781</f>
        <v>#DIV/0!</v>
      </c>
      <c r="F23" s="770" t="str">
        <f>BASEBUDGETS!C2842</f>
        <v>acre</v>
      </c>
      <c r="G23" s="756" t="e">
        <f>IF(E23=0,0,BASEBUDGETS!D2843*E23)</f>
        <v>#DIV/0!</v>
      </c>
      <c r="H23" s="756" t="e">
        <f>IF(E23=0,0,BASEBUDGETS!D2842*E23)</f>
        <v>#DIV/0!</v>
      </c>
      <c r="I23" s="756">
        <v>0</v>
      </c>
      <c r="J23" s="765" t="e">
        <f t="shared" si="0"/>
        <v>#DIV/0!</v>
      </c>
    </row>
    <row r="24" spans="2:10" ht="21">
      <c r="C24" s="660" t="str">
        <f>TillageOperations!$B$13</f>
        <v>Landplane</v>
      </c>
      <c r="D24" s="765"/>
      <c r="E24" s="771" t="e">
        <f>BASEBUDGETS!E2844/BASEBUDGETS!C2781</f>
        <v>#DIV/0!</v>
      </c>
      <c r="F24" s="770" t="str">
        <f>BASEBUDGETS!C2844</f>
        <v>acre</v>
      </c>
      <c r="G24" s="756" t="e">
        <f>IF(E24=0,0,BASEBUDGETS!D2845*E24)</f>
        <v>#DIV/0!</v>
      </c>
      <c r="H24" s="756" t="e">
        <f>IF(E24=0,0,BASEBUDGETS!D2844*E24)</f>
        <v>#DIV/0!</v>
      </c>
      <c r="I24" s="756">
        <v>0</v>
      </c>
      <c r="J24" s="765" t="e">
        <f t="shared" si="0"/>
        <v>#DIV/0!</v>
      </c>
    </row>
    <row r="25" spans="2:10" ht="21">
      <c r="C25" s="660" t="str">
        <f>TillageOperations!$B$14</f>
        <v>Float</v>
      </c>
      <c r="D25" s="765"/>
      <c r="E25" s="771" t="e">
        <f>BASEBUDGETS!E2846/BASEBUDGETS!C2781</f>
        <v>#DIV/0!</v>
      </c>
      <c r="F25" s="770" t="str">
        <f>BASEBUDGETS!C2846</f>
        <v>acre</v>
      </c>
      <c r="G25" s="756" t="e">
        <f>IF(E25=0,0,BASEBUDGETS!D2847*E25)</f>
        <v>#DIV/0!</v>
      </c>
      <c r="H25" s="756" t="e">
        <f>IF(E25=0,0,BASEBUDGETS!D2846*E25)</f>
        <v>#DIV/0!</v>
      </c>
      <c r="I25" s="756">
        <v>0</v>
      </c>
      <c r="J25" s="765" t="e">
        <f t="shared" si="0"/>
        <v>#DIV/0!</v>
      </c>
    </row>
    <row r="26" spans="2:10" ht="21">
      <c r="C26" s="660" t="str">
        <f>TillageOperations!$B$15</f>
        <v>Lister</v>
      </c>
      <c r="D26" s="765"/>
      <c r="E26" s="771" t="e">
        <f>BASEBUDGETS!E2848/BASEBUDGETS!C2781</f>
        <v>#DIV/0!</v>
      </c>
      <c r="F26" s="770" t="str">
        <f>BASEBUDGETS!C2848</f>
        <v>acre</v>
      </c>
      <c r="G26" s="756" t="e">
        <f>IF(E26=0,0,BASEBUDGETS!D2849*E26)</f>
        <v>#DIV/0!</v>
      </c>
      <c r="H26" s="756" t="e">
        <f>IF(E26=0,0,BASEBUDGETS!D2848*E26)</f>
        <v>#DIV/0!</v>
      </c>
      <c r="I26" s="756">
        <v>0</v>
      </c>
      <c r="J26" s="765" t="e">
        <f t="shared" si="0"/>
        <v>#DIV/0!</v>
      </c>
    </row>
    <row r="27" spans="2:10" ht="21">
      <c r="C27" s="660" t="str">
        <f>TillageOperations!$B$16</f>
        <v>Bed Shaper</v>
      </c>
      <c r="D27" s="765"/>
      <c r="E27" s="771" t="e">
        <f>BASEBUDGETS!E2850/BASEBUDGETS!C2781</f>
        <v>#DIV/0!</v>
      </c>
      <c r="F27" s="770" t="str">
        <f>BASEBUDGETS!C2850</f>
        <v>acre</v>
      </c>
      <c r="G27" s="756" t="e">
        <f>IF(E27=0,0,BASEBUDGETS!D2851*E27)</f>
        <v>#DIV/0!</v>
      </c>
      <c r="H27" s="756" t="e">
        <f>IF(E27=0,0,BASEBUDGETS!D2850*E27)</f>
        <v>#DIV/0!</v>
      </c>
      <c r="I27" s="756">
        <v>0</v>
      </c>
      <c r="J27" s="765" t="e">
        <f t="shared" si="0"/>
        <v>#DIV/0!</v>
      </c>
    </row>
    <row r="28" spans="2:10" ht="21">
      <c r="C28" s="660" t="str">
        <f>TillageOperations!$B$17</f>
        <v>Cotton Shredder/Root Puller</v>
      </c>
      <c r="D28" s="765"/>
      <c r="E28" s="771" t="e">
        <f>BASEBUDGETS!E2864/BASEBUDGETS!C$2781</f>
        <v>#DIV/0!</v>
      </c>
      <c r="F28" s="770" t="str">
        <f>BASEBUDGETS!C2864</f>
        <v>acre</v>
      </c>
      <c r="G28" s="756" t="e">
        <f>IF(E28=0,0,BASEBUDGETS!D2865*E28)</f>
        <v>#DIV/0!</v>
      </c>
      <c r="H28" s="756" t="e">
        <f>IF(E28=0,0,BASEBUDGETS!D2864*E28)</f>
        <v>#DIV/0!</v>
      </c>
      <c r="I28" s="756">
        <v>0</v>
      </c>
      <c r="J28" s="765" t="e">
        <f>G28+H28+I28</f>
        <v>#DIV/0!</v>
      </c>
    </row>
    <row r="29" spans="2:10" ht="21">
      <c r="C29" s="660" t="str">
        <f>BASEBUDGETS!B2889</f>
        <v>Additional Land Prep. Labor</v>
      </c>
      <c r="D29" s="765">
        <f>GeneralInputPrices!$D$30</f>
        <v>14.55</v>
      </c>
      <c r="E29" s="758" t="e">
        <f>BASEBUDGETS!E2889/BASEBUDGETS!C2781</f>
        <v>#DIV/0!</v>
      </c>
      <c r="F29" s="773" t="str">
        <f>BASEBUDGETS!C2889</f>
        <v>hour</v>
      </c>
      <c r="G29" s="756" t="e">
        <f>D29*E29</f>
        <v>#DIV/0!</v>
      </c>
      <c r="H29" s="756">
        <v>0</v>
      </c>
      <c r="I29" s="756">
        <v>0</v>
      </c>
      <c r="J29" s="765" t="e">
        <f t="shared" si="0"/>
        <v>#DIV/0!</v>
      </c>
    </row>
    <row r="30" spans="2:10" ht="21">
      <c r="C30" s="660" t="str">
        <f>BASEBUDGETS!B2890</f>
        <v>Additional Land Prep. Labor</v>
      </c>
      <c r="D30" s="765">
        <f>GeneralInputPrices!$D$30</f>
        <v>14.55</v>
      </c>
      <c r="E30" s="758" t="e">
        <f>BASEBUDGETS!E2890/BASEBUDGETS!C2781</f>
        <v>#DIV/0!</v>
      </c>
      <c r="F30" s="773" t="str">
        <f>BASEBUDGETS!C2890</f>
        <v>hour</v>
      </c>
      <c r="G30" s="756" t="e">
        <f>D30*E30</f>
        <v>#DIV/0!</v>
      </c>
      <c r="H30" s="756">
        <v>0</v>
      </c>
      <c r="I30" s="756">
        <v>0</v>
      </c>
      <c r="J30" s="765" t="e">
        <f t="shared" si="0"/>
        <v>#DIV/0!</v>
      </c>
    </row>
    <row r="31" spans="2:10" ht="21">
      <c r="B31" s="760" t="s">
        <v>175</v>
      </c>
      <c r="C31" s="760"/>
      <c r="D31" s="765"/>
    </row>
    <row r="32" spans="2:10" ht="21">
      <c r="C32" s="660" t="str">
        <f>BASEBUDGETS!B2007</f>
        <v>Drill, Custom</v>
      </c>
      <c r="D32" s="765">
        <f>CustomOperations!U24</f>
        <v>0</v>
      </c>
      <c r="E32" s="771" t="e">
        <f>BASEBUDGETS!E2817/BASEBUDGETS!C$2781</f>
        <v>#DIV/0!</v>
      </c>
      <c r="F32" s="770" t="str">
        <f>BASEBUDGETS!C2817</f>
        <v>acre</v>
      </c>
      <c r="G32" s="756">
        <v>0</v>
      </c>
      <c r="H32" s="756">
        <v>0</v>
      </c>
      <c r="I32" s="756" t="e">
        <f>IF(E32=0,0,(BASEBUDGETS!D2817*E32))</f>
        <v>#DIV/0!</v>
      </c>
      <c r="J32" s="765" t="e">
        <f t="shared" ref="J32:J35" si="1">G32+H32+I32</f>
        <v>#DIV/0!</v>
      </c>
    </row>
    <row r="33" spans="3:10" ht="21">
      <c r="C33" s="660" t="str">
        <f>BASEBUDGETS!B2008</f>
        <v>Row Planter, Custom</v>
      </c>
      <c r="D33" s="765">
        <f>CustomOperations!U26</f>
        <v>0</v>
      </c>
      <c r="E33" s="771" t="e">
        <f>BASEBUDGETS!E2818/BASEBUDGETS!C$2781</f>
        <v>#DIV/0!</v>
      </c>
      <c r="F33" s="770" t="str">
        <f>BASEBUDGETS!C2818</f>
        <v>acre</v>
      </c>
      <c r="G33" s="756">
        <v>0</v>
      </c>
      <c r="H33" s="756">
        <v>0</v>
      </c>
      <c r="I33" s="756" t="e">
        <f>IF(E33=0,0,(BASEBUDGETS!D2818*E33))</f>
        <v>#DIV/0!</v>
      </c>
      <c r="J33" s="765" t="e">
        <f t="shared" si="1"/>
        <v>#DIV/0!</v>
      </c>
    </row>
    <row r="34" spans="3:10" ht="21">
      <c r="C34" s="660" t="str">
        <f>TillageOperations!$B$21</f>
        <v>Drill</v>
      </c>
      <c r="D34" s="765"/>
      <c r="E34" s="771" t="e">
        <f>BASEBUDGETS!E2856/BASEBUDGETS!C$2781</f>
        <v>#DIV/0!</v>
      </c>
      <c r="F34" s="770" t="str">
        <f>BASEBUDGETS!C2856</f>
        <v>acre</v>
      </c>
      <c r="G34" s="756" t="e">
        <f>IF(E34=0,0,BASEBUDGETS!D2857*E34)</f>
        <v>#DIV/0!</v>
      </c>
      <c r="H34" s="756" t="e">
        <f>IF(E34=0,0,BASEBUDGETS!D2856*E34)</f>
        <v>#DIV/0!</v>
      </c>
      <c r="I34" s="756">
        <v>0</v>
      </c>
      <c r="J34" s="765" t="e">
        <f t="shared" si="1"/>
        <v>#DIV/0!</v>
      </c>
    </row>
    <row r="35" spans="3:10" ht="21">
      <c r="C35" s="660" t="str">
        <f>TillageOperations!$B$19</f>
        <v>Row Planter</v>
      </c>
      <c r="D35" s="765"/>
      <c r="E35" s="771" t="e">
        <f>BASEBUDGETS!E2852/BASEBUDGETS!C2781</f>
        <v>#DIV/0!</v>
      </c>
      <c r="F35" s="770" t="str">
        <f>BASEBUDGETS!C2852</f>
        <v>acre</v>
      </c>
      <c r="G35" s="756" t="e">
        <f>IF(E35=0,0,BASEBUDGETS!D2853*E35)</f>
        <v>#DIV/0!</v>
      </c>
      <c r="H35" s="756" t="e">
        <f>IF(E35=0,0,BASEBUDGETS!D2852*E35)</f>
        <v>#DIV/0!</v>
      </c>
      <c r="I35" s="756">
        <v>0</v>
      </c>
      <c r="J35" s="765" t="e">
        <f t="shared" si="1"/>
        <v>#DIV/0!</v>
      </c>
    </row>
    <row r="36" spans="3:10" ht="21">
      <c r="C36" s="660" t="str">
        <f>TillageOperations!$B$22</f>
        <v>Transplanter</v>
      </c>
      <c r="D36" s="765"/>
      <c r="E36" s="771" t="e">
        <f>BASEBUDGETS!E2887/BASEBUDGETS!C2781</f>
        <v>#DIV/0!</v>
      </c>
      <c r="F36" s="770" t="str">
        <f>BASEBUDGETS!C2887</f>
        <v>acre</v>
      </c>
      <c r="G36" s="756" t="e">
        <f>IF(E36=0,0,BASEBUDGETS!D2888*E36)</f>
        <v>#DIV/0!</v>
      </c>
      <c r="H36" s="756" t="e">
        <f>IF(E36=0,0,BASEBUDGETS!D2887*E36)</f>
        <v>#DIV/0!</v>
      </c>
      <c r="I36" s="756">
        <v>0</v>
      </c>
      <c r="J36" s="765" t="e">
        <f>G36+H36+I36</f>
        <v>#DIV/0!</v>
      </c>
    </row>
    <row r="37" spans="3:10" ht="21">
      <c r="C37" s="660" t="s">
        <v>439</v>
      </c>
      <c r="D37" s="765"/>
      <c r="E37" s="771"/>
      <c r="F37" s="770"/>
      <c r="G37" s="756">
        <v>0</v>
      </c>
      <c r="H37" s="756">
        <v>0</v>
      </c>
      <c r="I37" s="756" t="e">
        <f>(D38*E38)+(D39*E39)</f>
        <v>#DIV/0!</v>
      </c>
      <c r="J37" s="765" t="e">
        <f>G37+H37+I37</f>
        <v>#DIV/0!</v>
      </c>
    </row>
    <row r="38" spans="3:10" ht="21">
      <c r="C38" s="660" t="str">
        <f>BASEBUDGETS!B1979</f>
        <v xml:space="preserve">   - Seed</v>
      </c>
      <c r="D38" s="765">
        <f>BASEBUDGETS!D2789</f>
        <v>140</v>
      </c>
      <c r="E38" s="775" t="e">
        <f>BASEBUDGETS!E2789/BASEBUDGETS!C2781</f>
        <v>#DIV/0!</v>
      </c>
      <c r="F38" s="769" t="str">
        <f>BASEBUDGETS!C2789</f>
        <v>acre</v>
      </c>
    </row>
    <row r="39" spans="3:10" ht="21">
      <c r="C39" s="660" t="str">
        <f>BASEBUDGETS!B1980</f>
        <v xml:space="preserve">   - Inoculant</v>
      </c>
      <c r="D39" s="765">
        <f>BASEBUDGETS!D2790</f>
        <v>3</v>
      </c>
      <c r="E39" s="775" t="e">
        <f>BASEBUDGETS!E2790/BASEBUDGETS!C2781</f>
        <v>#DIV/0!</v>
      </c>
      <c r="F39" s="769" t="str">
        <f>BASEBUDGETS!C2790</f>
        <v>pounds</v>
      </c>
      <c r="G39" s="765"/>
      <c r="H39" s="765"/>
      <c r="I39" s="765"/>
      <c r="J39" s="765"/>
    </row>
    <row r="40" spans="3:10" ht="21">
      <c r="C40" s="660" t="str">
        <f>BASEBUDGETS!B2019</f>
        <v>Fertilizer Spreader, Custom</v>
      </c>
      <c r="D40" s="765">
        <f>CustomOperations!U32</f>
        <v>10.08</v>
      </c>
      <c r="E40" s="771" t="e">
        <f>BASEBUDGETS!E2829/BASEBUDGETS!C2781</f>
        <v>#DIV/0!</v>
      </c>
      <c r="F40" s="770" t="str">
        <f>BASEBUDGETS!C2829</f>
        <v>acre</v>
      </c>
      <c r="G40" s="756">
        <v>0</v>
      </c>
      <c r="H40" s="756">
        <v>0</v>
      </c>
      <c r="I40" s="756" t="e">
        <f>IF(E40=0,0,BASEBUDGETS!D2829*E40)</f>
        <v>#DIV/0!</v>
      </c>
      <c r="J40" s="765" t="e">
        <f>G40+H40+I40</f>
        <v>#DIV/0!</v>
      </c>
    </row>
    <row r="41" spans="3:10" ht="21">
      <c r="C41" s="660" t="str">
        <f>BASEBUDGETS!B2020</f>
        <v>Laser Landplaning, Custom</v>
      </c>
      <c r="D41" s="765">
        <f>CustomOperations!U34</f>
        <v>0</v>
      </c>
      <c r="E41" s="771" t="e">
        <f>BASEBUDGETS!E2830/BASEBUDGETS!C2781</f>
        <v>#DIV/0!</v>
      </c>
      <c r="F41" s="770" t="str">
        <f>BASEBUDGETS!C2830</f>
        <v>acre</v>
      </c>
      <c r="G41" s="756">
        <v>0</v>
      </c>
      <c r="H41" s="756">
        <v>0</v>
      </c>
      <c r="I41" s="756" t="e">
        <f>IF(E41=0,0,BASEBUDGETS!D2830*E41)</f>
        <v>#DIV/0!</v>
      </c>
      <c r="J41" s="765" t="e">
        <f>G41+H41+I41</f>
        <v>#DIV/0!</v>
      </c>
    </row>
    <row r="42" spans="3:10" ht="21">
      <c r="C42" s="660" t="str">
        <f>TillageOperations!$B$23</f>
        <v>Fertilizer Spreader</v>
      </c>
      <c r="D42" s="765"/>
      <c r="E42" s="771" t="e">
        <f>BASEBUDGETS!E2881/BASEBUDGETS!C2781</f>
        <v>#DIV/0!</v>
      </c>
      <c r="F42" s="770" t="str">
        <f>BASEBUDGETS!C2881</f>
        <v>acre</v>
      </c>
      <c r="G42" s="756" t="e">
        <f>IF(E42=0,0,BASEBUDGETS!D2882*E42)</f>
        <v>#DIV/0!</v>
      </c>
      <c r="H42" s="756" t="e">
        <f>IF(E42=0,0,BASEBUDGETS!D2881*E42)</f>
        <v>#DIV/0!</v>
      </c>
      <c r="I42" s="756">
        <v>0</v>
      </c>
      <c r="J42" s="765" t="e">
        <f>G42+H42+I42</f>
        <v>#DIV/0!</v>
      </c>
    </row>
    <row r="43" spans="3:10" ht="21">
      <c r="C43" s="660" t="str">
        <f>TillageOperations!$B$24</f>
        <v>Fertilizer Injection System</v>
      </c>
      <c r="D43" s="765"/>
      <c r="E43" s="771" t="e">
        <f>BASEBUDGETS!E2883/BASEBUDGETS!C2781</f>
        <v>#DIV/0!</v>
      </c>
      <c r="F43" s="770" t="str">
        <f>BASEBUDGETS!C2883</f>
        <v>acre</v>
      </c>
      <c r="G43" s="756" t="e">
        <f>IF(E43=0,0,BASEBUDGETS!D2884*E43)</f>
        <v>#DIV/0!</v>
      </c>
      <c r="H43" s="756" t="e">
        <f>IF(E43=0,0,BASEBUDGETS!D2883*E43)</f>
        <v>#DIV/0!</v>
      </c>
      <c r="I43" s="756">
        <v>0</v>
      </c>
      <c r="J43" s="765" t="e">
        <f>G43+H43+I43</f>
        <v>#DIV/0!</v>
      </c>
    </row>
    <row r="44" spans="3:10" ht="21">
      <c r="C44" s="660" t="s">
        <v>407</v>
      </c>
      <c r="D44" s="765"/>
      <c r="E44" s="771"/>
      <c r="F44" s="770"/>
      <c r="G44" s="756">
        <v>0</v>
      </c>
      <c r="H44" s="756">
        <v>0</v>
      </c>
      <c r="I44" s="756" t="e">
        <f>(D45*E45)+(D46*E46)+(D47*E47)+(D48*E48)+(D49*E49)+(D50*E50)+(D51*E51)</f>
        <v>#DIV/0!</v>
      </c>
      <c r="J44" s="765" t="e">
        <f>G44+H44+I44</f>
        <v>#DIV/0!</v>
      </c>
    </row>
    <row r="45" spans="3:10" ht="21">
      <c r="C45" s="660" t="str">
        <f>BASEBUDGETS!B1981</f>
        <v xml:space="preserve">   - Nitrogen</v>
      </c>
      <c r="D45" s="765">
        <f>BASEBUDGETS!D2791</f>
        <v>0.46</v>
      </c>
      <c r="E45" s="775" t="e">
        <f>BASEBUDGETS!E2791/BASEBUDGETS!C$2781</f>
        <v>#DIV/0!</v>
      </c>
      <c r="F45" s="769" t="str">
        <f>BASEBUDGETS!C2791</f>
        <v>pounds</v>
      </c>
      <c r="G45" s="765"/>
      <c r="H45" s="765"/>
      <c r="I45" s="765"/>
      <c r="J45" s="765"/>
    </row>
    <row r="46" spans="3:10" ht="21">
      <c r="C46" s="660" t="str">
        <f>BASEBUDGETS!B1982</f>
        <v xml:space="preserve">   - Phosphorus</v>
      </c>
      <c r="D46" s="765">
        <f>BASEBUDGETS!D2792</f>
        <v>0.36</v>
      </c>
      <c r="E46" s="775" t="e">
        <f>BASEBUDGETS!E2792/BASEBUDGETS!C$2781</f>
        <v>#DIV/0!</v>
      </c>
      <c r="F46" s="769" t="str">
        <f>BASEBUDGETS!C2792</f>
        <v>pounds</v>
      </c>
      <c r="G46" s="765"/>
      <c r="H46" s="765"/>
      <c r="I46" s="765"/>
      <c r="J46" s="765"/>
    </row>
    <row r="47" spans="3:10" ht="21">
      <c r="C47" s="660" t="str">
        <f>BASEBUDGETS!B1983</f>
        <v xml:space="preserve">   - Anhydrous Ammonia</v>
      </c>
      <c r="D47" s="765">
        <f>BASEBUDGETS!D2793</f>
        <v>0.21</v>
      </c>
      <c r="E47" s="775" t="e">
        <f>BASEBUDGETS!E2793/BASEBUDGETS!C$2781</f>
        <v>#DIV/0!</v>
      </c>
      <c r="F47" s="769" t="str">
        <f>BASEBUDGETS!C2793</f>
        <v>pounds</v>
      </c>
      <c r="G47" s="765"/>
      <c r="H47" s="765"/>
      <c r="I47" s="765"/>
      <c r="J47" s="765"/>
    </row>
    <row r="48" spans="3:10" ht="21">
      <c r="C48" s="660" t="str">
        <f>BASEBUDGETS!B1984</f>
        <v xml:space="preserve">   - Trace Elements</v>
      </c>
      <c r="D48" s="765">
        <f>BASEBUDGETS!D2794</f>
        <v>0.24</v>
      </c>
      <c r="E48" s="775" t="e">
        <f>BASEBUDGETS!E2794/BASEBUDGETS!C$2781</f>
        <v>#DIV/0!</v>
      </c>
      <c r="F48" s="769" t="str">
        <f>BASEBUDGETS!C2794</f>
        <v>pounds</v>
      </c>
      <c r="G48" s="765"/>
      <c r="H48" s="765"/>
      <c r="I48" s="765"/>
      <c r="J48" s="765"/>
    </row>
    <row r="49" spans="3:10" ht="21">
      <c r="C49" s="660" t="str">
        <f>BASEBUDGETS!B1985</f>
        <v xml:space="preserve">   - Nitrogen</v>
      </c>
      <c r="D49" s="765">
        <f>BASEBUDGETS!D2795</f>
        <v>68</v>
      </c>
      <c r="E49" s="775" t="e">
        <f>BASEBUDGETS!E2795/BASEBUDGETS!C$2781</f>
        <v>#DIV/0!</v>
      </c>
      <c r="F49" s="769" t="str">
        <f>BASEBUDGETS!C2795</f>
        <v>acre</v>
      </c>
      <c r="G49" s="765"/>
      <c r="H49" s="765"/>
      <c r="I49" s="765"/>
      <c r="J49" s="765"/>
    </row>
    <row r="50" spans="3:10" ht="21">
      <c r="C50" s="660" t="str">
        <f>BASEBUDGETS!B1986</f>
        <v xml:space="preserve">   - Phosphorus</v>
      </c>
      <c r="D50" s="765">
        <f>BASEBUDGETS!D2796</f>
        <v>0</v>
      </c>
      <c r="E50" s="775" t="e">
        <f>BASEBUDGETS!E2796/BASEBUDGETS!C$2781</f>
        <v>#DIV/0!</v>
      </c>
      <c r="F50" s="769" t="str">
        <f>BASEBUDGETS!C2796</f>
        <v>acre</v>
      </c>
      <c r="G50" s="765"/>
      <c r="H50" s="765"/>
      <c r="I50" s="765"/>
      <c r="J50" s="765"/>
    </row>
    <row r="51" spans="3:10" ht="21">
      <c r="C51" s="660" t="str">
        <f>BASEBUDGETS!B1987</f>
        <v xml:space="preserve">   - Fertilizer - Anhydrous Applicator</v>
      </c>
      <c r="D51" s="765">
        <f>BASEBUDGETS!D2797</f>
        <v>0</v>
      </c>
      <c r="E51" s="775" t="e">
        <f>BASEBUDGETS!E2797/BASEBUDGETS!C$2781</f>
        <v>#DIV/0!</v>
      </c>
      <c r="F51" s="769" t="str">
        <f>BASEBUDGETS!C2797</f>
        <v>acre</v>
      </c>
      <c r="G51" s="765"/>
      <c r="H51" s="765"/>
      <c r="I51" s="765"/>
      <c r="J51" s="765"/>
    </row>
    <row r="52" spans="3:10" ht="21">
      <c r="C52" s="660" t="str">
        <f>BASEBUDGETS!B2831</f>
        <v>Boom Sprayer, Custom</v>
      </c>
      <c r="D52" s="765">
        <f>CustomOperations!U30</f>
        <v>10.050000000000001</v>
      </c>
      <c r="E52" s="771" t="e">
        <f>BASEBUDGETS!E2831/BASEBUDGETS!C2781</f>
        <v>#DIV/0!</v>
      </c>
      <c r="F52" s="770" t="str">
        <f>BASEBUDGETS!C2831</f>
        <v>acre</v>
      </c>
      <c r="G52" s="756">
        <v>0</v>
      </c>
      <c r="H52" s="756">
        <v>0</v>
      </c>
      <c r="I52" s="756" t="e">
        <f>IF(E52=0,0,BASEBUDGETS!D2831*E52)</f>
        <v>#DIV/0!</v>
      </c>
      <c r="J52" s="765" t="e">
        <f>G52+H52+I52</f>
        <v>#DIV/0!</v>
      </c>
    </row>
    <row r="53" spans="3:10" ht="21">
      <c r="C53" s="660" t="str">
        <f>TillageOperations!$B$25</f>
        <v>Boom Sprayer</v>
      </c>
      <c r="D53" s="765"/>
      <c r="E53" s="771" t="e">
        <f>BASEBUDGETS!E2885/BASEBUDGETS!C2781</f>
        <v>#DIV/0!</v>
      </c>
      <c r="F53" s="770" t="str">
        <f>BASEBUDGETS!C2885</f>
        <v>acres</v>
      </c>
      <c r="G53" s="756" t="e">
        <f>IF(E53=0,0,BASEBUDGETS!D2886*E53)</f>
        <v>#DIV/0!</v>
      </c>
      <c r="H53" s="756" t="e">
        <f>IF(E53=0,0,BASEBUDGETS!D2885*E53)</f>
        <v>#DIV/0!</v>
      </c>
      <c r="I53" s="756">
        <v>0</v>
      </c>
      <c r="J53" s="765" t="e">
        <f>G53+H53+I53</f>
        <v>#DIV/0!</v>
      </c>
    </row>
    <row r="54" spans="3:10" ht="21">
      <c r="C54" s="660" t="s">
        <v>408</v>
      </c>
      <c r="D54" s="765"/>
      <c r="E54" s="771"/>
      <c r="F54" s="770"/>
      <c r="G54" s="756">
        <v>0</v>
      </c>
      <c r="H54" s="756">
        <v>0</v>
      </c>
      <c r="I54" s="756" t="e">
        <f>(D55*E55)+(D56*E56)+(D57*E57)+(D58*E58)+(D59*E59)+(D60*E60)+(D61*E61)</f>
        <v>#DIV/0!</v>
      </c>
      <c r="J54" s="765" t="e">
        <f>G54+H54+I54</f>
        <v>#DIV/0!</v>
      </c>
    </row>
    <row r="55" spans="3:10" ht="21">
      <c r="C55" s="660" t="str">
        <f>BASEBUDGETS!B1988</f>
        <v xml:space="preserve">   - Prowl</v>
      </c>
      <c r="D55" s="765">
        <f>BASEBUDGETS!D2798</f>
        <v>6.0625</v>
      </c>
      <c r="E55" s="775" t="e">
        <f>BASEBUDGETS!E2798/BASEBUDGETS!C2781</f>
        <v>#DIV/0!</v>
      </c>
      <c r="F55" s="769" t="str">
        <f>BASEBUDGETS!C2798</f>
        <v>pints</v>
      </c>
      <c r="G55" s="765"/>
      <c r="H55" s="765"/>
      <c r="I55" s="765"/>
      <c r="J55" s="765"/>
    </row>
    <row r="56" spans="3:10" ht="21">
      <c r="C56" s="660" t="str">
        <f>BASEBUDGETS!B1989</f>
        <v xml:space="preserve">   - Aim</v>
      </c>
      <c r="D56" s="765">
        <f>BASEBUDGETS!D2799</f>
        <v>5.9375</v>
      </c>
      <c r="E56" s="775" t="e">
        <f>BASEBUDGETS!E2799/BASEBUDGETS!C2781</f>
        <v>#DIV/0!</v>
      </c>
      <c r="F56" s="769" t="str">
        <f>BASEBUDGETS!C2799</f>
        <v>ounces</v>
      </c>
      <c r="G56" s="765"/>
      <c r="H56" s="765"/>
      <c r="I56" s="765"/>
      <c r="J56" s="765"/>
    </row>
    <row r="57" spans="3:10" ht="21">
      <c r="C57" s="660" t="str">
        <f>BASEBUDGETS!B1990</f>
        <v xml:space="preserve">   - Fusilade</v>
      </c>
      <c r="D57" s="765">
        <f>BASEBUDGETS!D2800</f>
        <v>1.25</v>
      </c>
      <c r="E57" s="775" t="e">
        <f>BASEBUDGETS!E2800/BASEBUDGETS!C2781</f>
        <v>#DIV/0!</v>
      </c>
      <c r="F57" s="769" t="str">
        <f>BASEBUDGETS!C2800</f>
        <v>ounces</v>
      </c>
      <c r="G57" s="765"/>
      <c r="H57" s="765"/>
      <c r="I57" s="765"/>
      <c r="J57" s="765"/>
    </row>
    <row r="58" spans="3:10" ht="21">
      <c r="C58" s="660" t="str">
        <f>BASEBUDGETS!B1991</f>
        <v xml:space="preserve">   - Herbicides</v>
      </c>
      <c r="D58" s="765">
        <f>BASEBUDGETS!D2801</f>
        <v>50</v>
      </c>
      <c r="E58" s="775" t="e">
        <f>BASEBUDGETS!E2801/BASEBUDGETS!C2781</f>
        <v>#DIV/0!</v>
      </c>
      <c r="F58" s="769" t="str">
        <f>BASEBUDGETS!C2801</f>
        <v>acre</v>
      </c>
      <c r="G58" s="765"/>
      <c r="H58" s="765"/>
      <c r="I58" s="765"/>
      <c r="J58" s="765"/>
    </row>
    <row r="59" spans="3:10" ht="21">
      <c r="C59" s="660" t="str">
        <f>BASEBUDGETS!B1992</f>
        <v xml:space="preserve">   - Herbicide - #2</v>
      </c>
      <c r="D59" s="765">
        <f>BASEBUDGETS!D2802</f>
        <v>0</v>
      </c>
      <c r="E59" s="775" t="e">
        <f>BASEBUDGETS!E2802/BASEBUDGETS!C2781</f>
        <v>#DIV/0!</v>
      </c>
      <c r="F59" s="769" t="str">
        <f>BASEBUDGETS!C2802</f>
        <v>acre</v>
      </c>
      <c r="G59" s="765"/>
      <c r="H59" s="765"/>
      <c r="I59" s="765"/>
      <c r="J59" s="765"/>
    </row>
    <row r="60" spans="3:10" ht="21">
      <c r="C60" s="660" t="str">
        <f>BASEBUDGETS!B1993</f>
        <v xml:space="preserve">   - Insecticides</v>
      </c>
      <c r="D60" s="765">
        <f>BASEBUDGETS!D2803</f>
        <v>40</v>
      </c>
      <c r="E60" s="775" t="e">
        <f>BASEBUDGETS!E2803/BASEBUDGETS!C2781</f>
        <v>#DIV/0!</v>
      </c>
      <c r="F60" s="769" t="str">
        <f>BASEBUDGETS!C2803</f>
        <v>acre</v>
      </c>
      <c r="G60" s="765"/>
      <c r="H60" s="765"/>
      <c r="I60" s="765"/>
      <c r="J60" s="765"/>
    </row>
    <row r="61" spans="3:10" ht="21">
      <c r="C61" s="660" t="str">
        <f>BASEBUDGETS!B1994</f>
        <v xml:space="preserve">   - Insecticide - #2</v>
      </c>
      <c r="D61" s="765">
        <f>BASEBUDGETS!D2804</f>
        <v>0</v>
      </c>
      <c r="E61" s="775" t="e">
        <f>BASEBUDGETS!E2804/BASEBUDGETS!C2781</f>
        <v>#DIV/0!</v>
      </c>
      <c r="F61" s="769" t="str">
        <f>BASEBUDGETS!C2804</f>
        <v>acre</v>
      </c>
      <c r="G61" s="765"/>
      <c r="H61" s="765"/>
      <c r="I61" s="765"/>
      <c r="J61" s="765"/>
    </row>
    <row r="62" spans="3:10" ht="21">
      <c r="C62" s="660" t="str">
        <f>BASEBUDGETS!B2009</f>
        <v>Row Cultivator, Custom</v>
      </c>
      <c r="D62" s="765">
        <f>CustomOperations!U28</f>
        <v>0</v>
      </c>
      <c r="E62" s="771" t="e">
        <f>BASEBUDGETS!E2819/BASEBUDGETS!C2781</f>
        <v>#DIV/0!</v>
      </c>
      <c r="F62" s="770" t="str">
        <f>BASEBUDGETS!C2819</f>
        <v>acre</v>
      </c>
      <c r="G62" s="756">
        <v>0</v>
      </c>
      <c r="H62" s="756">
        <v>0</v>
      </c>
      <c r="I62" s="756" t="e">
        <f>IF(E62=0,0,BASEBUDGETS!D2819*E62)</f>
        <v>#DIV/0!</v>
      </c>
      <c r="J62" s="765" t="e">
        <f>G62+H62+I62</f>
        <v>#DIV/0!</v>
      </c>
    </row>
    <row r="63" spans="3:10" ht="21">
      <c r="C63" s="660" t="str">
        <f>TillageOperations!$B$20</f>
        <v>Row Cultivator</v>
      </c>
      <c r="D63" s="765"/>
      <c r="E63" s="771" t="e">
        <f>BASEBUDGETS!E2854/BASEBUDGETS!C2781</f>
        <v>#DIV/0!</v>
      </c>
      <c r="F63" s="770" t="str">
        <f>BASEBUDGETS!C2854</f>
        <v>acre</v>
      </c>
      <c r="G63" s="756" t="e">
        <f>IF(E63=0,0,BASEBUDGETS!D2855*E63)</f>
        <v>#DIV/0!</v>
      </c>
      <c r="H63" s="756" t="e">
        <f>IF(E63=0,0,BASEBUDGETS!D2854*E63)</f>
        <v>#DIV/0!</v>
      </c>
      <c r="I63" s="756">
        <v>0</v>
      </c>
      <c r="J63" s="765" t="e">
        <f>G63+H63+I63</f>
        <v>#DIV/0!</v>
      </c>
    </row>
    <row r="64" spans="3:10" ht="21">
      <c r="C64" s="660" t="s">
        <v>151</v>
      </c>
      <c r="D64" s="765"/>
      <c r="E64" s="776" t="s">
        <v>10</v>
      </c>
      <c r="F64" s="777" t="s">
        <v>10</v>
      </c>
      <c r="G64" s="756" t="e">
        <f>(D66*E66)+(D69*E69)+(D72*E72)</f>
        <v>#DIV/0!</v>
      </c>
      <c r="H64" s="756">
        <v>0</v>
      </c>
      <c r="I64" s="765" t="e">
        <f>(D65*E65)+(D68*E68)+(D71*E71+(D67*E67)+(D70*E70)+(D73*E73))</f>
        <v>#DIV/0!</v>
      </c>
      <c r="J64" s="765" t="e">
        <f>G64+H64+I64</f>
        <v>#DIV/0!</v>
      </c>
    </row>
    <row r="65" spans="2:10" ht="21">
      <c r="B65" s="660"/>
      <c r="C65" s="660" t="str">
        <f>BASEBUDGETS!B1995</f>
        <v>Flood - Irrigation Water</v>
      </c>
      <c r="D65" s="765">
        <f>BASEBUDGETS!D2805</f>
        <v>55</v>
      </c>
      <c r="E65" s="775" t="e">
        <f>BASEBUDGETS!E2805/BASEBUDGETS!C$2781</f>
        <v>#DIV/0!</v>
      </c>
      <c r="F65" s="769" t="str">
        <f>BASEBUDGETS!C2805</f>
        <v>ac ft</v>
      </c>
      <c r="G65" s="756"/>
      <c r="H65" s="756"/>
      <c r="I65" s="765"/>
      <c r="J65" s="765"/>
    </row>
    <row r="66" spans="2:10" ht="21">
      <c r="B66" s="660"/>
      <c r="C66" s="660" t="str">
        <f>BASEBUDGETS!B1996</f>
        <v>Flood - Irrigation Labor</v>
      </c>
      <c r="D66" s="765">
        <f>BASEBUDGETS!D2806</f>
        <v>14.55</v>
      </c>
      <c r="E66" s="775" t="e">
        <f>BASEBUDGETS!E2806/BASEBUDGETS!C$2781</f>
        <v>#DIV/0!</v>
      </c>
      <c r="F66" s="769" t="str">
        <f>BASEBUDGETS!C2806</f>
        <v>hour</v>
      </c>
      <c r="G66" s="756"/>
      <c r="H66" s="756"/>
      <c r="I66" s="765"/>
      <c r="J66" s="765"/>
    </row>
    <row r="67" spans="2:10" ht="21">
      <c r="C67" s="660" t="str">
        <f>BASEBUDGETS!B1997</f>
        <v xml:space="preserve">   - Annual Repairs &amp; Maintenance</v>
      </c>
      <c r="D67" s="765">
        <f>BASEBUDGETS!D2807</f>
        <v>3</v>
      </c>
      <c r="E67" s="775" t="e">
        <f>BASEBUDGETS!E2807/BASEBUDGETS!C$2781</f>
        <v>#DIV/0!</v>
      </c>
      <c r="F67" s="769" t="str">
        <f>BASEBUDGETS!C2807</f>
        <v>acre</v>
      </c>
      <c r="I67" s="756"/>
      <c r="J67" s="778" t="s">
        <v>10</v>
      </c>
    </row>
    <row r="68" spans="2:10" ht="21">
      <c r="C68" s="660" t="str">
        <f>BASEBUDGETS!B1998</f>
        <v>Drip-tape - Irrigation Water</v>
      </c>
      <c r="D68" s="765">
        <f>BASEBUDGETS!D2808</f>
        <v>55</v>
      </c>
      <c r="E68" s="775" t="e">
        <f>BASEBUDGETS!E2808/BASEBUDGETS!C$2781</f>
        <v>#DIV/0!</v>
      </c>
      <c r="F68" s="769" t="str">
        <f>BASEBUDGETS!C2808</f>
        <v>ac ft</v>
      </c>
      <c r="G68" s="756"/>
      <c r="H68" s="756"/>
      <c r="I68" s="756"/>
      <c r="J68" s="765"/>
    </row>
    <row r="69" spans="2:10" ht="21">
      <c r="C69" s="660" t="str">
        <f>BASEBUDGETS!B1999</f>
        <v>Drip-tape - Irrigation Labor</v>
      </c>
      <c r="D69" s="765">
        <f>BASEBUDGETS!D2809</f>
        <v>14.55</v>
      </c>
      <c r="E69" s="775" t="e">
        <f>BASEBUDGETS!E2809/BASEBUDGETS!C$2781</f>
        <v>#DIV/0!</v>
      </c>
      <c r="F69" s="769" t="str">
        <f>BASEBUDGETS!C2809</f>
        <v>hour</v>
      </c>
      <c r="G69" s="756"/>
      <c r="H69" s="756"/>
      <c r="I69" s="756"/>
      <c r="J69" s="765"/>
    </row>
    <row r="70" spans="2:10" ht="21">
      <c r="C70" s="660" t="str">
        <f>BASEBUDGETS!B2000</f>
        <v xml:space="preserve">   - Annual Repairs &amp; Maintenance</v>
      </c>
      <c r="D70" s="765">
        <f>BASEBUDGETS!D2810</f>
        <v>7.5</v>
      </c>
      <c r="E70" s="775" t="e">
        <f>BASEBUDGETS!E2810/BASEBUDGETS!C$2781</f>
        <v>#DIV/0!</v>
      </c>
      <c r="F70" s="769" t="str">
        <f>BASEBUDGETS!C2810</f>
        <v>acre</v>
      </c>
      <c r="G70" s="756"/>
      <c r="H70" s="756"/>
      <c r="I70" s="756"/>
      <c r="J70" s="765"/>
    </row>
    <row r="71" spans="2:10" ht="21">
      <c r="C71" s="660" t="str">
        <f>BASEBUDGETS!B2001</f>
        <v>Sprinkler - Irrigation Water</v>
      </c>
      <c r="D71" s="765">
        <f>BASEBUDGETS!D2811</f>
        <v>55</v>
      </c>
      <c r="E71" s="775" t="e">
        <f>BASEBUDGETS!E2811/BASEBUDGETS!C$2781</f>
        <v>#DIV/0!</v>
      </c>
      <c r="F71" s="769" t="str">
        <f>BASEBUDGETS!C2811</f>
        <v>ac ft</v>
      </c>
      <c r="G71" s="756"/>
      <c r="H71" s="756"/>
      <c r="I71" s="756"/>
      <c r="J71" s="765"/>
    </row>
    <row r="72" spans="2:10" ht="21">
      <c r="C72" s="660" t="str">
        <f>BASEBUDGETS!B2002</f>
        <v>Sprinkler - Irrigation Labor</v>
      </c>
      <c r="D72" s="765">
        <f>BASEBUDGETS!D2812</f>
        <v>14.55</v>
      </c>
      <c r="E72" s="775" t="e">
        <f>BASEBUDGETS!E2812/BASEBUDGETS!C$2781</f>
        <v>#DIV/0!</v>
      </c>
      <c r="F72" s="769" t="str">
        <f>BASEBUDGETS!C2812</f>
        <v>hour</v>
      </c>
      <c r="G72" s="756"/>
      <c r="H72" s="756"/>
      <c r="I72" s="756"/>
      <c r="J72" s="765"/>
    </row>
    <row r="73" spans="2:10" ht="21">
      <c r="C73" s="660" t="str">
        <f>BASEBUDGETS!B2003</f>
        <v xml:space="preserve">   - Annual Repairs &amp; Maintenance</v>
      </c>
      <c r="D73" s="765">
        <f>BASEBUDGETS!D2813</f>
        <v>15</v>
      </c>
      <c r="E73" s="775" t="e">
        <f>BASEBUDGETS!E2813/BASEBUDGETS!C$2781</f>
        <v>#DIV/0!</v>
      </c>
      <c r="F73" s="769" t="str">
        <f>BASEBUDGETS!C2813</f>
        <v>acre</v>
      </c>
      <c r="G73" s="756"/>
      <c r="H73" s="756"/>
      <c r="I73" s="756"/>
      <c r="J73" s="765"/>
    </row>
    <row r="74" spans="2:10" ht="21">
      <c r="C74" s="660" t="str">
        <f>BASEBUDGETS!B2891</f>
        <v>Additional Crop Prod. Labor</v>
      </c>
      <c r="D74" s="765">
        <f>GeneralInputPrices!$D$31</f>
        <v>14.55</v>
      </c>
      <c r="E74" s="771" t="e">
        <f>BASEBUDGETS!E2891/BASEBUDGETS!C2781</f>
        <v>#DIV/0!</v>
      </c>
      <c r="F74" s="770" t="str">
        <f>BASEBUDGETS!C2891</f>
        <v>hour</v>
      </c>
      <c r="G74" s="756" t="e">
        <f>D74*E74</f>
        <v>#DIV/0!</v>
      </c>
      <c r="H74" s="756">
        <v>0</v>
      </c>
      <c r="I74" s="756">
        <v>0</v>
      </c>
      <c r="J74" s="765" t="e">
        <f t="shared" ref="J74:J75" si="2">G74+H74+I74</f>
        <v>#DIV/0!</v>
      </c>
    </row>
    <row r="75" spans="2:10" ht="21">
      <c r="C75" s="660" t="str">
        <f>BASEBUDGETS!B2892</f>
        <v>Additional Crop Prod. Labor</v>
      </c>
      <c r="D75" s="765">
        <f>GeneralInputPrices!$D$31</f>
        <v>14.55</v>
      </c>
      <c r="E75" s="771" t="e">
        <f>BASEBUDGETS!E2892/BASEBUDGETS!C2781</f>
        <v>#DIV/0!</v>
      </c>
      <c r="F75" s="770" t="str">
        <f>BASEBUDGETS!C2892</f>
        <v>hour</v>
      </c>
      <c r="G75" s="756" t="e">
        <f>D75*E75</f>
        <v>#DIV/0!</v>
      </c>
      <c r="H75" s="756">
        <v>0</v>
      </c>
      <c r="I75" s="756">
        <v>0</v>
      </c>
      <c r="J75" s="765" t="e">
        <f t="shared" si="2"/>
        <v>#DIV/0!</v>
      </c>
    </row>
    <row r="76" spans="2:10" ht="21">
      <c r="B76" s="804" t="s">
        <v>44</v>
      </c>
      <c r="C76" s="804"/>
      <c r="D76" s="778"/>
      <c r="E76" s="758"/>
      <c r="F76" s="780" t="s">
        <v>10</v>
      </c>
      <c r="G76" s="777" t="s">
        <v>10</v>
      </c>
      <c r="H76" s="777" t="s">
        <v>10</v>
      </c>
      <c r="I76" s="777" t="s">
        <v>10</v>
      </c>
      <c r="J76" s="777" t="s">
        <v>10</v>
      </c>
    </row>
    <row r="77" spans="2:10" ht="21">
      <c r="C77" s="660" t="str">
        <f>BASEBUDGETS!B2814</f>
        <v>Harvest, Custom</v>
      </c>
      <c r="D77" s="765">
        <f>CustomOperations!U37</f>
        <v>75</v>
      </c>
      <c r="E77" s="771" t="e">
        <f>BASEBUDGETS!E2814/BASEBUDGETS!C2781</f>
        <v>#DIV/0!</v>
      </c>
      <c r="F77" s="770" t="str">
        <f>BASEBUDGETS!C2814</f>
        <v>tons</v>
      </c>
      <c r="G77" s="756">
        <v>0</v>
      </c>
      <c r="H77" s="756">
        <v>0</v>
      </c>
      <c r="I77" s="756" t="e">
        <f>IF(E77=0,0,BASEBUDGETS!D2814*E77)</f>
        <v>#DIV/0!</v>
      </c>
      <c r="J77" s="765" t="e">
        <f t="shared" ref="J77:J88" si="3">G77+H77+I77</f>
        <v>#DIV/0!</v>
      </c>
    </row>
    <row r="78" spans="2:10" ht="21">
      <c r="C78" s="660" t="str">
        <f>BASEBUDGETS!B2815</f>
        <v>Hauling, Custom</v>
      </c>
      <c r="D78" s="765">
        <f>CustomOperations!U39</f>
        <v>0</v>
      </c>
      <c r="E78" s="771" t="e">
        <f>BASEBUDGETS!E2815/BASEBUDGETS!C2781</f>
        <v>#DIV/0!</v>
      </c>
      <c r="F78" s="770" t="str">
        <f>BASEBUDGETS!C2815</f>
        <v>mile</v>
      </c>
      <c r="G78" s="756">
        <v>0</v>
      </c>
      <c r="H78" s="756">
        <v>0</v>
      </c>
      <c r="I78" s="756" t="e">
        <f>IF(E78=0,0,BASEBUDGETS!D2815*E78)</f>
        <v>#DIV/0!</v>
      </c>
      <c r="J78" s="765" t="e">
        <f t="shared" si="3"/>
        <v>#DIV/0!</v>
      </c>
    </row>
    <row r="79" spans="2:10" ht="21">
      <c r="C79" s="660" t="str">
        <f>BASEBUDGETS!B2816</f>
        <v>Gin Cotton/Drying/Swathing, Custom</v>
      </c>
      <c r="D79" s="765">
        <f>CustomOperations!U41</f>
        <v>0</v>
      </c>
      <c r="E79" s="771" t="e">
        <f>BASEBUDGETS!E2816/BASEBUDGETS!C2781</f>
        <v>#DIV/0!</v>
      </c>
      <c r="F79" s="770" t="str">
        <f>BASEBUDGETS!C2816</f>
        <v>bale</v>
      </c>
      <c r="G79" s="756">
        <v>0</v>
      </c>
      <c r="H79" s="756">
        <v>0</v>
      </c>
      <c r="I79" s="756" t="e">
        <f>IF(E79=0,0,BASEBUDGETS!D2816*E79)</f>
        <v>#DIV/0!</v>
      </c>
      <c r="J79" s="765" t="e">
        <f t="shared" si="3"/>
        <v>#DIV/0!</v>
      </c>
    </row>
    <row r="80" spans="2:10" ht="21">
      <c r="C80" s="660" t="str">
        <f>TillageOperations!$B$27</f>
        <v>Cotton Picker</v>
      </c>
      <c r="D80" s="765"/>
      <c r="E80" s="771" t="e">
        <f>BASEBUDGETS!E2858/BASEBUDGETS!C$2781</f>
        <v>#DIV/0!</v>
      </c>
      <c r="F80" s="770" t="str">
        <f>BASEBUDGETS!C2858</f>
        <v>acre</v>
      </c>
      <c r="G80" s="756" t="e">
        <f>IF(E80=0,0,BASEBUDGETS!D2859*E80)</f>
        <v>#DIV/0!</v>
      </c>
      <c r="H80" s="756" t="e">
        <f>IF(E80=0,0,BASEBUDGETS!D2858*E80)</f>
        <v>#DIV/0!</v>
      </c>
      <c r="I80" s="756">
        <v>0</v>
      </c>
      <c r="J80" s="765" t="e">
        <f t="shared" si="3"/>
        <v>#DIV/0!</v>
      </c>
    </row>
    <row r="81" spans="2:10" ht="21">
      <c r="C81" s="781" t="s">
        <v>287</v>
      </c>
      <c r="D81" s="765"/>
      <c r="E81" s="771" t="e">
        <f>BASEBUDGETS!E2860/BASEBUDGETS!C$2781</f>
        <v>#DIV/0!</v>
      </c>
      <c r="F81" s="770" t="str">
        <f>BASEBUDGETS!C2860</f>
        <v>acre</v>
      </c>
      <c r="G81" s="756" t="e">
        <f>IF(E81=0,0,BASEBUDGETS!D2861*E81)</f>
        <v>#DIV/0!</v>
      </c>
      <c r="H81" s="756" t="e">
        <f>IF(E81=0,0,BASEBUDGETS!D2860*E81)</f>
        <v>#DIV/0!</v>
      </c>
      <c r="I81" s="756">
        <v>0</v>
      </c>
      <c r="J81" s="765" t="e">
        <f t="shared" si="3"/>
        <v>#DIV/0!</v>
      </c>
    </row>
    <row r="82" spans="2:10" ht="21">
      <c r="C82" s="660" t="str">
        <f>TillageOperations!$B$29</f>
        <v>Haul Cotton</v>
      </c>
      <c r="D82" s="765"/>
      <c r="E82" s="771" t="e">
        <f>BASEBUDGETS!E2862/BASEBUDGETS!C$2781</f>
        <v>#DIV/0!</v>
      </c>
      <c r="F82" s="770" t="str">
        <f>BASEBUDGETS!C2862</f>
        <v>acre</v>
      </c>
      <c r="G82" s="756" t="e">
        <f>IF(E82=0,0,BASEBUDGETS!D2863*E82)</f>
        <v>#DIV/0!</v>
      </c>
      <c r="H82" s="756" t="e">
        <f>IF(E82=0,0,BASEBUDGETS!D2862*E82)</f>
        <v>#DIV/0!</v>
      </c>
      <c r="I82" s="756">
        <v>0</v>
      </c>
      <c r="J82" s="765" t="e">
        <f t="shared" si="3"/>
        <v>#DIV/0!</v>
      </c>
    </row>
    <row r="83" spans="2:10" ht="21">
      <c r="C83" s="660" t="str">
        <f>TillageOperations!$B$30</f>
        <v>Combine</v>
      </c>
      <c r="D83" s="765"/>
      <c r="E83" s="771" t="e">
        <f>BASEBUDGETS!E2866/BASEBUDGETS!C$2781</f>
        <v>#DIV/0!</v>
      </c>
      <c r="F83" s="770" t="str">
        <f>BASEBUDGETS!C2866</f>
        <v>acre</v>
      </c>
      <c r="G83" s="756" t="e">
        <f>IF(E83=0,0,BASEBUDGETS!D2867*E83)</f>
        <v>#DIV/0!</v>
      </c>
      <c r="H83" s="756" t="e">
        <f>IF(E83=0,0,BASEBUDGETS!D2866*E83)</f>
        <v>#DIV/0!</v>
      </c>
      <c r="I83" s="756">
        <v>0</v>
      </c>
      <c r="J83" s="765" t="e">
        <f t="shared" si="3"/>
        <v>#DIV/0!</v>
      </c>
    </row>
    <row r="84" spans="2:10" ht="21">
      <c r="C84" s="660" t="str">
        <f>TillageOperations!$B$31</f>
        <v>Grain Cart</v>
      </c>
      <c r="D84" s="765"/>
      <c r="E84" s="771" t="e">
        <f>BASEBUDGETS!E2868/BASEBUDGETS!C$2781</f>
        <v>#DIV/0!</v>
      </c>
      <c r="F84" s="770" t="str">
        <f>BASEBUDGETS!C2868</f>
        <v>acre</v>
      </c>
      <c r="G84" s="756" t="e">
        <f>IF(E84=0,0,BASEBUDGETS!D2869*E84)</f>
        <v>#DIV/0!</v>
      </c>
      <c r="H84" s="756" t="e">
        <f>IF(E84=0,0,BASEBUDGETS!D2868*E84)</f>
        <v>#DIV/0!</v>
      </c>
      <c r="I84" s="756">
        <v>0</v>
      </c>
      <c r="J84" s="765" t="e">
        <f t="shared" si="3"/>
        <v>#DIV/0!</v>
      </c>
    </row>
    <row r="85" spans="2:10" ht="21">
      <c r="C85" s="660" t="str">
        <f>TillageOperations!$B$32</f>
        <v>Swather</v>
      </c>
      <c r="D85" s="765"/>
      <c r="E85" s="771" t="e">
        <f>BASEBUDGETS!E2870/BASEBUDGETS!C$2781</f>
        <v>#DIV/0!</v>
      </c>
      <c r="F85" s="770" t="str">
        <f>BASEBUDGETS!C2870</f>
        <v>acre</v>
      </c>
      <c r="G85" s="756" t="e">
        <f>IF(E85=0,0,BASEBUDGETS!D2871*E85)</f>
        <v>#DIV/0!</v>
      </c>
      <c r="H85" s="756" t="e">
        <f>IF(E85=0,0,BASEBUDGETS!D2870*E85)</f>
        <v>#DIV/0!</v>
      </c>
      <c r="I85" s="756">
        <v>0</v>
      </c>
      <c r="J85" s="765" t="e">
        <f t="shared" si="3"/>
        <v>#DIV/0!</v>
      </c>
    </row>
    <row r="86" spans="2:10" ht="21">
      <c r="C86" s="660" t="str">
        <f>TillageOperations!$B$33</f>
        <v>Baler</v>
      </c>
      <c r="D86" s="765"/>
      <c r="E86" s="771" t="e">
        <f>BASEBUDGETS!E2872/BASEBUDGETS!C$2781</f>
        <v>#DIV/0!</v>
      </c>
      <c r="F86" s="770" t="str">
        <f>BASEBUDGETS!C2872</f>
        <v>acre</v>
      </c>
      <c r="G86" s="756" t="e">
        <f>IF(E86=0,0,BASEBUDGETS!D2873*E86)</f>
        <v>#DIV/0!</v>
      </c>
      <c r="H86" s="756" t="e">
        <f>IF(E86=0,0,BASEBUDGETS!D2872*E86)</f>
        <v>#DIV/0!</v>
      </c>
      <c r="I86" s="756" t="e">
        <f>IF(E86=0,0,D89*E89)</f>
        <v>#DIV/0!</v>
      </c>
      <c r="J86" s="765" t="e">
        <f t="shared" si="3"/>
        <v>#DIV/0!</v>
      </c>
    </row>
    <row r="87" spans="2:10" ht="21">
      <c r="C87" s="660" t="str">
        <f>TillageOperations!$B$34</f>
        <v>Swather</v>
      </c>
      <c r="D87" s="765"/>
      <c r="E87" s="771" t="e">
        <f>BASEBUDGETS!E2874/BASEBUDGETS!C$2781</f>
        <v>#DIV/0!</v>
      </c>
      <c r="F87" s="770" t="str">
        <f>BASEBUDGETS!C2874</f>
        <v>acre</v>
      </c>
      <c r="G87" s="756" t="e">
        <f>IF(E87=0,0,BASEBUDGETS!D2875*E87)</f>
        <v>#DIV/0!</v>
      </c>
      <c r="H87" s="756" t="e">
        <f>IF(E87=0,0,BASEBUDGETS!D2874*E87)</f>
        <v>#DIV/0!</v>
      </c>
      <c r="I87" s="756">
        <v>0</v>
      </c>
      <c r="J87" s="765" t="e">
        <f t="shared" si="3"/>
        <v>#DIV/0!</v>
      </c>
    </row>
    <row r="88" spans="2:10" ht="21">
      <c r="C88" s="660" t="str">
        <f>TillageOperations!$B$35</f>
        <v>Baler</v>
      </c>
      <c r="D88" s="765"/>
      <c r="E88" s="771" t="e">
        <f>BASEBUDGETS!E2876/BASEBUDGETS!C$2781</f>
        <v>#DIV/0!</v>
      </c>
      <c r="F88" s="770" t="str">
        <f>BASEBUDGETS!C2876</f>
        <v>acre</v>
      </c>
      <c r="G88" s="756" t="e">
        <f>IF(E88=0,0,BASEBUDGETS!D2877*E88)</f>
        <v>#DIV/0!</v>
      </c>
      <c r="H88" s="756" t="e">
        <f>IF(E88=0,0,BASEBUDGETS!D2876*E88)</f>
        <v>#DIV/0!</v>
      </c>
      <c r="I88" s="756" t="e">
        <f>IF(E88=0,0,D89*E89)</f>
        <v>#DIV/0!</v>
      </c>
      <c r="J88" s="765" t="e">
        <f t="shared" si="3"/>
        <v>#DIV/0!</v>
      </c>
    </row>
    <row r="89" spans="2:10" ht="21">
      <c r="C89" s="660" t="str">
        <f>'Inputs&amp;PricesbyCrop'!$B$31</f>
        <v xml:space="preserve">   - Baling Twine</v>
      </c>
      <c r="D89" s="765">
        <f>BASEBUDGETS!D2878</f>
        <v>0</v>
      </c>
      <c r="E89" s="775" t="e">
        <f>BASEBUDGETS!E2878/BASEBUDGETS!C2781</f>
        <v>#DIV/0!</v>
      </c>
      <c r="F89" s="769" t="str">
        <f>'Inputs&amp;PricesbyCrop'!$C$31</f>
        <v>acre</v>
      </c>
      <c r="G89" s="756"/>
      <c r="H89" s="756"/>
      <c r="I89" s="756"/>
      <c r="J89" s="765"/>
    </row>
    <row r="90" spans="2:10" ht="21">
      <c r="C90" s="660" t="str">
        <f>TillageOperations!$B$36</f>
        <v>Bale Wagon</v>
      </c>
      <c r="D90" s="765"/>
      <c r="E90" s="771" t="e">
        <f>BASEBUDGETS!E2879/BASEBUDGETS!C$2781</f>
        <v>#DIV/0!</v>
      </c>
      <c r="F90" s="770" t="str">
        <f>BASEBUDGETS!C2879</f>
        <v>acre</v>
      </c>
      <c r="G90" s="756" t="e">
        <f>IF(E90=0,0,BASEBUDGETS!D2880*E90)</f>
        <v>#DIV/0!</v>
      </c>
      <c r="H90" s="756" t="e">
        <f>IF(E90=0,0,BASEBUDGETS!D2879*E90)</f>
        <v>#DIV/0!</v>
      </c>
      <c r="I90" s="756">
        <v>0</v>
      </c>
      <c r="J90" s="765" t="e">
        <f t="shared" ref="J90:J92" si="4">G90+H90+I90</f>
        <v>#DIV/0!</v>
      </c>
    </row>
    <row r="91" spans="2:10" ht="21">
      <c r="C91" s="660" t="str">
        <f>BASEBUDGETS!B2893</f>
        <v>Additional Harvest Labor</v>
      </c>
      <c r="D91" s="765">
        <f>GeneralInputPrices!$D$32</f>
        <v>17.89</v>
      </c>
      <c r="E91" s="771" t="e">
        <f>BASEBUDGETS!E2893/BASEBUDGETS!C2781</f>
        <v>#DIV/0!</v>
      </c>
      <c r="F91" s="770" t="str">
        <f>BASEBUDGETS!C2893</f>
        <v>hour</v>
      </c>
      <c r="G91" s="756" t="e">
        <f>D91*E91</f>
        <v>#DIV/0!</v>
      </c>
      <c r="H91" s="756">
        <v>0</v>
      </c>
      <c r="I91" s="756">
        <v>0</v>
      </c>
      <c r="J91" s="765" t="e">
        <f t="shared" si="4"/>
        <v>#DIV/0!</v>
      </c>
    </row>
    <row r="92" spans="2:10" ht="21">
      <c r="C92" s="660" t="str">
        <f>BASEBUDGETS!B2894</f>
        <v>Additional Harvest Labor</v>
      </c>
      <c r="D92" s="765">
        <f>GeneralInputPrices!$D$32</f>
        <v>17.89</v>
      </c>
      <c r="E92" s="771" t="e">
        <f>BASEBUDGETS!E2894/BASEBUDGETS!C2781</f>
        <v>#DIV/0!</v>
      </c>
      <c r="F92" s="770" t="str">
        <f>BASEBUDGETS!C2894</f>
        <v>hour</v>
      </c>
      <c r="G92" s="756" t="e">
        <f>D92*E92</f>
        <v>#DIV/0!</v>
      </c>
      <c r="H92" s="756">
        <v>0</v>
      </c>
      <c r="I92" s="756">
        <v>0</v>
      </c>
      <c r="J92" s="765" t="e">
        <f t="shared" si="4"/>
        <v>#DIV/0!</v>
      </c>
    </row>
    <row r="93" spans="2:10" ht="21">
      <c r="B93" s="760" t="s">
        <v>184</v>
      </c>
      <c r="C93" s="760"/>
      <c r="D93" s="765"/>
      <c r="E93" s="771"/>
      <c r="F93" s="770"/>
      <c r="G93" s="756"/>
      <c r="H93" s="756"/>
      <c r="I93" s="756"/>
      <c r="J93" s="765"/>
    </row>
    <row r="94" spans="2:10" ht="21">
      <c r="C94" s="660" t="str">
        <f>BASEBUDGETS!B2895</f>
        <v>Other Expenses</v>
      </c>
      <c r="D94" s="765"/>
      <c r="E94" s="783">
        <f>BASEBUDGETS!D2895</f>
        <v>0.05</v>
      </c>
      <c r="F94" s="780" t="s">
        <v>10</v>
      </c>
      <c r="G94" s="756">
        <v>0</v>
      </c>
      <c r="H94" s="756">
        <v>0</v>
      </c>
      <c r="I94" s="756" t="e">
        <f>SUM(J9:J92)*E94</f>
        <v>#DIV/0!</v>
      </c>
      <c r="J94" s="765" t="e">
        <f>G94+H94+I94</f>
        <v>#DIV/0!</v>
      </c>
    </row>
    <row r="95" spans="2:10" ht="21">
      <c r="C95" s="660" t="str">
        <f>BASEBUDGETS!B2896</f>
        <v>Interest on Operating Capital</v>
      </c>
      <c r="D95" s="765"/>
      <c r="E95" s="783">
        <f>BASEBUDGETS!D2896</f>
        <v>0.06</v>
      </c>
      <c r="F95" s="780" t="s">
        <v>10</v>
      </c>
      <c r="G95" s="784">
        <v>0</v>
      </c>
      <c r="H95" s="784">
        <v>0</v>
      </c>
      <c r="I95" s="784" t="e">
        <f>SUM(J9:J94)*((E95/12)*GeneralInputPrices!$D$39)</f>
        <v>#DIV/0!</v>
      </c>
      <c r="J95" s="785" t="e">
        <f>G95+H95+I95</f>
        <v>#DIV/0!</v>
      </c>
    </row>
    <row r="96" spans="2:10" ht="21">
      <c r="B96" s="660" t="s">
        <v>153</v>
      </c>
      <c r="C96" s="660"/>
      <c r="D96" s="765"/>
      <c r="E96" s="758"/>
      <c r="F96" s="660"/>
      <c r="G96" s="756" t="e">
        <f>SUM(G9:G95)</f>
        <v>#DIV/0!</v>
      </c>
      <c r="H96" s="756" t="e">
        <f>SUM(H9:H95)</f>
        <v>#DIV/0!</v>
      </c>
      <c r="I96" s="756" t="e">
        <f>SUM(I9:I95)</f>
        <v>#DIV/0!</v>
      </c>
      <c r="J96" s="756" t="e">
        <f>SUM(J9:J95)</f>
        <v>#DIV/0!</v>
      </c>
    </row>
    <row r="98" spans="2:13" ht="21">
      <c r="B98" s="787" t="s">
        <v>78</v>
      </c>
      <c r="C98" s="787"/>
      <c r="D98" s="787"/>
      <c r="E98" s="787"/>
      <c r="F98" s="787"/>
      <c r="G98" s="791"/>
      <c r="H98" s="792" t="s">
        <v>1</v>
      </c>
      <c r="I98" s="767" t="s">
        <v>24</v>
      </c>
      <c r="J98" s="767" t="s">
        <v>0</v>
      </c>
    </row>
    <row r="99" spans="2:13" ht="21">
      <c r="B99" s="754" t="str">
        <f>BASEBUDGETS!B2931</f>
        <v>Crop Insurance</v>
      </c>
      <c r="C99" s="754"/>
      <c r="D99" s="754"/>
      <c r="E99" s="754"/>
      <c r="F99" s="754"/>
      <c r="H99" s="770" t="str">
        <f>BASEBUDGETS!C2931</f>
        <v>acre</v>
      </c>
      <c r="I99" s="756" t="e">
        <f>BASEBUDGETS!F2931/BASEBUDGETS!C$2781</f>
        <v>#DIV/0!</v>
      </c>
      <c r="J99" s="756" t="e">
        <f>I99</f>
        <v>#DIV/0!</v>
      </c>
    </row>
    <row r="100" spans="2:13" ht="21">
      <c r="B100" s="760" t="str">
        <f>BASEBUDGETS!B2932</f>
        <v>Property Insurance</v>
      </c>
      <c r="C100" s="760"/>
      <c r="D100" s="760"/>
      <c r="E100" s="760"/>
      <c r="F100" s="760"/>
      <c r="H100" s="770" t="str">
        <f>BASEBUDGETS!C2932</f>
        <v>acre</v>
      </c>
      <c r="I100" s="756" t="e">
        <f>BASEBUDGETS!F2932/BASEBUDGETS!C2781</f>
        <v>#DIV/0!</v>
      </c>
      <c r="J100" s="756" t="e">
        <f>I100</f>
        <v>#DIV/0!</v>
      </c>
    </row>
    <row r="101" spans="2:13" ht="21">
      <c r="B101" s="760" t="str">
        <f>BASEBUDGETS!B2933</f>
        <v>Property Taxes</v>
      </c>
      <c r="C101" s="760"/>
      <c r="D101" s="760"/>
      <c r="E101" s="760"/>
      <c r="F101" s="760"/>
      <c r="H101" s="770" t="str">
        <f>BASEBUDGETS!C2933</f>
        <v>acre</v>
      </c>
      <c r="I101" s="756" t="e">
        <f>BASEBUDGETS!F2933/BASEBUDGETS!C2781</f>
        <v>#DIV/0!</v>
      </c>
      <c r="J101" s="756" t="e">
        <f t="shared" ref="J101:J104" si="5">I101</f>
        <v>#DIV/0!</v>
      </c>
    </row>
    <row r="102" spans="2:13" ht="21">
      <c r="B102" s="760" t="str">
        <f>BASEBUDGETS!B2936</f>
        <v>Licenses and Fees</v>
      </c>
      <c r="C102" s="760"/>
      <c r="D102" s="760"/>
      <c r="E102" s="760"/>
      <c r="F102" s="760"/>
      <c r="H102" s="770" t="str">
        <f>BASEBUDGETS!C2936</f>
        <v>acre</v>
      </c>
      <c r="I102" s="756" t="e">
        <f>BASEBUDGETS!F2936/BASEBUDGETS!C2781</f>
        <v>#DIV/0!</v>
      </c>
      <c r="J102" s="756" t="e">
        <f t="shared" si="5"/>
        <v>#DIV/0!</v>
      </c>
    </row>
    <row r="103" spans="2:13" ht="21">
      <c r="B103" s="794" t="s">
        <v>484</v>
      </c>
      <c r="C103" s="794"/>
      <c r="D103" s="794"/>
      <c r="E103" s="794"/>
      <c r="F103" s="794"/>
      <c r="G103" s="794"/>
      <c r="H103" s="770" t="s">
        <v>157</v>
      </c>
      <c r="I103" s="756">
        <f>IF('AcresYieldsPrices&amp;Water'!D9=0,0,((Fallow!$L$17*('AcresYieldsPrices&amp;Water'!Q26/'AcresYieldsPrices&amp;Water'!Q31))/('AcresYieldsPrices&amp;Water'!D19+'AcresYieldsPrices&amp;Water'!D20))*-1)</f>
        <v>0</v>
      </c>
      <c r="J103" s="765">
        <f>I103</f>
        <v>0</v>
      </c>
      <c r="M103" s="825">
        <f>I103*'AcresYieldsPrices&amp;Water'!D19</f>
        <v>0</v>
      </c>
    </row>
    <row r="104" spans="2:13" ht="21">
      <c r="B104" s="760" t="str">
        <f>BASEBUDGETS!B2934</f>
        <v>Annual Cash Rent Payment</v>
      </c>
      <c r="C104" s="760"/>
      <c r="D104" s="760"/>
      <c r="E104" s="760"/>
      <c r="F104" s="760"/>
      <c r="H104" s="770" t="str">
        <f>BASEBUDGETS!C2934</f>
        <v>acre</v>
      </c>
      <c r="I104" s="756" t="e">
        <f>BASEBUDGETS!F2934/BASEBUDGETS!C2781</f>
        <v>#DIV/0!</v>
      </c>
      <c r="J104" s="784" t="e">
        <f t="shared" si="5"/>
        <v>#DIV/0!</v>
      </c>
    </row>
    <row r="105" spans="2:13" ht="21">
      <c r="B105" s="760" t="s">
        <v>79</v>
      </c>
      <c r="C105" s="760"/>
      <c r="D105" s="760"/>
      <c r="E105" s="760"/>
      <c r="F105" s="760"/>
      <c r="G105" s="756"/>
      <c r="H105" s="756"/>
      <c r="I105" s="756"/>
      <c r="J105" s="765" t="e">
        <f>SUM(J99:J104)</f>
        <v>#DIV/0!</v>
      </c>
    </row>
    <row r="106" spans="2:13" ht="21">
      <c r="B106" s="782"/>
      <c r="C106" s="782"/>
      <c r="D106" s="782"/>
      <c r="E106" s="782"/>
      <c r="F106" s="782"/>
      <c r="G106" s="756"/>
      <c r="H106" s="756"/>
      <c r="I106" s="756"/>
      <c r="J106" s="765"/>
    </row>
    <row r="107" spans="2:13" ht="21">
      <c r="B107" s="760" t="s">
        <v>448</v>
      </c>
      <c r="C107" s="760"/>
      <c r="D107" s="760"/>
      <c r="E107" s="760"/>
      <c r="F107" s="660"/>
      <c r="G107" s="756"/>
      <c r="H107" s="756"/>
      <c r="I107" s="756"/>
      <c r="J107" s="756" t="e">
        <f>J5-J96-J105</f>
        <v>#DIV/0!</v>
      </c>
    </row>
    <row r="108" spans="2:13">
      <c r="J108" s="786"/>
    </row>
    <row r="109" spans="2:13" ht="21">
      <c r="B109" s="805" t="s">
        <v>154</v>
      </c>
      <c r="C109" s="805"/>
      <c r="D109" s="805"/>
      <c r="E109" s="805"/>
      <c r="F109" s="805"/>
      <c r="G109" s="791"/>
      <c r="H109" s="792" t="s">
        <v>1</v>
      </c>
      <c r="I109" s="767" t="s">
        <v>24</v>
      </c>
      <c r="J109" s="767" t="s">
        <v>0</v>
      </c>
    </row>
    <row r="110" spans="2:13" ht="21">
      <c r="B110" s="760" t="s">
        <v>534</v>
      </c>
      <c r="C110" s="760"/>
      <c r="D110" s="760"/>
      <c r="E110" s="760"/>
      <c r="F110" s="760"/>
      <c r="G110" s="760"/>
      <c r="H110" s="770" t="s">
        <v>157</v>
      </c>
      <c r="I110" s="756" t="e">
        <f>SUM(BASEBUDGETS!F2900:F2902)/BASEBUDGETS!C2781</f>
        <v>#DIV/0!</v>
      </c>
      <c r="J110" s="765" t="e">
        <f>I110</f>
        <v>#DIV/0!</v>
      </c>
      <c r="M110" s="825" t="e">
        <f>I110*'AcresYieldsPrices&amp;Water'!D19</f>
        <v>#DIV/0!</v>
      </c>
    </row>
    <row r="111" spans="2:13" ht="21">
      <c r="B111" s="794" t="s">
        <v>156</v>
      </c>
      <c r="C111" s="794"/>
      <c r="D111" s="794"/>
      <c r="E111" s="794"/>
      <c r="F111" s="794"/>
      <c r="G111" s="756"/>
      <c r="H111" s="770" t="str">
        <f>BASEBUDGETS!C2900</f>
        <v>acre</v>
      </c>
      <c r="I111" s="758" t="e">
        <f>SUM(BASEBUDGETS!F2903:F2930)/BASEBUDGETS!C2781</f>
        <v>#DIV/0!</v>
      </c>
      <c r="J111" s="797" t="e">
        <f>I111</f>
        <v>#DIV/0!</v>
      </c>
    </row>
    <row r="112" spans="2:13" ht="21">
      <c r="B112" s="807" t="s">
        <v>77</v>
      </c>
      <c r="C112" s="807"/>
      <c r="D112" s="807"/>
      <c r="E112" s="807"/>
      <c r="F112" s="807"/>
      <c r="G112" s="756"/>
      <c r="H112" s="756"/>
      <c r="I112" s="756"/>
      <c r="J112" s="765" t="e">
        <f>J111+J110</f>
        <v>#DIV/0!</v>
      </c>
    </row>
    <row r="113" spans="2:10" ht="21">
      <c r="B113" s="660"/>
      <c r="C113" s="660"/>
      <c r="D113" s="765"/>
      <c r="E113" s="758"/>
      <c r="F113" s="660"/>
      <c r="G113" s="756"/>
      <c r="H113" s="756"/>
      <c r="I113" s="756"/>
      <c r="J113" s="765"/>
    </row>
    <row r="114" spans="2:10" ht="20.399999999999999">
      <c r="B114" s="808" t="s">
        <v>63</v>
      </c>
      <c r="C114" s="808"/>
      <c r="D114" s="808"/>
      <c r="E114" s="808"/>
      <c r="F114" s="808"/>
      <c r="G114" s="764"/>
      <c r="H114" s="764"/>
      <c r="I114" s="764"/>
      <c r="J114" s="801">
        <f>IF(I4=0,0,J96+J105+J112)</f>
        <v>0</v>
      </c>
    </row>
    <row r="115" spans="2:10" ht="20.399999999999999">
      <c r="B115" s="805" t="s">
        <v>64</v>
      </c>
      <c r="C115" s="805"/>
      <c r="D115" s="805"/>
      <c r="E115" s="805"/>
      <c r="F115" s="805"/>
      <c r="G115" s="803"/>
      <c r="H115" s="803"/>
      <c r="I115" s="803"/>
      <c r="J115" s="788">
        <f>J5-J114</f>
        <v>0</v>
      </c>
    </row>
  </sheetData>
  <sheetProtection algorithmName="SHA-512" hashValue="blO1+WwJEUc94ccEkjipXc3NXeaaDpSqFmn9vBdUIwcFTFT5TQ6YKvmbE0zDzWvYPllsAtvvhINp4V6hev/bSw==" saltValue="XrcnFCHl+RgysRu/HBm5/g==" spinCount="100000" sheet="1" objects="1" scenarios="1"/>
  <mergeCells count="22">
    <mergeCell ref="B2:F2"/>
    <mergeCell ref="B103:G103"/>
    <mergeCell ref="B102:F102"/>
    <mergeCell ref="B3:C3"/>
    <mergeCell ref="B8:C8"/>
    <mergeCell ref="B31:C31"/>
    <mergeCell ref="B76:C76"/>
    <mergeCell ref="B93:C93"/>
    <mergeCell ref="B99:F99"/>
    <mergeCell ref="B100:F100"/>
    <mergeCell ref="B101:F101"/>
    <mergeCell ref="G2:I2"/>
    <mergeCell ref="B4:E4"/>
    <mergeCell ref="B115:F115"/>
    <mergeCell ref="B104:F104"/>
    <mergeCell ref="B105:F105"/>
    <mergeCell ref="B109:F109"/>
    <mergeCell ref="B111:F111"/>
    <mergeCell ref="B112:F112"/>
    <mergeCell ref="B114:F114"/>
    <mergeCell ref="B107:E107"/>
    <mergeCell ref="B110:G110"/>
  </mergeCells>
  <pageMargins left="0.7" right="0.7" top="0.75" bottom="0.75" header="0.3" footer="0.3"/>
  <pageSetup scale="58" orientation="portrait" horizontalDpi="0" verticalDpi="0"/>
  <ignoredErrors>
    <ignoredError sqref="B5:J5 K29:K35 K38:K43 K45:K53 B115:J115 J107 K111:K114 I103:J103 G2 D9:D17 D37 D40:D41 D32:D33 D62 D52 D77:D79 I33:I34 I37 I44 I40:I42 G43 K9:K27 K67:K104 C28:J28 F26 B4 F4:J4 K55:K65 C66:F73 I52:I54 C49 K107:K109 I110:J110 I64:J64 J112 I111" unlockedFormula="1"/>
    <ignoredError sqref="B114:J114 C44 C36 J40:J42 B45:C48 B29:C31 B38:B42 B32:C35 J32:J37 J44 I45:J51 B43:C43 B49 B108:J109 B74:C76 G67:J67 B93:J96 B104:J105 B97:J102 B9:C17 E9:J17 E32:I32 C40:C42 B50:C53 B67 B77:C79 E40:H42 E43:F43 E74:J79 E44:H53 E55:J63 B80:J82 D74:D76 D53:D61 D29:J31 D34:D36 D42:D51 J52:J54 E33:H36 C38:J39 H43:J43 I35:I36 B18:J25 B83:J92 B27:J27 B26:E26 G26:J26 D63:D65 B55:C65 B68:B73 G68:J73 E65:J65 E64:F64 B113:J113 B111:H111 J111 B112:I112" evalError="1" unlockedFormula="1"/>
    <ignoredError sqref="B36 B44 B54:C54 E54:H54" evalError="1"/>
  </ignoredErrors>
</worksheet>
</file>

<file path=xl/worksheets/sheet3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5F9E-080A-1F42-B53E-1EF681D820B6}">
  <sheetPr codeName="Sheet27">
    <pageSetUpPr fitToPage="1"/>
  </sheetPr>
  <dimension ref="A1:P121"/>
  <sheetViews>
    <sheetView zoomScale="110" zoomScaleNormal="110" workbookViewId="0">
      <selection activeCell="G4" sqref="G4"/>
    </sheetView>
  </sheetViews>
  <sheetFormatPr defaultColWidth="11.44140625" defaultRowHeight="14.4"/>
  <cols>
    <col min="1" max="1" width="4.88671875" style="611" customWidth="1"/>
    <col min="2" max="2" width="5.6640625" style="611" customWidth="1"/>
    <col min="3" max="3" width="46" style="611" customWidth="1"/>
    <col min="4" max="4" width="12.88671875" style="786" customWidth="1"/>
    <col min="5" max="5" width="12.88671875" style="774" customWidth="1"/>
    <col min="6" max="6" width="9.88671875" style="611" customWidth="1"/>
    <col min="7" max="8" width="12.88671875" style="757" customWidth="1"/>
    <col min="9" max="9" width="13.88671875" style="757" customWidth="1"/>
    <col min="10" max="10" width="15.88671875" style="757" customWidth="1"/>
    <col min="11" max="14" width="11.44140625" style="653" hidden="1" customWidth="1"/>
    <col min="15" max="15" width="14.88671875" style="653" customWidth="1"/>
    <col min="16" max="22" width="12.88671875" style="653" customWidth="1"/>
    <col min="23" max="16384" width="11.44140625" style="653"/>
  </cols>
  <sheetData>
    <row r="1" spans="2:14" s="611" customFormat="1" ht="15.9" customHeight="1" thickBot="1">
      <c r="B1" s="814" t="s">
        <v>10</v>
      </c>
      <c r="C1" s="814" t="s">
        <v>10</v>
      </c>
      <c r="D1" s="815" t="s">
        <v>10</v>
      </c>
      <c r="E1" s="816" t="s">
        <v>10</v>
      </c>
      <c r="F1" s="817" t="s">
        <v>10</v>
      </c>
      <c r="G1" s="818" t="s">
        <v>10</v>
      </c>
      <c r="H1" s="818" t="s">
        <v>10</v>
      </c>
      <c r="I1" s="818" t="s">
        <v>10</v>
      </c>
      <c r="J1" s="818" t="s">
        <v>10</v>
      </c>
    </row>
    <row r="2" spans="2:14" s="611" customFormat="1" ht="22.8">
      <c r="B2" s="746" t="s">
        <v>488</v>
      </c>
      <c r="C2" s="746"/>
      <c r="D2" s="746"/>
      <c r="E2" s="746"/>
      <c r="F2" s="746"/>
      <c r="G2" s="746" t="str">
        <f>'AcresYieldsPrices&amp;Water'!B20</f>
        <v>Alfalfa Hay Prod.</v>
      </c>
      <c r="H2" s="746"/>
      <c r="I2" s="746"/>
      <c r="J2" s="747" t="s">
        <v>487</v>
      </c>
    </row>
    <row r="3" spans="2:14" s="611" customFormat="1" ht="22.8">
      <c r="B3" s="748" t="s">
        <v>22</v>
      </c>
      <c r="C3" s="748"/>
      <c r="D3" s="749"/>
      <c r="E3" s="750"/>
      <c r="F3" s="751" t="s">
        <v>1</v>
      </c>
      <c r="G3" s="752" t="s">
        <v>24</v>
      </c>
      <c r="H3" s="753"/>
      <c r="I3" s="752" t="s">
        <v>25</v>
      </c>
      <c r="J3" s="752" t="s">
        <v>0</v>
      </c>
    </row>
    <row r="4" spans="2:14" s="611" customFormat="1" ht="21">
      <c r="B4" s="754" t="str">
        <f>BASEBUDGETS!B2947</f>
        <v>Alfalfa Hay Prod.</v>
      </c>
      <c r="C4" s="754"/>
      <c r="D4" s="754"/>
      <c r="E4" s="754"/>
      <c r="F4" s="755" t="str">
        <f>BASEBUDGETS!C2947</f>
        <v>ton</v>
      </c>
      <c r="G4" s="756">
        <f>BASEBUDGETS!D2947</f>
        <v>250</v>
      </c>
      <c r="H4" s="757"/>
      <c r="I4" s="758">
        <f>IF(BASEBUDGETS!E2947=0,0,BASEBUDGETS!E2947/BASEBUDGETS!C2943)</f>
        <v>0</v>
      </c>
      <c r="J4" s="761">
        <f>G4*I4</f>
        <v>0</v>
      </c>
    </row>
    <row r="5" spans="2:14" s="611" customFormat="1" ht="20.399999999999999">
      <c r="B5" s="808" t="s">
        <v>27</v>
      </c>
      <c r="C5" s="808"/>
      <c r="D5" s="762"/>
      <c r="E5" s="763"/>
      <c r="F5" s="679"/>
      <c r="G5" s="764"/>
      <c r="H5" s="764"/>
      <c r="I5" s="764"/>
      <c r="J5" s="764">
        <f>SUM(J4:J4)</f>
        <v>0</v>
      </c>
    </row>
    <row r="6" spans="2:14" s="611" customFormat="1" ht="21">
      <c r="B6" s="660"/>
      <c r="C6" s="660"/>
      <c r="D6" s="765"/>
      <c r="E6" s="758"/>
      <c r="F6" s="660"/>
      <c r="G6" s="756"/>
      <c r="H6" s="756"/>
      <c r="I6" s="756"/>
      <c r="J6" s="756"/>
    </row>
    <row r="7" spans="2:14" s="611" customFormat="1" ht="21">
      <c r="B7" s="830" t="s">
        <v>76</v>
      </c>
      <c r="C7" s="830"/>
      <c r="D7" s="767" t="s">
        <v>45</v>
      </c>
      <c r="E7" s="810" t="s">
        <v>25</v>
      </c>
      <c r="F7" s="811" t="s">
        <v>1</v>
      </c>
      <c r="G7" s="831" t="s">
        <v>149</v>
      </c>
      <c r="H7" s="831" t="s">
        <v>8</v>
      </c>
      <c r="I7" s="831" t="s">
        <v>150</v>
      </c>
      <c r="J7" s="831" t="s">
        <v>7</v>
      </c>
    </row>
    <row r="8" spans="2:14" s="611" customFormat="1" ht="21">
      <c r="B8" s="754" t="s">
        <v>210</v>
      </c>
      <c r="C8" s="754"/>
      <c r="D8" s="765"/>
      <c r="E8" s="758"/>
      <c r="F8" s="769"/>
      <c r="G8" s="770"/>
      <c r="H8" s="770"/>
      <c r="I8" s="770"/>
      <c r="J8" s="757"/>
    </row>
    <row r="9" spans="2:14" s="611" customFormat="1" ht="21">
      <c r="C9" s="660" t="str">
        <f>BASEBUDGETS!B2982</f>
        <v>V Ripper, Custom</v>
      </c>
      <c r="D9" s="765">
        <f>CustomOperations!V5</f>
        <v>44.25</v>
      </c>
      <c r="E9" s="771" t="e">
        <f>BASEBUDGETS!E2982/BASEBUDGETS!C2943</f>
        <v>#DIV/0!</v>
      </c>
      <c r="F9" s="770" t="str">
        <f>BASEBUDGETS!C2982</f>
        <v>acre</v>
      </c>
      <c r="G9" s="756">
        <v>0</v>
      </c>
      <c r="H9" s="756">
        <v>0</v>
      </c>
      <c r="I9" s="756" t="e">
        <f>IF(E9=0,0,BASEBUDGETS!D2982*E9)</f>
        <v>#DIV/0!</v>
      </c>
      <c r="J9" s="765" t="e">
        <f>G9+H9+I9</f>
        <v>#DIV/0!</v>
      </c>
      <c r="L9" s="772">
        <f>N9*'AcresYieldsPrices&amp;Water'!D$20</f>
        <v>0</v>
      </c>
      <c r="M9" s="611" t="s">
        <v>394</v>
      </c>
      <c r="N9" s="653">
        <f>IFERROR(I38,0)</f>
        <v>0</v>
      </c>
    </row>
    <row r="10" spans="2:14" s="611" customFormat="1" ht="21">
      <c r="C10" s="660" t="str">
        <f>BASEBUDGETS!B2983</f>
        <v>Disk, Custom</v>
      </c>
      <c r="D10" s="765">
        <f>CustomOperations!V7</f>
        <v>0</v>
      </c>
      <c r="E10" s="771" t="e">
        <f>BASEBUDGETS!E2983/BASEBUDGETS!C2943</f>
        <v>#DIV/0!</v>
      </c>
      <c r="F10" s="770" t="str">
        <f>BASEBUDGETS!C2983</f>
        <v>acre</v>
      </c>
      <c r="G10" s="756">
        <v>0</v>
      </c>
      <c r="H10" s="756">
        <v>0</v>
      </c>
      <c r="I10" s="756" t="e">
        <f>IF(E10=0,0,BASEBUDGETS!D2983*E10)</f>
        <v>#DIV/0!</v>
      </c>
      <c r="J10" s="765" t="e">
        <f>G10+H10+I10</f>
        <v>#DIV/0!</v>
      </c>
      <c r="L10" s="772">
        <f>N10*'AcresYieldsPrices&amp;Water'!D$20</f>
        <v>0</v>
      </c>
      <c r="M10" s="611" t="s">
        <v>395</v>
      </c>
      <c r="N10" s="653">
        <f>IFERROR(I45,0)</f>
        <v>0</v>
      </c>
    </row>
    <row r="11" spans="2:14" s="611" customFormat="1" ht="21">
      <c r="C11" s="660" t="str">
        <f>BASEBUDGETS!B2984</f>
        <v>Drag, Custom</v>
      </c>
      <c r="D11" s="765">
        <f>CustomOperations!V9</f>
        <v>0</v>
      </c>
      <c r="E11" s="771" t="e">
        <f>BASEBUDGETS!E2984/BASEBUDGETS!C2943</f>
        <v>#DIV/0!</v>
      </c>
      <c r="F11" s="770" t="str">
        <f>BASEBUDGETS!C2984</f>
        <v>acre</v>
      </c>
      <c r="G11" s="756">
        <v>0</v>
      </c>
      <c r="H11" s="756">
        <v>0</v>
      </c>
      <c r="I11" s="756" t="e">
        <f>IF(E11=0,0,BASEBUDGETS!D2984*E11)</f>
        <v>#DIV/0!</v>
      </c>
      <c r="J11" s="765" t="e">
        <f t="shared" ref="J11:J30" si="0">G11+H11+I11</f>
        <v>#DIV/0!</v>
      </c>
      <c r="L11" s="772">
        <f>N11*'AcresYieldsPrices&amp;Water'!D$20</f>
        <v>0</v>
      </c>
      <c r="M11" s="611" t="s">
        <v>396</v>
      </c>
      <c r="N11" s="653">
        <f>IFERROR(I55,0)</f>
        <v>0</v>
      </c>
    </row>
    <row r="12" spans="2:14" s="611" customFormat="1" ht="21">
      <c r="C12" s="660" t="str">
        <f>BASEBUDGETS!B2985</f>
        <v>Chisel, Custom</v>
      </c>
      <c r="D12" s="765">
        <f>CustomOperations!V11</f>
        <v>0</v>
      </c>
      <c r="E12" s="771" t="e">
        <f>BASEBUDGETS!E2985/BASEBUDGETS!C2943</f>
        <v>#DIV/0!</v>
      </c>
      <c r="F12" s="770" t="str">
        <f>BASEBUDGETS!C2985</f>
        <v>acre</v>
      </c>
      <c r="G12" s="756">
        <v>0</v>
      </c>
      <c r="H12" s="756">
        <v>0</v>
      </c>
      <c r="I12" s="756" t="e">
        <f>IF(E12=0,0,BASEBUDGETS!D2985*E12)</f>
        <v>#DIV/0!</v>
      </c>
      <c r="J12" s="765" t="e">
        <f t="shared" si="0"/>
        <v>#DIV/0!</v>
      </c>
      <c r="L12" s="772">
        <f>N12*'AcresYieldsPrices&amp;Water'!D$20</f>
        <v>0</v>
      </c>
      <c r="M12" s="611" t="s">
        <v>392</v>
      </c>
      <c r="N12" s="653">
        <f>IFERROR(E29+E30+E75+E76+E92+E93+E73+E70+E67,0)</f>
        <v>0</v>
      </c>
    </row>
    <row r="13" spans="2:14" s="611" customFormat="1" ht="21">
      <c r="C13" s="660" t="str">
        <f>BASEBUDGETS!B2986</f>
        <v>Moldboard Plow, Custom</v>
      </c>
      <c r="D13" s="765">
        <f>CustomOperations!V13</f>
        <v>0</v>
      </c>
      <c r="E13" s="771" t="e">
        <f>BASEBUDGETS!E2986/BASEBUDGETS!C2943</f>
        <v>#DIV/0!</v>
      </c>
      <c r="F13" s="770" t="str">
        <f>BASEBUDGETS!C2986</f>
        <v>acre</v>
      </c>
      <c r="G13" s="756">
        <v>0</v>
      </c>
      <c r="H13" s="756">
        <v>0</v>
      </c>
      <c r="I13" s="756" t="e">
        <f>IF(E13=0,0,BASEBUDGETS!D2986*E13)</f>
        <v>#DIV/0!</v>
      </c>
      <c r="J13" s="765" t="e">
        <f t="shared" si="0"/>
        <v>#DIV/0!</v>
      </c>
      <c r="L13" s="772">
        <f>N13*'AcresYieldsPrices&amp;Water'!D$20</f>
        <v>0</v>
      </c>
      <c r="M13" s="611" t="s">
        <v>393</v>
      </c>
      <c r="N13" s="653">
        <f>IFERROR(((SUM(G18:G28)+G36+G34+G35+G44+G43+G54+G64+SUM(G81:G91))/GeneralInputPrices!$D$29),0)</f>
        <v>0</v>
      </c>
    </row>
    <row r="14" spans="2:14" s="611" customFormat="1" ht="21">
      <c r="C14" s="660" t="str">
        <f>BASEBUDGETS!B2987</f>
        <v>Landplane, Custom</v>
      </c>
      <c r="D14" s="765">
        <f>CustomOperations!V15</f>
        <v>17.940000000000001</v>
      </c>
      <c r="E14" s="771" t="e">
        <f>BASEBUDGETS!E2987/BASEBUDGETS!C2943</f>
        <v>#DIV/0!</v>
      </c>
      <c r="F14" s="770" t="str">
        <f>BASEBUDGETS!C2987</f>
        <v>acre</v>
      </c>
      <c r="G14" s="756">
        <v>0</v>
      </c>
      <c r="H14" s="756">
        <v>0</v>
      </c>
      <c r="I14" s="756" t="e">
        <f>IF(E14=0,0,BASEBUDGETS!D2987*E14)</f>
        <v>#DIV/0!</v>
      </c>
      <c r="J14" s="765" t="e">
        <f t="shared" si="0"/>
        <v>#DIV/0!</v>
      </c>
      <c r="L14" s="772">
        <f>N14*'AcresYieldsPrices&amp;Water'!D$20</f>
        <v>0</v>
      </c>
      <c r="M14" s="611" t="s">
        <v>186</v>
      </c>
      <c r="N14" s="653">
        <f>IFERROR(H97,0)</f>
        <v>0</v>
      </c>
    </row>
    <row r="15" spans="2:14" s="611" customFormat="1" ht="21">
      <c r="C15" s="660" t="str">
        <f>BASEBUDGETS!B2988</f>
        <v>Float, Custom</v>
      </c>
      <c r="D15" s="765">
        <f>CustomOperations!V17</f>
        <v>17.940000000000001</v>
      </c>
      <c r="E15" s="771" t="e">
        <f>BASEBUDGETS!E2988/BASEBUDGETS!C2943</f>
        <v>#DIV/0!</v>
      </c>
      <c r="F15" s="770" t="str">
        <f>BASEBUDGETS!C2988</f>
        <v>acre</v>
      </c>
      <c r="G15" s="756">
        <v>0</v>
      </c>
      <c r="H15" s="756">
        <v>0</v>
      </c>
      <c r="I15" s="756" t="e">
        <f>IF(E15=0,0,BASEBUDGETS!D2988*E15)</f>
        <v>#DIV/0!</v>
      </c>
      <c r="J15" s="765" t="e">
        <f t="shared" si="0"/>
        <v>#DIV/0!</v>
      </c>
      <c r="L15" s="772">
        <f>N15*'AcresYieldsPrices&amp;Water'!D$20</f>
        <v>0</v>
      </c>
      <c r="M15" s="611" t="s">
        <v>401</v>
      </c>
      <c r="N15" s="653">
        <f>IFERROR(J112,0)</f>
        <v>0</v>
      </c>
    </row>
    <row r="16" spans="2:14" s="611" customFormat="1" ht="21">
      <c r="C16" s="660" t="str">
        <f>BASEBUDGETS!B2989</f>
        <v>Lister, Custom</v>
      </c>
      <c r="D16" s="765">
        <f>CustomOperations!V19</f>
        <v>20.38</v>
      </c>
      <c r="E16" s="771" t="e">
        <f>BASEBUDGETS!E2989/BASEBUDGETS!C2943</f>
        <v>#DIV/0!</v>
      </c>
      <c r="F16" s="770" t="str">
        <f>BASEBUDGETS!C2989</f>
        <v>acre</v>
      </c>
      <c r="G16" s="756">
        <v>0</v>
      </c>
      <c r="H16" s="756">
        <v>0</v>
      </c>
      <c r="I16" s="756" t="e">
        <f>IF(E16=0,0,BASEBUDGETS!D2989*E16)</f>
        <v>#DIV/0!</v>
      </c>
      <c r="J16" s="765" t="e">
        <f t="shared" si="0"/>
        <v>#DIV/0!</v>
      </c>
      <c r="L16" s="772">
        <f>N16*'AcresYieldsPrices&amp;Water'!D$20</f>
        <v>0</v>
      </c>
      <c r="M16" s="611" t="s">
        <v>405</v>
      </c>
      <c r="N16" s="653">
        <f>IFERROR((J80+J79+J78+J63+J53+J42+J41+J34+J33+SUM(J9:J17)),0)</f>
        <v>0</v>
      </c>
    </row>
    <row r="17" spans="2:11" s="611" customFormat="1" ht="21">
      <c r="C17" s="660" t="str">
        <f>BASEBUDGETS!B2990</f>
        <v>Bed Shape, Custom</v>
      </c>
      <c r="D17" s="765">
        <f>CustomOperations!V21</f>
        <v>13.69</v>
      </c>
      <c r="E17" s="771" t="e">
        <f>BASEBUDGETS!E2990/BASEBUDGETS!C2943</f>
        <v>#DIV/0!</v>
      </c>
      <c r="F17" s="770" t="str">
        <f>BASEBUDGETS!C2990</f>
        <v>acre</v>
      </c>
      <c r="G17" s="756">
        <v>0</v>
      </c>
      <c r="H17" s="756">
        <v>0</v>
      </c>
      <c r="I17" s="756" t="e">
        <f>IF(E17=0,0,BASEBUDGETS!D2990*E17)</f>
        <v>#DIV/0!</v>
      </c>
      <c r="J17" s="765" t="e">
        <f t="shared" si="0"/>
        <v>#DIV/0!</v>
      </c>
    </row>
    <row r="18" spans="2:11" s="611" customFormat="1" ht="21">
      <c r="C18" s="660" t="str">
        <f>TillageOperations!$B$7</f>
        <v>V-Ripper</v>
      </c>
      <c r="D18" s="765"/>
      <c r="E18" s="771" t="e">
        <f>BASEBUDGETS!E2994/BASEBUDGETS!C2943</f>
        <v>#DIV/0!</v>
      </c>
      <c r="F18" s="770" t="e">
        <f>IF(E18&lt;=0,BASEBUDGETS!C2994,BASEBUDGETS!C2994&amp;"s")</f>
        <v>#DIV/0!</v>
      </c>
      <c r="G18" s="756" t="e">
        <f>IF(E18=0,0,BASEBUDGETS!D2995*E18)</f>
        <v>#DIV/0!</v>
      </c>
      <c r="H18" s="756" t="e">
        <f>IF(E18=0,0,BASEBUDGETS!D2994*E18)</f>
        <v>#DIV/0!</v>
      </c>
      <c r="I18" s="756">
        <v>0</v>
      </c>
      <c r="J18" s="765" t="e">
        <f t="shared" si="0"/>
        <v>#DIV/0!</v>
      </c>
    </row>
    <row r="19" spans="2:11" s="611" customFormat="1" ht="21">
      <c r="C19" s="660" t="str">
        <f>TillageOperations!$B$8</f>
        <v>Offset Disk</v>
      </c>
      <c r="D19" s="765"/>
      <c r="E19" s="771" t="e">
        <f>BASEBUDGETS!E2996/BASEBUDGETS!C2943</f>
        <v>#DIV/0!</v>
      </c>
      <c r="F19" s="770" t="e">
        <f>IF(E19&lt;=0,BASEBUDGETS!C2996,BASEBUDGETS!C2996&amp;"s")</f>
        <v>#DIV/0!</v>
      </c>
      <c r="G19" s="756" t="e">
        <f>IF(E19=0,0,BASEBUDGETS!D2997*E19)</f>
        <v>#DIV/0!</v>
      </c>
      <c r="H19" s="756" t="e">
        <f>IF(E19=0,0,BASEBUDGETS!D2996*E19)</f>
        <v>#DIV/0!</v>
      </c>
      <c r="I19" s="756">
        <v>0</v>
      </c>
      <c r="J19" s="765" t="e">
        <f t="shared" si="0"/>
        <v>#DIV/0!</v>
      </c>
    </row>
    <row r="20" spans="2:11" s="611" customFormat="1" ht="21">
      <c r="C20" s="660" t="str">
        <f>TillageOperations!$B$9</f>
        <v>Drag</v>
      </c>
      <c r="D20" s="765"/>
      <c r="E20" s="771" t="e">
        <f>BASEBUDGETS!E2998/BASEBUDGETS!C2943</f>
        <v>#DIV/0!</v>
      </c>
      <c r="F20" s="770" t="e">
        <f>IF(E20&lt;=0,BASEBUDGETS!C2998,BASEBUDGETS!C2998)</f>
        <v>#DIV/0!</v>
      </c>
      <c r="G20" s="756" t="e">
        <f>IF(E20=0,0,BASEBUDGETS!D2999*E20)</f>
        <v>#DIV/0!</v>
      </c>
      <c r="H20" s="756" t="e">
        <f>IF(E20=0,0,BASEBUDGETS!D2998*E20)</f>
        <v>#DIV/0!</v>
      </c>
      <c r="I20" s="756">
        <v>0</v>
      </c>
      <c r="J20" s="765" t="e">
        <f t="shared" si="0"/>
        <v>#DIV/0!</v>
      </c>
    </row>
    <row r="21" spans="2:11" s="611" customFormat="1" ht="21">
      <c r="C21" s="660" t="str">
        <f>TillageOperations!$B$10</f>
        <v>Chisel</v>
      </c>
      <c r="D21" s="765"/>
      <c r="E21" s="771" t="e">
        <f>BASEBUDGETS!E3000/BASEBUDGETS!C2943</f>
        <v>#DIV/0!</v>
      </c>
      <c r="F21" s="770" t="e">
        <f>IF(E21&lt;=0,BASEBUDGETS!C3000,BASEBUDGETS!C3000&amp;"s")</f>
        <v>#DIV/0!</v>
      </c>
      <c r="G21" s="756" t="e">
        <f>IF(E21=0,0,BASEBUDGETS!D3001*E21)</f>
        <v>#DIV/0!</v>
      </c>
      <c r="H21" s="756" t="e">
        <f>IF(E21=0,0,BASEBUDGETS!D3000*E21)</f>
        <v>#DIV/0!</v>
      </c>
      <c r="I21" s="756">
        <v>0</v>
      </c>
      <c r="J21" s="765" t="e">
        <f t="shared" si="0"/>
        <v>#DIV/0!</v>
      </c>
    </row>
    <row r="22" spans="2:11" s="611" customFormat="1" ht="21">
      <c r="C22" s="660" t="str">
        <f>TillageOperations!$B$11</f>
        <v>Moldboard Plow</v>
      </c>
      <c r="D22" s="765"/>
      <c r="E22" s="771" t="e">
        <f>BASEBUDGETS!E3002/BASEBUDGETS!C2943</f>
        <v>#DIV/0!</v>
      </c>
      <c r="F22" s="770" t="e">
        <f>IF(E22&lt;=0,BASEBUDGETS!C3002,BASEBUDGETS!C3002)</f>
        <v>#DIV/0!</v>
      </c>
      <c r="G22" s="756" t="e">
        <f>IF(E22=0,0,BASEBUDGETS!D3003*E22)</f>
        <v>#DIV/0!</v>
      </c>
      <c r="H22" s="756" t="e">
        <f>IF(E22=0,0,BASEBUDGETS!D3002*E22)</f>
        <v>#DIV/0!</v>
      </c>
      <c r="I22" s="756">
        <v>0</v>
      </c>
      <c r="J22" s="765" t="e">
        <f t="shared" si="0"/>
        <v>#DIV/0!</v>
      </c>
    </row>
    <row r="23" spans="2:11" s="611" customFormat="1" ht="21">
      <c r="C23" s="660" t="str">
        <f>TillageOperations!$B$12</f>
        <v>Cultivator</v>
      </c>
      <c r="D23" s="765"/>
      <c r="E23" s="771" t="e">
        <f>BASEBUDGETS!E3004/BASEBUDGETS!C2943</f>
        <v>#DIV/0!</v>
      </c>
      <c r="F23" s="770" t="e">
        <f>IF(E23&lt;=0,BASEBUDGETS!C3004,BASEBUDGETS!C3004&amp;"s")</f>
        <v>#DIV/0!</v>
      </c>
      <c r="G23" s="756" t="e">
        <f>IF(E23=0,0,BASEBUDGETS!D3005*E23)</f>
        <v>#DIV/0!</v>
      </c>
      <c r="H23" s="756" t="e">
        <f>IF(E23=0,0,BASEBUDGETS!D3004*E23)</f>
        <v>#DIV/0!</v>
      </c>
      <c r="I23" s="756">
        <v>0</v>
      </c>
      <c r="J23" s="765" t="e">
        <f t="shared" si="0"/>
        <v>#DIV/0!</v>
      </c>
    </row>
    <row r="24" spans="2:11" s="611" customFormat="1" ht="21">
      <c r="C24" s="660" t="str">
        <f>TillageOperations!$B$13</f>
        <v>Landplane</v>
      </c>
      <c r="D24" s="765"/>
      <c r="E24" s="771" t="e">
        <f>BASEBUDGETS!E3006/BASEBUDGETS!C2943</f>
        <v>#DIV/0!</v>
      </c>
      <c r="F24" s="770" t="e">
        <f>IF(E24&lt;=0,BASEBUDGETS!C3006,BASEBUDGETS!C3006&amp;"s")</f>
        <v>#DIV/0!</v>
      </c>
      <c r="G24" s="756" t="e">
        <f>IF(E24=0,0,BASEBUDGETS!D3007*E24)</f>
        <v>#DIV/0!</v>
      </c>
      <c r="H24" s="756" t="e">
        <f>IF(E24=0,0,BASEBUDGETS!D3006*E24)</f>
        <v>#DIV/0!</v>
      </c>
      <c r="I24" s="756">
        <v>0</v>
      </c>
      <c r="J24" s="765" t="e">
        <f t="shared" si="0"/>
        <v>#DIV/0!</v>
      </c>
    </row>
    <row r="25" spans="2:11" s="611" customFormat="1" ht="21">
      <c r="C25" s="660" t="str">
        <f>TillageOperations!$B$14</f>
        <v>Float</v>
      </c>
      <c r="D25" s="765"/>
      <c r="E25" s="771" t="e">
        <f>BASEBUDGETS!E3008/BASEBUDGETS!C2943</f>
        <v>#DIV/0!</v>
      </c>
      <c r="F25" s="770" t="e">
        <f>IF(E25&lt;=0,BASEBUDGETS!C3008,BASEBUDGETS!C3008&amp;"s")</f>
        <v>#DIV/0!</v>
      </c>
      <c r="G25" s="756" t="e">
        <f>IF(E25=0,0,BASEBUDGETS!D3009*E25)</f>
        <v>#DIV/0!</v>
      </c>
      <c r="H25" s="756" t="e">
        <f>IF(E25=0,0,BASEBUDGETS!D3008*E25)</f>
        <v>#DIV/0!</v>
      </c>
      <c r="I25" s="756">
        <v>0</v>
      </c>
      <c r="J25" s="765" t="e">
        <f t="shared" si="0"/>
        <v>#DIV/0!</v>
      </c>
    </row>
    <row r="26" spans="2:11" s="611" customFormat="1" ht="21">
      <c r="C26" s="660" t="str">
        <f>TillageOperations!$B$15</f>
        <v>Lister</v>
      </c>
      <c r="D26" s="765"/>
      <c r="E26" s="771" t="e">
        <f>BASEBUDGETS!E3010/BASEBUDGETS!C2943</f>
        <v>#DIV/0!</v>
      </c>
      <c r="F26" s="770" t="e">
        <f>IF(E26&lt;=0,BASEBUDGETS!C3010,BASEBUDGETS!C3010&amp;"s")</f>
        <v>#DIV/0!</v>
      </c>
      <c r="G26" s="756" t="e">
        <f>IF(E26=0,0,BASEBUDGETS!D3011*E26)</f>
        <v>#DIV/0!</v>
      </c>
      <c r="H26" s="756" t="e">
        <f>IF(E26=0,0,BASEBUDGETS!D3010*E26)</f>
        <v>#DIV/0!</v>
      </c>
      <c r="I26" s="756">
        <v>0</v>
      </c>
      <c r="J26" s="765" t="e">
        <f t="shared" si="0"/>
        <v>#DIV/0!</v>
      </c>
    </row>
    <row r="27" spans="2:11" s="611" customFormat="1" ht="21">
      <c r="C27" s="660" t="str">
        <f>TillageOperations!$B$16</f>
        <v>Bed Shaper</v>
      </c>
      <c r="D27" s="765"/>
      <c r="E27" s="771" t="e">
        <f>BASEBUDGETS!E3012/BASEBUDGETS!C2943</f>
        <v>#DIV/0!</v>
      </c>
      <c r="F27" s="770" t="e">
        <f>IF(E27&lt;=0,BASEBUDGETS!C3012,BASEBUDGETS!C3012&amp;"s")</f>
        <v>#DIV/0!</v>
      </c>
      <c r="G27" s="756" t="e">
        <f>IF(E27=0,0,BASEBUDGETS!D3013*E27)</f>
        <v>#DIV/0!</v>
      </c>
      <c r="H27" s="756" t="e">
        <f>IF(E27=0,0,BASEBUDGETS!D3012*E27)</f>
        <v>#DIV/0!</v>
      </c>
      <c r="I27" s="756">
        <v>0</v>
      </c>
      <c r="J27" s="765" t="e">
        <f t="shared" si="0"/>
        <v>#DIV/0!</v>
      </c>
    </row>
    <row r="28" spans="2:11" s="611" customFormat="1" ht="21">
      <c r="C28" s="660" t="str">
        <f>TillageOperations!$B$17</f>
        <v>Cotton Shredder/Root Puller</v>
      </c>
      <c r="D28" s="765"/>
      <c r="E28" s="771" t="e">
        <f>BASEBUDGETS!E3026/BASEBUDGETS!C2943</f>
        <v>#DIV/0!</v>
      </c>
      <c r="F28" s="770" t="str">
        <f>BASEBUDGETS!C3026</f>
        <v>acre</v>
      </c>
      <c r="G28" s="756" t="e">
        <f>IF(E28=0,0,BASEBUDGETS!D3027*E28)</f>
        <v>#DIV/0!</v>
      </c>
      <c r="H28" s="756" t="e">
        <f>IF(E28=0,0,BASEBUDGETS!D3026*E28)</f>
        <v>#DIV/0!</v>
      </c>
      <c r="I28" s="756">
        <v>0</v>
      </c>
      <c r="J28" s="765" t="e">
        <f>G28+H28+I28</f>
        <v>#DIV/0!</v>
      </c>
    </row>
    <row r="29" spans="2:11" s="611" customFormat="1" ht="21">
      <c r="C29" s="660" t="str">
        <f>BASEBUDGETS!B2889</f>
        <v>Additional Land Prep. Labor</v>
      </c>
      <c r="D29" s="765">
        <f>GeneralInputPrices!$D$30</f>
        <v>14.55</v>
      </c>
      <c r="E29" s="758" t="e">
        <f>BASEBUDGETS!E3051/BASEBUDGETS!C2943</f>
        <v>#DIV/0!</v>
      </c>
      <c r="F29" s="773" t="str">
        <f>BASEBUDGETS!C2889</f>
        <v>hour</v>
      </c>
      <c r="G29" s="756" t="e">
        <f>D29*E29</f>
        <v>#DIV/0!</v>
      </c>
      <c r="H29" s="756">
        <v>0</v>
      </c>
      <c r="I29" s="756">
        <v>0</v>
      </c>
      <c r="J29" s="765" t="e">
        <f t="shared" si="0"/>
        <v>#DIV/0!</v>
      </c>
    </row>
    <row r="30" spans="2:11" s="611" customFormat="1" ht="21">
      <c r="C30" s="660" t="str">
        <f>BASEBUDGETS!B2890</f>
        <v>Additional Land Prep. Labor</v>
      </c>
      <c r="D30" s="765">
        <f>GeneralInputPrices!$D$30</f>
        <v>14.55</v>
      </c>
      <c r="E30" s="758" t="e">
        <f>BASEBUDGETS!E3052/BASEBUDGETS!C2943</f>
        <v>#DIV/0!</v>
      </c>
      <c r="F30" s="773" t="str">
        <f>BASEBUDGETS!C2890</f>
        <v>hour</v>
      </c>
      <c r="G30" s="756" t="e">
        <f>D30*E30</f>
        <v>#DIV/0!</v>
      </c>
      <c r="H30" s="756">
        <v>0</v>
      </c>
      <c r="I30" s="756">
        <v>0</v>
      </c>
      <c r="J30" s="765" t="e">
        <f t="shared" si="0"/>
        <v>#DIV/0!</v>
      </c>
    </row>
    <row r="31" spans="2:11" s="611" customFormat="1" ht="21">
      <c r="B31" s="760" t="s">
        <v>175</v>
      </c>
      <c r="C31" s="760"/>
      <c r="D31" s="765"/>
      <c r="E31" s="774"/>
      <c r="G31" s="757"/>
      <c r="H31" s="757"/>
      <c r="I31" s="757"/>
      <c r="J31" s="757"/>
      <c r="K31" s="726" t="s">
        <v>10</v>
      </c>
    </row>
    <row r="32" spans="2:11" s="611" customFormat="1" ht="24">
      <c r="B32" s="782"/>
      <c r="C32" s="782" t="s">
        <v>442</v>
      </c>
      <c r="D32" s="765"/>
      <c r="E32" s="771">
        <v>1</v>
      </c>
      <c r="F32" s="770" t="s">
        <v>157</v>
      </c>
      <c r="G32" s="756">
        <v>0</v>
      </c>
      <c r="H32" s="756">
        <v>0</v>
      </c>
      <c r="I32" s="756">
        <f>IF(AlfalfaHayEst!J115&lt;0,PMT(GeneralInputPrices!D37,GeneralInputPrices!D33,((AlfalfaHayEst!J115*-1))*-1),0)</f>
        <v>0</v>
      </c>
      <c r="J32" s="765">
        <f t="shared" ref="J32" si="1">G32+H32+I32</f>
        <v>0</v>
      </c>
      <c r="K32" s="611" t="s">
        <v>383</v>
      </c>
    </row>
    <row r="33" spans="3:16" s="611" customFormat="1" ht="21">
      <c r="C33" s="660" t="str">
        <f>BASEBUDGETS!B2979</f>
        <v>Drill, Custom</v>
      </c>
      <c r="D33" s="765">
        <f>CustomOperations!V24</f>
        <v>0</v>
      </c>
      <c r="E33" s="771" t="e">
        <f>BASEBUDGETS!E2979/BASEBUDGETS!C2943</f>
        <v>#DIV/0!</v>
      </c>
      <c r="F33" s="770" t="str">
        <f>BASEBUDGETS!C2979</f>
        <v>acre</v>
      </c>
      <c r="G33" s="756">
        <v>0</v>
      </c>
      <c r="H33" s="756">
        <v>0</v>
      </c>
      <c r="I33" s="756" t="e">
        <f>IF(E33=0,0,(BASEBUDGETS!D2979*E33))</f>
        <v>#DIV/0!</v>
      </c>
      <c r="J33" s="765" t="e">
        <f t="shared" ref="J33:J35" si="2">G33+H33+I33</f>
        <v>#DIV/0!</v>
      </c>
      <c r="K33" s="832" t="s">
        <v>10</v>
      </c>
      <c r="P33" s="726" t="s">
        <v>10</v>
      </c>
    </row>
    <row r="34" spans="3:16" s="611" customFormat="1" ht="21">
      <c r="C34" s="660" t="str">
        <f>BASEBUDGETS!B2980</f>
        <v>Row Planter, Custom</v>
      </c>
      <c r="D34" s="765">
        <f>CustomOperations!V26</f>
        <v>0</v>
      </c>
      <c r="E34" s="771" t="e">
        <f>BASEBUDGETS!E2980/BASEBUDGETS!C2943</f>
        <v>#DIV/0!</v>
      </c>
      <c r="F34" s="770" t="str">
        <f>BASEBUDGETS!C2980</f>
        <v>acre</v>
      </c>
      <c r="G34" s="756">
        <v>0</v>
      </c>
      <c r="H34" s="756">
        <v>0</v>
      </c>
      <c r="I34" s="756" t="e">
        <f>IF(E34=0,0,(BASEBUDGETS!D2980*E34))</f>
        <v>#DIV/0!</v>
      </c>
      <c r="J34" s="765" t="e">
        <f t="shared" si="2"/>
        <v>#DIV/0!</v>
      </c>
    </row>
    <row r="35" spans="3:16" s="611" customFormat="1" ht="21">
      <c r="C35" s="660" t="str">
        <f>TillageOperations!$B$21</f>
        <v>Drill</v>
      </c>
      <c r="D35" s="757"/>
      <c r="E35" s="771" t="e">
        <f>BASEBUDGETS!E3018/BASEBUDGETS!C2943</f>
        <v>#DIV/0!</v>
      </c>
      <c r="F35" s="770" t="str">
        <f>BASEBUDGETS!C3018</f>
        <v>acre</v>
      </c>
      <c r="G35" s="756" t="e">
        <f>IF(E35=0,0,BASEBUDGETS!D3019*E35)</f>
        <v>#DIV/0!</v>
      </c>
      <c r="H35" s="756" t="e">
        <f>IF(E35=0,0,BASEBUDGETS!D3018*E35)</f>
        <v>#DIV/0!</v>
      </c>
      <c r="I35" s="756">
        <v>0</v>
      </c>
      <c r="J35" s="765" t="e">
        <f t="shared" si="2"/>
        <v>#DIV/0!</v>
      </c>
      <c r="K35" s="726" t="s">
        <v>10</v>
      </c>
    </row>
    <row r="36" spans="3:16" s="611" customFormat="1" ht="21">
      <c r="C36" s="660" t="str">
        <f>TillageOperations!$B$19</f>
        <v>Row Planter</v>
      </c>
      <c r="D36" s="765"/>
      <c r="E36" s="771" t="e">
        <f>BASEBUDGETS!E3014/BASEBUDGETS!C2943</f>
        <v>#DIV/0!</v>
      </c>
      <c r="F36" s="770" t="str">
        <f>BASEBUDGETS!C3014</f>
        <v>acre</v>
      </c>
      <c r="G36" s="756" t="e">
        <f>IF(E36=0,0,BASEBUDGETS!D3015*E36)</f>
        <v>#DIV/0!</v>
      </c>
      <c r="H36" s="756" t="e">
        <f>IF(E36=0,0,BASEBUDGETS!D3014*E36)</f>
        <v>#DIV/0!</v>
      </c>
      <c r="I36" s="756">
        <v>0</v>
      </c>
      <c r="J36" s="765" t="e">
        <f>G36+H36+I36</f>
        <v>#DIV/0!</v>
      </c>
    </row>
    <row r="37" spans="3:16" s="611" customFormat="1" ht="21">
      <c r="C37" s="660" t="str">
        <f>TillageOperations!$B$22</f>
        <v>Transplanter</v>
      </c>
      <c r="D37" s="765"/>
      <c r="E37" s="771" t="e">
        <f>BASEBUDGETS!E3049/BASEBUDGETS!C2943</f>
        <v>#DIV/0!</v>
      </c>
      <c r="F37" s="770" t="str">
        <f>BASEBUDGETS!C3049</f>
        <v>acre</v>
      </c>
      <c r="G37" s="756" t="e">
        <f>IF(E37=0,0,BASEBUDGETS!D3050*E37)</f>
        <v>#DIV/0!</v>
      </c>
      <c r="H37" s="756" t="e">
        <f>IF(E37=0,0,BASEBUDGETS!D3049*E37)</f>
        <v>#DIV/0!</v>
      </c>
      <c r="I37" s="756">
        <v>0</v>
      </c>
      <c r="J37" s="765" t="e">
        <f>G37+H37+I37</f>
        <v>#DIV/0!</v>
      </c>
    </row>
    <row r="38" spans="3:16" s="611" customFormat="1" ht="21">
      <c r="C38" s="660" t="s">
        <v>439</v>
      </c>
      <c r="D38" s="765"/>
      <c r="E38" s="771"/>
      <c r="F38" s="770"/>
      <c r="G38" s="756">
        <v>0</v>
      </c>
      <c r="H38" s="756">
        <v>0</v>
      </c>
      <c r="I38" s="756" t="e">
        <f>(D39*E39)+(D40*E40)</f>
        <v>#DIV/0!</v>
      </c>
      <c r="J38" s="765" t="e">
        <f>G38+H38+I38</f>
        <v>#DIV/0!</v>
      </c>
    </row>
    <row r="39" spans="3:16" s="611" customFormat="1" ht="23.1" customHeight="1">
      <c r="C39" s="660" t="str">
        <f>BASEBUDGETS!B2951</f>
        <v xml:space="preserve">   - Seed</v>
      </c>
      <c r="D39" s="833">
        <f>BASEBUDGETS!D2951</f>
        <v>0</v>
      </c>
      <c r="E39" s="771" t="e">
        <f>BASEBUDGETS!E2951/BASEBUDGETS!C2943</f>
        <v>#DIV/0!</v>
      </c>
      <c r="F39" s="769" t="str">
        <f>BASEBUDGETS!C2951</f>
        <v>acre</v>
      </c>
      <c r="G39" s="757"/>
      <c r="H39" s="757"/>
      <c r="I39" s="757"/>
      <c r="J39" s="757"/>
    </row>
    <row r="40" spans="3:16" s="611" customFormat="1" ht="21">
      <c r="C40" s="660" t="str">
        <f>BASEBUDGETS!B2952</f>
        <v xml:space="preserve">   - Inoculant</v>
      </c>
      <c r="D40" s="765">
        <f>BASEBUDGETS!D2952</f>
        <v>3</v>
      </c>
      <c r="E40" s="775" t="e">
        <f>BASEBUDGETS!E2952/BASEBUDGETS!C2943</f>
        <v>#DIV/0!</v>
      </c>
      <c r="F40" s="769" t="str">
        <f>BASEBUDGETS!C2952</f>
        <v>pounds</v>
      </c>
      <c r="G40" s="765"/>
      <c r="H40" s="765"/>
      <c r="I40" s="765"/>
      <c r="J40" s="765"/>
    </row>
    <row r="41" spans="3:16" s="611" customFormat="1" ht="21">
      <c r="C41" s="660" t="str">
        <f>BASEBUDGETS!B2991</f>
        <v>Fertilizer Spreader, Custom</v>
      </c>
      <c r="D41" s="765">
        <f>CustomOperations!V32</f>
        <v>10.08</v>
      </c>
      <c r="E41" s="771" t="e">
        <f>BASEBUDGETS!E2991/BASEBUDGETS!C2943</f>
        <v>#DIV/0!</v>
      </c>
      <c r="F41" s="770" t="str">
        <f>BASEBUDGETS!C2991</f>
        <v>acre</v>
      </c>
      <c r="G41" s="756">
        <v>0</v>
      </c>
      <c r="H41" s="756">
        <v>0</v>
      </c>
      <c r="I41" s="756" t="e">
        <f>IF(E41=0,0,(BASEBUDGETS!D2991*E41))</f>
        <v>#DIV/0!</v>
      </c>
      <c r="J41" s="765" t="e">
        <f>G41+H41+I41</f>
        <v>#DIV/0!</v>
      </c>
    </row>
    <row r="42" spans="3:16" s="611" customFormat="1" ht="21">
      <c r="C42" s="660" t="str">
        <f>BASEBUDGETS!B2992</f>
        <v>Laser Landplaning, Custom</v>
      </c>
      <c r="D42" s="765">
        <f>CustomOperations!V34</f>
        <v>0</v>
      </c>
      <c r="E42" s="771" t="e">
        <f>BASEBUDGETS!E2992/BASEBUDGETS!C2943</f>
        <v>#DIV/0!</v>
      </c>
      <c r="F42" s="770" t="str">
        <f>BASEBUDGETS!C2992</f>
        <v>acre</v>
      </c>
      <c r="G42" s="756">
        <v>0</v>
      </c>
      <c r="H42" s="756">
        <v>0</v>
      </c>
      <c r="I42" s="756" t="e">
        <f>IF(E42=0,0,(BASEBUDGETS!D2992*E42))</f>
        <v>#DIV/0!</v>
      </c>
      <c r="J42" s="765" t="e">
        <f>G42+H42+I42</f>
        <v>#DIV/0!</v>
      </c>
    </row>
    <row r="43" spans="3:16" s="611" customFormat="1" ht="21">
      <c r="C43" s="660" t="str">
        <f>TillageOperations!$B$23</f>
        <v>Fertilizer Spreader</v>
      </c>
      <c r="D43" s="765"/>
      <c r="E43" s="771" t="e">
        <f>BASEBUDGETS!E3043/BASEBUDGETS!C2943</f>
        <v>#DIV/0!</v>
      </c>
      <c r="F43" s="770" t="str">
        <f>BASEBUDGETS!C3043</f>
        <v>acre</v>
      </c>
      <c r="G43" s="756" t="e">
        <f>IF(E43=0,0,BASEBUDGETS!D3044*E43)</f>
        <v>#DIV/0!</v>
      </c>
      <c r="H43" s="756" t="e">
        <f>IF(E43=0,0,BASEBUDGETS!D3043*E43)</f>
        <v>#DIV/0!</v>
      </c>
      <c r="I43" s="756">
        <v>0</v>
      </c>
      <c r="J43" s="765" t="e">
        <f>G43+H43+I43</f>
        <v>#DIV/0!</v>
      </c>
    </row>
    <row r="44" spans="3:16" s="611" customFormat="1" ht="21">
      <c r="C44" s="660" t="str">
        <f>TillageOperations!$B$24</f>
        <v>Fertilizer Injection System</v>
      </c>
      <c r="D44" s="765"/>
      <c r="E44" s="771" t="e">
        <f>BASEBUDGETS!E3045/BASEBUDGETS!C2943</f>
        <v>#DIV/0!</v>
      </c>
      <c r="F44" s="770" t="str">
        <f>BASEBUDGETS!C3045</f>
        <v>acre</v>
      </c>
      <c r="G44" s="756" t="e">
        <f>IF(E44=0,0,BASEBUDGETS!D3046*E44)</f>
        <v>#DIV/0!</v>
      </c>
      <c r="H44" s="756" t="e">
        <f>IF(E44=0,0,BASEBUDGETS!D3045*E44)</f>
        <v>#DIV/0!</v>
      </c>
      <c r="I44" s="756">
        <v>0</v>
      </c>
      <c r="J44" s="765" t="e">
        <f>G44+H44+I44</f>
        <v>#DIV/0!</v>
      </c>
    </row>
    <row r="45" spans="3:16" s="611" customFormat="1" ht="21">
      <c r="C45" s="660" t="s">
        <v>407</v>
      </c>
      <c r="D45" s="765"/>
      <c r="E45" s="771"/>
      <c r="F45" s="770"/>
      <c r="G45" s="756">
        <v>0</v>
      </c>
      <c r="H45" s="756">
        <v>0</v>
      </c>
      <c r="I45" s="756" t="e">
        <f>(D46*E46)+(D47*E47)+(D48*E48)+(D49*E49)+(D50*E50)+(D51*E51)+(D52*E52)</f>
        <v>#DIV/0!</v>
      </c>
      <c r="J45" s="765" t="e">
        <f>G45+H45+I45</f>
        <v>#DIV/0!</v>
      </c>
    </row>
    <row r="46" spans="3:16" s="611" customFormat="1" ht="21">
      <c r="C46" s="660" t="str">
        <f>BASEBUDGETS!B2953</f>
        <v xml:space="preserve">   - Nitrogen</v>
      </c>
      <c r="D46" s="765">
        <f>BASEBUDGETS!D2953</f>
        <v>0.46</v>
      </c>
      <c r="E46" s="775" t="e">
        <f>BASEBUDGETS!E2953/BASEBUDGETS!C2943</f>
        <v>#DIV/0!</v>
      </c>
      <c r="F46" s="769" t="str">
        <f>BASEBUDGETS!C2953</f>
        <v>pounds</v>
      </c>
      <c r="G46" s="765"/>
      <c r="H46" s="765"/>
      <c r="I46" s="765"/>
      <c r="J46" s="765"/>
    </row>
    <row r="47" spans="3:16" s="611" customFormat="1" ht="21">
      <c r="C47" s="660" t="str">
        <f>BASEBUDGETS!B2954</f>
        <v xml:space="preserve">   - Phosphorus</v>
      </c>
      <c r="D47" s="765">
        <f>BASEBUDGETS!D2954</f>
        <v>0.36</v>
      </c>
      <c r="E47" s="775" t="e">
        <f>BASEBUDGETS!E2954/BASEBUDGETS!C2943</f>
        <v>#DIV/0!</v>
      </c>
      <c r="F47" s="769" t="str">
        <f>BASEBUDGETS!C2954</f>
        <v>pounds</v>
      </c>
      <c r="G47" s="765"/>
      <c r="H47" s="765"/>
      <c r="I47" s="765"/>
      <c r="J47" s="765"/>
    </row>
    <row r="48" spans="3:16" s="611" customFormat="1" ht="21">
      <c r="C48" s="660" t="str">
        <f>BASEBUDGETS!B2955</f>
        <v xml:space="preserve">   - Anhydrous Ammonia</v>
      </c>
      <c r="D48" s="765">
        <f>BASEBUDGETS!D2955</f>
        <v>0.21</v>
      </c>
      <c r="E48" s="775" t="e">
        <f>BASEBUDGETS!E2955/BASEBUDGETS!C2943</f>
        <v>#DIV/0!</v>
      </c>
      <c r="F48" s="769" t="str">
        <f>BASEBUDGETS!C2955</f>
        <v>pounds</v>
      </c>
      <c r="G48" s="765"/>
      <c r="H48" s="765"/>
      <c r="I48" s="765"/>
      <c r="J48" s="765"/>
    </row>
    <row r="49" spans="3:10" s="611" customFormat="1" ht="21">
      <c r="C49" s="660" t="str">
        <f>BASEBUDGETS!B2956</f>
        <v xml:space="preserve">   - Trace Elements</v>
      </c>
      <c r="D49" s="765">
        <f>BASEBUDGETS!D2956</f>
        <v>0.24</v>
      </c>
      <c r="E49" s="775" t="e">
        <f>BASEBUDGETS!E2956/BASEBUDGETS!C2943</f>
        <v>#DIV/0!</v>
      </c>
      <c r="F49" s="769" t="str">
        <f>BASEBUDGETS!C2956</f>
        <v>pounds</v>
      </c>
      <c r="G49" s="765"/>
      <c r="H49" s="765"/>
      <c r="I49" s="765"/>
      <c r="J49" s="765"/>
    </row>
    <row r="50" spans="3:10" s="611" customFormat="1" ht="21">
      <c r="C50" s="660" t="str">
        <f>BASEBUDGETS!B2957</f>
        <v xml:space="preserve">   - Nitrogen</v>
      </c>
      <c r="D50" s="765">
        <f>BASEBUDGETS!D2957</f>
        <v>297.5</v>
      </c>
      <c r="E50" s="775" t="e">
        <f>BASEBUDGETS!E2957/BASEBUDGETS!C2943</f>
        <v>#DIV/0!</v>
      </c>
      <c r="F50" s="769" t="str">
        <f>BASEBUDGETS!C2957</f>
        <v>acre</v>
      </c>
      <c r="G50" s="765"/>
      <c r="H50" s="765"/>
      <c r="I50" s="765"/>
      <c r="J50" s="765"/>
    </row>
    <row r="51" spans="3:10" s="611" customFormat="1" ht="21">
      <c r="C51" s="660" t="str">
        <f>BASEBUDGETS!B2958</f>
        <v xml:space="preserve">   - Phosphorus</v>
      </c>
      <c r="D51" s="765">
        <f>BASEBUDGETS!D2958</f>
        <v>0</v>
      </c>
      <c r="E51" s="775" t="e">
        <f>BASEBUDGETS!E2958/BASEBUDGETS!C2943</f>
        <v>#DIV/0!</v>
      </c>
      <c r="F51" s="769" t="str">
        <f>BASEBUDGETS!C2958</f>
        <v>acre</v>
      </c>
      <c r="G51" s="765"/>
      <c r="H51" s="765"/>
      <c r="I51" s="765"/>
      <c r="J51" s="765"/>
    </row>
    <row r="52" spans="3:10" s="611" customFormat="1" ht="21">
      <c r="C52" s="660" t="str">
        <f>BASEBUDGETS!B2959</f>
        <v xml:space="preserve">   - Fertilizer - Anhydrous Applicator</v>
      </c>
      <c r="D52" s="765">
        <f>BASEBUDGETS!D2959</f>
        <v>0</v>
      </c>
      <c r="E52" s="775" t="e">
        <f>BASEBUDGETS!E2959/BASEBUDGETS!C2943</f>
        <v>#DIV/0!</v>
      </c>
      <c r="F52" s="769" t="str">
        <f>BASEBUDGETS!C2959</f>
        <v>acre</v>
      </c>
      <c r="G52" s="765"/>
      <c r="H52" s="765"/>
      <c r="I52" s="765"/>
      <c r="J52" s="765"/>
    </row>
    <row r="53" spans="3:10" s="611" customFormat="1" ht="21">
      <c r="C53" s="660" t="str">
        <f>BASEBUDGETS!B2993</f>
        <v>Boom Sprayer, Custom</v>
      </c>
      <c r="D53" s="765">
        <f>CustomOperations!V31</f>
        <v>0</v>
      </c>
      <c r="E53" s="771" t="e">
        <f>BASEBUDGETS!E2993/BASEBUDGETS!C2943</f>
        <v>#DIV/0!</v>
      </c>
      <c r="F53" s="770" t="str">
        <f>BASEBUDGETS!C2993</f>
        <v>acre</v>
      </c>
      <c r="G53" s="756">
        <v>0</v>
      </c>
      <c r="H53" s="756">
        <v>0</v>
      </c>
      <c r="I53" s="756" t="e">
        <f>IF(E53=0,0,(BASEBUDGETS!D2993*E53))</f>
        <v>#DIV/0!</v>
      </c>
      <c r="J53" s="765" t="e">
        <f>G53+H53+I53</f>
        <v>#DIV/0!</v>
      </c>
    </row>
    <row r="54" spans="3:10" s="611" customFormat="1" ht="21">
      <c r="C54" s="660" t="str">
        <f>TillageOperations!$B$25</f>
        <v>Boom Sprayer</v>
      </c>
      <c r="D54" s="765"/>
      <c r="E54" s="771" t="e">
        <f>BASEBUDGETS!E3047/BASEBUDGETS!C2943</f>
        <v>#DIV/0!</v>
      </c>
      <c r="F54" s="770" t="str">
        <f>BASEBUDGETS!C3047</f>
        <v>acres</v>
      </c>
      <c r="G54" s="756" t="e">
        <f>IF(E54=0,0,BASEBUDGETS!D3048*E54)</f>
        <v>#DIV/0!</v>
      </c>
      <c r="H54" s="756" t="e">
        <f>IF(E54=0,0,BASEBUDGETS!D3047*E54)</f>
        <v>#DIV/0!</v>
      </c>
      <c r="I54" s="756">
        <v>0</v>
      </c>
      <c r="J54" s="765" t="e">
        <f>G54+H54+I54</f>
        <v>#DIV/0!</v>
      </c>
    </row>
    <row r="55" spans="3:10" s="611" customFormat="1" ht="21">
      <c r="C55" s="660" t="s">
        <v>408</v>
      </c>
      <c r="D55" s="765"/>
      <c r="E55" s="771"/>
      <c r="F55" s="770"/>
      <c r="G55" s="756">
        <v>0</v>
      </c>
      <c r="H55" s="756">
        <v>0</v>
      </c>
      <c r="I55" s="756" t="e">
        <f>(D56*E56)+(D57*E57)+(D58*E58)+(D59*E59)+(D60*E60)+(D61*E61)+(D62*E62)</f>
        <v>#DIV/0!</v>
      </c>
      <c r="J55" s="765" t="e">
        <f>G55+H55+I55</f>
        <v>#DIV/0!</v>
      </c>
    </row>
    <row r="56" spans="3:10" s="611" customFormat="1" ht="21">
      <c r="C56" s="660" t="str">
        <f>BASEBUDGETS!B2960</f>
        <v xml:space="preserve">   - Prowl</v>
      </c>
      <c r="D56" s="765">
        <f>BASEBUDGETS!D2960</f>
        <v>6.0625</v>
      </c>
      <c r="E56" s="775" t="e">
        <f>BASEBUDGETS!E2960/BASEBUDGETS!C2943</f>
        <v>#DIV/0!</v>
      </c>
      <c r="F56" s="769" t="str">
        <f>BASEBUDGETS!C2960</f>
        <v>pints</v>
      </c>
      <c r="G56" s="765"/>
      <c r="H56" s="765"/>
      <c r="I56" s="765"/>
      <c r="J56" s="765"/>
    </row>
    <row r="57" spans="3:10" s="611" customFormat="1" ht="21">
      <c r="C57" s="660" t="str">
        <f>BASEBUDGETS!B2961</f>
        <v xml:space="preserve">   - Aim</v>
      </c>
      <c r="D57" s="765">
        <f>BASEBUDGETS!D2961</f>
        <v>5.9375</v>
      </c>
      <c r="E57" s="775" t="e">
        <f>BASEBUDGETS!E2961/BASEBUDGETS!C2943</f>
        <v>#DIV/0!</v>
      </c>
      <c r="F57" s="769" t="str">
        <f>BASEBUDGETS!C2961</f>
        <v>ounces</v>
      </c>
      <c r="G57" s="765"/>
      <c r="H57" s="765"/>
      <c r="I57" s="765"/>
      <c r="J57" s="765"/>
    </row>
    <row r="58" spans="3:10" s="611" customFormat="1" ht="21">
      <c r="C58" s="660" t="str">
        <f>BASEBUDGETS!B2962</f>
        <v xml:space="preserve">   - Fusilade</v>
      </c>
      <c r="D58" s="765">
        <f>BASEBUDGETS!D2962</f>
        <v>1.25</v>
      </c>
      <c r="E58" s="775" t="e">
        <f>BASEBUDGETS!E2962/BASEBUDGETS!C2943</f>
        <v>#DIV/0!</v>
      </c>
      <c r="F58" s="769" t="str">
        <f>BASEBUDGETS!C2962</f>
        <v>ounces</v>
      </c>
      <c r="G58" s="765"/>
      <c r="H58" s="765"/>
      <c r="I58" s="765"/>
      <c r="J58" s="765"/>
    </row>
    <row r="59" spans="3:10" s="611" customFormat="1" ht="21">
      <c r="C59" s="660" t="str">
        <f>BASEBUDGETS!B2963</f>
        <v xml:space="preserve">   - Herbicides</v>
      </c>
      <c r="D59" s="765">
        <f>BASEBUDGETS!D2963</f>
        <v>90</v>
      </c>
      <c r="E59" s="775" t="e">
        <f>BASEBUDGETS!E2963/BASEBUDGETS!C2943</f>
        <v>#DIV/0!</v>
      </c>
      <c r="F59" s="769" t="str">
        <f>BASEBUDGETS!C2963</f>
        <v>acre</v>
      </c>
      <c r="G59" s="765"/>
      <c r="H59" s="765"/>
      <c r="I59" s="765"/>
      <c r="J59" s="765"/>
    </row>
    <row r="60" spans="3:10" s="611" customFormat="1" ht="21">
      <c r="C60" s="660" t="str">
        <f>BASEBUDGETS!B2964</f>
        <v xml:space="preserve">   - Herbicide - #2</v>
      </c>
      <c r="D60" s="765">
        <f>BASEBUDGETS!D2964</f>
        <v>0</v>
      </c>
      <c r="E60" s="775" t="e">
        <f>BASEBUDGETS!E2964/BASEBUDGETS!C2943</f>
        <v>#DIV/0!</v>
      </c>
      <c r="F60" s="769" t="str">
        <f>BASEBUDGETS!C2964</f>
        <v>acre</v>
      </c>
      <c r="G60" s="765"/>
      <c r="H60" s="765"/>
      <c r="I60" s="765"/>
      <c r="J60" s="765"/>
    </row>
    <row r="61" spans="3:10" s="611" customFormat="1" ht="21">
      <c r="C61" s="660" t="str">
        <f>BASEBUDGETS!B2965</f>
        <v xml:space="preserve">   - Insecticides</v>
      </c>
      <c r="D61" s="765">
        <f>BASEBUDGETS!D2965</f>
        <v>60</v>
      </c>
      <c r="E61" s="775" t="e">
        <f>BASEBUDGETS!E2965/BASEBUDGETS!C2943</f>
        <v>#DIV/0!</v>
      </c>
      <c r="F61" s="769" t="str">
        <f>BASEBUDGETS!C2965</f>
        <v>acre</v>
      </c>
      <c r="G61" s="765"/>
      <c r="H61" s="765"/>
      <c r="I61" s="765"/>
      <c r="J61" s="765"/>
    </row>
    <row r="62" spans="3:10" s="611" customFormat="1" ht="21">
      <c r="C62" s="660" t="str">
        <f>BASEBUDGETS!B2966</f>
        <v xml:space="preserve">   - Insecticide - #2</v>
      </c>
      <c r="D62" s="765">
        <f>BASEBUDGETS!D2966</f>
        <v>0</v>
      </c>
      <c r="E62" s="775" t="e">
        <f>BASEBUDGETS!E2966/BASEBUDGETS!C2943</f>
        <v>#DIV/0!</v>
      </c>
      <c r="F62" s="769" t="str">
        <f>BASEBUDGETS!C2966</f>
        <v>acre</v>
      </c>
      <c r="G62" s="765"/>
      <c r="H62" s="765"/>
      <c r="I62" s="765"/>
      <c r="J62" s="765"/>
    </row>
    <row r="63" spans="3:10" s="611" customFormat="1" ht="21">
      <c r="C63" s="660" t="str">
        <f>BASEBUDGETS!B2981</f>
        <v>Row Cultivator, Custom</v>
      </c>
      <c r="D63" s="765">
        <f>CustomOperations!V29</f>
        <v>0</v>
      </c>
      <c r="E63" s="771" t="e">
        <f>BASEBUDGETS!E2981/BASEBUDGETS!C2943</f>
        <v>#DIV/0!</v>
      </c>
      <c r="F63" s="770" t="str">
        <f>BASEBUDGETS!C2981</f>
        <v>acre</v>
      </c>
      <c r="G63" s="756">
        <v>0</v>
      </c>
      <c r="H63" s="756">
        <v>0</v>
      </c>
      <c r="I63" s="756" t="e">
        <f>IF(E63=0,0,BASEBUDGETS!D2981*E63)</f>
        <v>#DIV/0!</v>
      </c>
      <c r="J63" s="765" t="e">
        <f>G63+H63+I63</f>
        <v>#DIV/0!</v>
      </c>
    </row>
    <row r="64" spans="3:10" s="611" customFormat="1" ht="21">
      <c r="C64" s="660" t="str">
        <f>TillageOperations!$B$20</f>
        <v>Row Cultivator</v>
      </c>
      <c r="D64" s="765"/>
      <c r="E64" s="771" t="e">
        <f>BASEBUDGETS!E3016/BASEBUDGETS!C2943</f>
        <v>#DIV/0!</v>
      </c>
      <c r="F64" s="770" t="str">
        <f>BASEBUDGETS!C3016</f>
        <v>acre</v>
      </c>
      <c r="G64" s="756" t="e">
        <f>IF(E64=0,0,BASEBUDGETS!D3017*E64)</f>
        <v>#DIV/0!</v>
      </c>
      <c r="H64" s="756" t="e">
        <f>IF(E64=0,0,BASEBUDGETS!D3016*E64)</f>
        <v>#DIV/0!</v>
      </c>
      <c r="I64" s="756">
        <v>0</v>
      </c>
      <c r="J64" s="765" t="e">
        <f>G64+H64+I64</f>
        <v>#DIV/0!</v>
      </c>
    </row>
    <row r="65" spans="2:11" s="611" customFormat="1" ht="21">
      <c r="C65" s="660" t="s">
        <v>151</v>
      </c>
      <c r="D65" s="765"/>
      <c r="E65" s="776" t="s">
        <v>10</v>
      </c>
      <c r="F65" s="777" t="s">
        <v>10</v>
      </c>
      <c r="G65" s="756" t="e">
        <f>(D67*E67)+(D70*E70)+(D73*E73)</f>
        <v>#DIV/0!</v>
      </c>
      <c r="H65" s="756">
        <v>0</v>
      </c>
      <c r="I65" s="765" t="e">
        <f>(D66*E66)+(D69*E69)+(D72*E72)+(D68*E68)+(D71*E71)+(D74*E74)</f>
        <v>#DIV/0!</v>
      </c>
      <c r="J65" s="765" t="e">
        <f>G65+H65+I65</f>
        <v>#DIV/0!</v>
      </c>
    </row>
    <row r="66" spans="2:11" s="611" customFormat="1" ht="21">
      <c r="B66" s="660"/>
      <c r="C66" s="660" t="str">
        <f>BASEBUDGETS!B2967</f>
        <v>Flood - Irrigation Water</v>
      </c>
      <c r="D66" s="765">
        <f>BASEBUDGETS!D2967</f>
        <v>55</v>
      </c>
      <c r="E66" s="775" t="e">
        <f>BASEBUDGETS!E2967/BASEBUDGETS!C$2943</f>
        <v>#DIV/0!</v>
      </c>
      <c r="F66" s="769" t="str">
        <f>BASEBUDGETS!C2967</f>
        <v>ac ft</v>
      </c>
      <c r="G66" s="756"/>
      <c r="H66" s="756"/>
      <c r="I66" s="765"/>
      <c r="J66" s="765"/>
    </row>
    <row r="67" spans="2:11" s="611" customFormat="1" ht="21">
      <c r="B67" s="660"/>
      <c r="C67" s="660" t="str">
        <f>BASEBUDGETS!B2968</f>
        <v>Flood - Irrigation Labor</v>
      </c>
      <c r="D67" s="765">
        <f>BASEBUDGETS!D2968</f>
        <v>14.55</v>
      </c>
      <c r="E67" s="775" t="e">
        <f>BASEBUDGETS!E2968/BASEBUDGETS!C$2943</f>
        <v>#DIV/0!</v>
      </c>
      <c r="F67" s="769" t="str">
        <f>BASEBUDGETS!C2968</f>
        <v>hour</v>
      </c>
      <c r="G67" s="756"/>
      <c r="H67" s="756"/>
      <c r="I67" s="765"/>
      <c r="J67" s="765"/>
    </row>
    <row r="68" spans="2:11" s="611" customFormat="1" ht="21">
      <c r="C68" s="660" t="str">
        <f>BASEBUDGETS!B2969</f>
        <v xml:space="preserve">   - Annual Repairs &amp; Maintenance</v>
      </c>
      <c r="D68" s="765">
        <f>BASEBUDGETS!D2969</f>
        <v>3</v>
      </c>
      <c r="E68" s="775" t="e">
        <f>BASEBUDGETS!E2969/BASEBUDGETS!C$2943</f>
        <v>#DIV/0!</v>
      </c>
      <c r="F68" s="769" t="str">
        <f>BASEBUDGETS!C2969</f>
        <v>acre</v>
      </c>
      <c r="G68" s="757"/>
      <c r="H68" s="757"/>
      <c r="I68" s="756"/>
      <c r="J68" s="778" t="s">
        <v>10</v>
      </c>
    </row>
    <row r="69" spans="2:11" s="611" customFormat="1" ht="21">
      <c r="C69" s="660" t="str">
        <f>BASEBUDGETS!B2970</f>
        <v>Drip-tape - Irrigation Water</v>
      </c>
      <c r="D69" s="765">
        <f>BASEBUDGETS!D2970</f>
        <v>55</v>
      </c>
      <c r="E69" s="775" t="e">
        <f>BASEBUDGETS!E2970/BASEBUDGETS!C$2943</f>
        <v>#DIV/0!</v>
      </c>
      <c r="F69" s="769" t="str">
        <f>BASEBUDGETS!C2970</f>
        <v>ac ft</v>
      </c>
      <c r="G69" s="756"/>
      <c r="H69" s="756"/>
      <c r="I69" s="756"/>
      <c r="J69" s="765"/>
      <c r="K69" s="611" t="s">
        <v>384</v>
      </c>
    </row>
    <row r="70" spans="2:11" s="611" customFormat="1" ht="21">
      <c r="C70" s="660" t="str">
        <f>BASEBUDGETS!B2971</f>
        <v>Drip-tape - Irrigation Labor</v>
      </c>
      <c r="D70" s="765">
        <f>BASEBUDGETS!D2971</f>
        <v>14.55</v>
      </c>
      <c r="E70" s="775" t="e">
        <f>BASEBUDGETS!E2971/BASEBUDGETS!C$2943</f>
        <v>#DIV/0!</v>
      </c>
      <c r="F70" s="769" t="str">
        <f>BASEBUDGETS!C2971</f>
        <v>hour</v>
      </c>
      <c r="G70" s="756"/>
      <c r="H70" s="756"/>
      <c r="I70" s="756"/>
      <c r="J70" s="765"/>
    </row>
    <row r="71" spans="2:11" s="611" customFormat="1" ht="21">
      <c r="C71" s="660" t="str">
        <f>BASEBUDGETS!B2972</f>
        <v xml:space="preserve">   - Annual Repairs &amp; Maintenance</v>
      </c>
      <c r="D71" s="765">
        <f>BASEBUDGETS!D2972</f>
        <v>7.5</v>
      </c>
      <c r="E71" s="775" t="e">
        <f>BASEBUDGETS!E2972/BASEBUDGETS!C$2943</f>
        <v>#DIV/0!</v>
      </c>
      <c r="F71" s="769" t="str">
        <f>BASEBUDGETS!C2972</f>
        <v>acre</v>
      </c>
      <c r="G71" s="756"/>
      <c r="H71" s="756"/>
      <c r="I71" s="756"/>
      <c r="J71" s="765"/>
    </row>
    <row r="72" spans="2:11" s="611" customFormat="1" ht="21">
      <c r="C72" s="660" t="str">
        <f>BASEBUDGETS!B2973</f>
        <v>Sprinkler - Irrigation Water</v>
      </c>
      <c r="D72" s="765">
        <f>BASEBUDGETS!D2973</f>
        <v>55</v>
      </c>
      <c r="E72" s="775" t="e">
        <f>BASEBUDGETS!E2973/BASEBUDGETS!C$2943</f>
        <v>#DIV/0!</v>
      </c>
      <c r="F72" s="769" t="str">
        <f>BASEBUDGETS!C2973</f>
        <v>ac ft</v>
      </c>
      <c r="G72" s="756"/>
      <c r="H72" s="756"/>
      <c r="I72" s="756"/>
      <c r="J72" s="765"/>
    </row>
    <row r="73" spans="2:11" s="611" customFormat="1" ht="21">
      <c r="C73" s="660" t="str">
        <f>BASEBUDGETS!B2974</f>
        <v>Sprinkler - Irrigation Labor</v>
      </c>
      <c r="D73" s="765">
        <f>BASEBUDGETS!D2974</f>
        <v>14.55</v>
      </c>
      <c r="E73" s="775" t="e">
        <f>BASEBUDGETS!E2974/BASEBUDGETS!C$2943</f>
        <v>#DIV/0!</v>
      </c>
      <c r="F73" s="769" t="str">
        <f>BASEBUDGETS!C2974</f>
        <v>hour</v>
      </c>
      <c r="G73" s="756"/>
      <c r="H73" s="756"/>
      <c r="I73" s="756"/>
      <c r="J73" s="765"/>
    </row>
    <row r="74" spans="2:11" s="611" customFormat="1" ht="21">
      <c r="C74" s="660" t="str">
        <f>BASEBUDGETS!B2975</f>
        <v xml:space="preserve">   - Annual Repairs &amp; Maintenance</v>
      </c>
      <c r="D74" s="765">
        <f>BASEBUDGETS!D2975</f>
        <v>15</v>
      </c>
      <c r="E74" s="775" t="e">
        <f>BASEBUDGETS!E2975/BASEBUDGETS!C$2943</f>
        <v>#DIV/0!</v>
      </c>
      <c r="F74" s="769" t="str">
        <f>BASEBUDGETS!C2975</f>
        <v>acre</v>
      </c>
      <c r="G74" s="756"/>
      <c r="H74" s="756"/>
      <c r="I74" s="756"/>
      <c r="J74" s="765"/>
    </row>
    <row r="75" spans="2:11" s="611" customFormat="1" ht="21">
      <c r="C75" s="660" t="str">
        <f>BASEBUDGETS!B2891</f>
        <v>Additional Crop Prod. Labor</v>
      </c>
      <c r="D75" s="765">
        <f>GeneralInputPrices!$D$31</f>
        <v>14.55</v>
      </c>
      <c r="E75" s="771" t="e">
        <f>BASEBUDGETS!E3053/BASEBUDGETS!C2943</f>
        <v>#DIV/0!</v>
      </c>
      <c r="F75" s="770" t="str">
        <f>BASEBUDGETS!C2891</f>
        <v>hour</v>
      </c>
      <c r="G75" s="756" t="e">
        <f>D75*E75</f>
        <v>#DIV/0!</v>
      </c>
      <c r="H75" s="756">
        <v>0</v>
      </c>
      <c r="I75" s="756">
        <v>0</v>
      </c>
      <c r="J75" s="765" t="e">
        <f t="shared" ref="J75:J76" si="3">G75+H75+I75</f>
        <v>#DIV/0!</v>
      </c>
    </row>
    <row r="76" spans="2:11" s="611" customFormat="1" ht="21">
      <c r="C76" s="660" t="str">
        <f>BASEBUDGETS!B2892</f>
        <v>Additional Crop Prod. Labor</v>
      </c>
      <c r="D76" s="765">
        <f>GeneralInputPrices!$D$31</f>
        <v>14.55</v>
      </c>
      <c r="E76" s="771" t="e">
        <f>BASEBUDGETS!E3054/BASEBUDGETS!C2943</f>
        <v>#DIV/0!</v>
      </c>
      <c r="F76" s="770" t="str">
        <f>BASEBUDGETS!C2892</f>
        <v>hour</v>
      </c>
      <c r="G76" s="756" t="e">
        <f>D76*E76</f>
        <v>#DIV/0!</v>
      </c>
      <c r="H76" s="756">
        <v>0</v>
      </c>
      <c r="I76" s="756">
        <v>0</v>
      </c>
      <c r="J76" s="765" t="e">
        <f t="shared" si="3"/>
        <v>#DIV/0!</v>
      </c>
    </row>
    <row r="77" spans="2:11" s="611" customFormat="1" ht="21">
      <c r="B77" s="804" t="s">
        <v>44</v>
      </c>
      <c r="C77" s="804"/>
      <c r="D77" s="778"/>
      <c r="E77" s="758"/>
      <c r="F77" s="780" t="s">
        <v>10</v>
      </c>
      <c r="G77" s="777" t="s">
        <v>10</v>
      </c>
      <c r="H77" s="777" t="s">
        <v>10</v>
      </c>
      <c r="I77" s="777" t="s">
        <v>10</v>
      </c>
      <c r="J77" s="777" t="s">
        <v>10</v>
      </c>
    </row>
    <row r="78" spans="2:11" s="611" customFormat="1" ht="21">
      <c r="C78" s="660" t="str">
        <f>BASEBUDGETS!B2976</f>
        <v>Harvest, Custom</v>
      </c>
      <c r="D78" s="765">
        <f>CustomOperations!V37</f>
        <v>75</v>
      </c>
      <c r="E78" s="771" t="e">
        <f>BASEBUDGETS!E2976/BASEBUDGETS!C2943</f>
        <v>#DIV/0!</v>
      </c>
      <c r="F78" s="770" t="str">
        <f>BASEBUDGETS!C2976</f>
        <v>tons</v>
      </c>
      <c r="G78" s="756">
        <v>0</v>
      </c>
      <c r="H78" s="756">
        <v>0</v>
      </c>
      <c r="I78" s="756" t="e">
        <f>IF(E78=0,0,BASEBUDGETS!D2976*E78)</f>
        <v>#DIV/0!</v>
      </c>
      <c r="J78" s="765" t="e">
        <f t="shared" ref="J78:J89" si="4">G78+H78+I78</f>
        <v>#DIV/0!</v>
      </c>
    </row>
    <row r="79" spans="2:11" s="611" customFormat="1" ht="21">
      <c r="C79" s="660" t="str">
        <f>BASEBUDGETS!B2977</f>
        <v>Hauling, Custom</v>
      </c>
      <c r="D79" s="765">
        <f>CustomOperations!V39</f>
        <v>0</v>
      </c>
      <c r="E79" s="771" t="e">
        <f>BASEBUDGETS!E2977/BASEBUDGETS!C2943</f>
        <v>#DIV/0!</v>
      </c>
      <c r="F79" s="770" t="str">
        <f>BASEBUDGETS!C2977</f>
        <v>mile</v>
      </c>
      <c r="G79" s="756">
        <v>0</v>
      </c>
      <c r="H79" s="756">
        <v>0</v>
      </c>
      <c r="I79" s="756" t="e">
        <f>IF(E79=0,0,BASEBUDGETS!D2977*E79)</f>
        <v>#DIV/0!</v>
      </c>
      <c r="J79" s="765" t="e">
        <f t="shared" si="4"/>
        <v>#DIV/0!</v>
      </c>
    </row>
    <row r="80" spans="2:11" s="611" customFormat="1" ht="21">
      <c r="C80" s="660" t="str">
        <f>BASEBUDGETS!B2978</f>
        <v>Gin Cotton/Drying/Swathing, Custom</v>
      </c>
      <c r="D80" s="765">
        <f>CustomOperations!V41</f>
        <v>0</v>
      </c>
      <c r="E80" s="771" t="e">
        <f>BASEBUDGETS!E2978/BASEBUDGETS!C2943</f>
        <v>#DIV/0!</v>
      </c>
      <c r="F80" s="770" t="str">
        <f>BASEBUDGETS!C2978</f>
        <v>bale</v>
      </c>
      <c r="G80" s="756">
        <v>0</v>
      </c>
      <c r="H80" s="756">
        <v>0</v>
      </c>
      <c r="I80" s="756" t="e">
        <f>IF(E80=0,0,BASEBUDGETS!D2978*E80)</f>
        <v>#DIV/0!</v>
      </c>
      <c r="J80" s="765" t="e">
        <f t="shared" si="4"/>
        <v>#DIV/0!</v>
      </c>
    </row>
    <row r="81" spans="2:10" s="611" customFormat="1" ht="21">
      <c r="C81" s="660" t="str">
        <f>TillageOperations!$B$27</f>
        <v>Cotton Picker</v>
      </c>
      <c r="D81" s="765"/>
      <c r="E81" s="771" t="e">
        <f>BASEBUDGETS!E3020/BASEBUDGETS!C2943</f>
        <v>#DIV/0!</v>
      </c>
      <c r="F81" s="770" t="str">
        <f>BASEBUDGETS!C3020</f>
        <v>acre</v>
      </c>
      <c r="G81" s="756" t="e">
        <f>IF(E81=0,0,BASEBUDGETS!D3021*E81)</f>
        <v>#DIV/0!</v>
      </c>
      <c r="H81" s="756" t="e">
        <f>IF(E81=0,0,BASEBUDGETS!D3020*E81)</f>
        <v>#DIV/0!</v>
      </c>
      <c r="I81" s="756">
        <v>0</v>
      </c>
      <c r="J81" s="765" t="e">
        <f t="shared" si="4"/>
        <v>#DIV/0!</v>
      </c>
    </row>
    <row r="82" spans="2:10" s="611" customFormat="1" ht="21">
      <c r="C82" s="781" t="s">
        <v>287</v>
      </c>
      <c r="D82" s="765"/>
      <c r="E82" s="771" t="e">
        <f>BASEBUDGETS!E3022/BASEBUDGETS!C2943</f>
        <v>#DIV/0!</v>
      </c>
      <c r="F82" s="770" t="str">
        <f>BASEBUDGETS!C3022</f>
        <v>acre</v>
      </c>
      <c r="G82" s="756" t="e">
        <f>IF(E82=0,0,BASEBUDGETS!D3023*E82)</f>
        <v>#DIV/0!</v>
      </c>
      <c r="H82" s="756" t="e">
        <f>IF(E82=0,0,BASEBUDGETS!D3022*E82)</f>
        <v>#DIV/0!</v>
      </c>
      <c r="I82" s="756">
        <v>0</v>
      </c>
      <c r="J82" s="765" t="e">
        <f t="shared" ref="J82" si="5">G82+H82+I82</f>
        <v>#DIV/0!</v>
      </c>
    </row>
    <row r="83" spans="2:10" s="611" customFormat="1" ht="21">
      <c r="C83" s="660" t="str">
        <f>TillageOperations!$B$29</f>
        <v>Haul Cotton</v>
      </c>
      <c r="D83" s="765"/>
      <c r="E83" s="771" t="e">
        <f>BASEBUDGETS!E3024/BASEBUDGETS!C2943</f>
        <v>#DIV/0!</v>
      </c>
      <c r="F83" s="770" t="str">
        <f>BASEBUDGETS!C3024</f>
        <v>acre</v>
      </c>
      <c r="G83" s="756" t="e">
        <f>IF(E83=0,0,BASEBUDGETS!D3025*E83)</f>
        <v>#DIV/0!</v>
      </c>
      <c r="H83" s="756" t="e">
        <f>IF(E83=0,0,BASEBUDGETS!D3024*E83)</f>
        <v>#DIV/0!</v>
      </c>
      <c r="I83" s="756">
        <v>0</v>
      </c>
      <c r="J83" s="765" t="e">
        <f t="shared" si="4"/>
        <v>#DIV/0!</v>
      </c>
    </row>
    <row r="84" spans="2:10" s="611" customFormat="1" ht="21">
      <c r="C84" s="660" t="str">
        <f>TillageOperations!$B$30</f>
        <v>Combine</v>
      </c>
      <c r="D84" s="765"/>
      <c r="E84" s="771" t="e">
        <f>BASEBUDGETS!E3028/BASEBUDGETS!C2943</f>
        <v>#DIV/0!</v>
      </c>
      <c r="F84" s="770" t="str">
        <f>BASEBUDGETS!C3028</f>
        <v>acre</v>
      </c>
      <c r="G84" s="756" t="e">
        <f>IF(E84=0,0,BASEBUDGETS!D3029*E84)</f>
        <v>#DIV/0!</v>
      </c>
      <c r="H84" s="756" t="e">
        <f>IF(E84=0,0,BASEBUDGETS!D3028*E84)</f>
        <v>#DIV/0!</v>
      </c>
      <c r="I84" s="756">
        <v>0</v>
      </c>
      <c r="J84" s="765" t="e">
        <f t="shared" si="4"/>
        <v>#DIV/0!</v>
      </c>
    </row>
    <row r="85" spans="2:10" s="611" customFormat="1" ht="21">
      <c r="C85" s="660" t="str">
        <f>TillageOperations!$B$31</f>
        <v>Grain Cart</v>
      </c>
      <c r="D85" s="765"/>
      <c r="E85" s="771" t="e">
        <f>BASEBUDGETS!E3030/BASEBUDGETS!C2943</f>
        <v>#DIV/0!</v>
      </c>
      <c r="F85" s="770" t="str">
        <f>BASEBUDGETS!C3030</f>
        <v>acre</v>
      </c>
      <c r="G85" s="756" t="e">
        <f>IF(E85=0,0,BASEBUDGETS!D3031*E85)</f>
        <v>#DIV/0!</v>
      </c>
      <c r="H85" s="756" t="e">
        <f>IF(E85=0,0,BASEBUDGETS!D3030*E85)</f>
        <v>#DIV/0!</v>
      </c>
      <c r="I85" s="756">
        <v>0</v>
      </c>
      <c r="J85" s="765" t="e">
        <f t="shared" si="4"/>
        <v>#DIV/0!</v>
      </c>
    </row>
    <row r="86" spans="2:10" s="611" customFormat="1" ht="21">
      <c r="C86" s="660" t="str">
        <f>TillageOperations!$B$32</f>
        <v>Swather</v>
      </c>
      <c r="D86" s="765"/>
      <c r="E86" s="771" t="e">
        <f>BASEBUDGETS!E3032/BASEBUDGETS!C2943</f>
        <v>#DIV/0!</v>
      </c>
      <c r="F86" s="770" t="str">
        <f>BASEBUDGETS!C3032</f>
        <v>acre</v>
      </c>
      <c r="G86" s="756" t="e">
        <f>IF(E86=0,0,BASEBUDGETS!D3033*E86)</f>
        <v>#DIV/0!</v>
      </c>
      <c r="H86" s="756" t="e">
        <f>IF(E86=0,0,BASEBUDGETS!D3032*E86)</f>
        <v>#DIV/0!</v>
      </c>
      <c r="I86" s="756">
        <v>0</v>
      </c>
      <c r="J86" s="765" t="e">
        <f t="shared" si="4"/>
        <v>#DIV/0!</v>
      </c>
    </row>
    <row r="87" spans="2:10" s="611" customFormat="1" ht="21">
      <c r="C87" s="660" t="str">
        <f>TillageOperations!$B$33</f>
        <v>Baler</v>
      </c>
      <c r="D87" s="765"/>
      <c r="E87" s="771" t="e">
        <f>BASEBUDGETS!E3034/BASEBUDGETS!C2943</f>
        <v>#DIV/0!</v>
      </c>
      <c r="F87" s="770" t="str">
        <f>BASEBUDGETS!C3034</f>
        <v>acre</v>
      </c>
      <c r="G87" s="756" t="e">
        <f>IF(E87=0,0,BASEBUDGETS!D3035*E87)</f>
        <v>#DIV/0!</v>
      </c>
      <c r="H87" s="756" t="e">
        <f>IF(E87=0,0,BASEBUDGETS!D3034*E87)</f>
        <v>#DIV/0!</v>
      </c>
      <c r="I87" s="756" t="e">
        <f>IF(E87=0,0,D90*E90)</f>
        <v>#DIV/0!</v>
      </c>
      <c r="J87" s="765" t="e">
        <f t="shared" si="4"/>
        <v>#DIV/0!</v>
      </c>
    </row>
    <row r="88" spans="2:10" s="611" customFormat="1" ht="21">
      <c r="C88" s="660" t="str">
        <f>TillageOperations!$B$34</f>
        <v>Swather</v>
      </c>
      <c r="D88" s="765"/>
      <c r="E88" s="771" t="e">
        <f>BASEBUDGETS!E3036/BASEBUDGETS!C2943</f>
        <v>#DIV/0!</v>
      </c>
      <c r="F88" s="770" t="str">
        <f>BASEBUDGETS!C3036</f>
        <v>acre</v>
      </c>
      <c r="G88" s="756" t="e">
        <f>IF(E88=0,0,BASEBUDGETS!D3037*E88)</f>
        <v>#DIV/0!</v>
      </c>
      <c r="H88" s="756" t="e">
        <f>IF(E88=0,0,BASEBUDGETS!D3036*E88)</f>
        <v>#DIV/0!</v>
      </c>
      <c r="I88" s="756">
        <v>0</v>
      </c>
      <c r="J88" s="765" t="e">
        <f t="shared" si="4"/>
        <v>#DIV/0!</v>
      </c>
    </row>
    <row r="89" spans="2:10" s="611" customFormat="1" ht="21">
      <c r="C89" s="660" t="str">
        <f>TillageOperations!$B$35</f>
        <v>Baler</v>
      </c>
      <c r="D89" s="765"/>
      <c r="E89" s="771" t="e">
        <f>BASEBUDGETS!E3038/BASEBUDGETS!C2943</f>
        <v>#DIV/0!</v>
      </c>
      <c r="F89" s="770" t="str">
        <f>BASEBUDGETS!C3038</f>
        <v>acre</v>
      </c>
      <c r="G89" s="756" t="e">
        <f>IF(E89=0,0,BASEBUDGETS!D3039*E89)</f>
        <v>#DIV/0!</v>
      </c>
      <c r="H89" s="756" t="e">
        <f>IF(E89=0,0,BASEBUDGETS!D3038*E89)</f>
        <v>#DIV/0!</v>
      </c>
      <c r="I89" s="756" t="e">
        <f>IF(E89&gt;0,D90*E90,0)</f>
        <v>#DIV/0!</v>
      </c>
      <c r="J89" s="765" t="e">
        <f t="shared" si="4"/>
        <v>#DIV/0!</v>
      </c>
    </row>
    <row r="90" spans="2:10" s="611" customFormat="1" ht="21">
      <c r="C90" s="660" t="str">
        <f>'Inputs&amp;PricesbyCrop'!$B$31</f>
        <v xml:space="preserve">   - Baling Twine</v>
      </c>
      <c r="D90" s="765">
        <f>BASEBUDGETS!D3040</f>
        <v>0</v>
      </c>
      <c r="E90" s="775" t="e">
        <f>BASEBUDGETS!E3040/BASEBUDGETS!C2943</f>
        <v>#DIV/0!</v>
      </c>
      <c r="F90" s="769" t="str">
        <f>'Inputs&amp;PricesbyCrop'!$C$31</f>
        <v>acre</v>
      </c>
      <c r="G90" s="756"/>
      <c r="H90" s="756"/>
      <c r="I90" s="756"/>
      <c r="J90" s="765"/>
    </row>
    <row r="91" spans="2:10" s="611" customFormat="1" ht="21">
      <c r="C91" s="660" t="str">
        <f>TillageOperations!$B$36</f>
        <v>Bale Wagon</v>
      </c>
      <c r="D91" s="765"/>
      <c r="E91" s="771" t="e">
        <f>BASEBUDGETS!E3041/BASEBUDGETS!C2943</f>
        <v>#DIV/0!</v>
      </c>
      <c r="F91" s="770" t="str">
        <f>BASEBUDGETS!C3041</f>
        <v>acre</v>
      </c>
      <c r="G91" s="756" t="e">
        <f>IF(E91=0,0,BASEBUDGETS!D3042*E91)</f>
        <v>#DIV/0!</v>
      </c>
      <c r="H91" s="756" t="e">
        <f>IF(E91=0,0,BASEBUDGETS!D3041*E91)</f>
        <v>#DIV/0!</v>
      </c>
      <c r="I91" s="756">
        <v>0</v>
      </c>
      <c r="J91" s="765" t="e">
        <f t="shared" ref="J91:J93" si="6">G91+H91+I91</f>
        <v>#DIV/0!</v>
      </c>
    </row>
    <row r="92" spans="2:10" s="611" customFormat="1" ht="21">
      <c r="C92" s="660" t="str">
        <f>BASEBUDGETS!B2893</f>
        <v>Additional Harvest Labor</v>
      </c>
      <c r="D92" s="765">
        <f>GeneralInputPrices!$D$32</f>
        <v>17.89</v>
      </c>
      <c r="E92" s="771" t="e">
        <f>BASEBUDGETS!E3055/BASEBUDGETS!C2943</f>
        <v>#DIV/0!</v>
      </c>
      <c r="F92" s="770" t="str">
        <f>BASEBUDGETS!C2893</f>
        <v>hour</v>
      </c>
      <c r="G92" s="756" t="e">
        <f>D92*E92</f>
        <v>#DIV/0!</v>
      </c>
      <c r="H92" s="756">
        <v>0</v>
      </c>
      <c r="I92" s="756">
        <v>0</v>
      </c>
      <c r="J92" s="765" t="e">
        <f t="shared" si="6"/>
        <v>#DIV/0!</v>
      </c>
    </row>
    <row r="93" spans="2:10" s="611" customFormat="1" ht="21">
      <c r="C93" s="660" t="str">
        <f>BASEBUDGETS!B2894</f>
        <v>Additional Harvest Labor</v>
      </c>
      <c r="D93" s="765">
        <f>GeneralInputPrices!$D$32</f>
        <v>17.89</v>
      </c>
      <c r="E93" s="771" t="e">
        <f>BASEBUDGETS!E3056/BASEBUDGETS!C2943</f>
        <v>#DIV/0!</v>
      </c>
      <c r="F93" s="770" t="str">
        <f>BASEBUDGETS!C2894</f>
        <v>hour</v>
      </c>
      <c r="G93" s="756" t="e">
        <f>D93*E93</f>
        <v>#DIV/0!</v>
      </c>
      <c r="H93" s="756">
        <v>0</v>
      </c>
      <c r="I93" s="756">
        <v>0</v>
      </c>
      <c r="J93" s="765" t="e">
        <f t="shared" si="6"/>
        <v>#DIV/0!</v>
      </c>
    </row>
    <row r="94" spans="2:10" s="611" customFormat="1" ht="21">
      <c r="B94" s="760" t="s">
        <v>184</v>
      </c>
      <c r="C94" s="760"/>
      <c r="D94" s="765"/>
      <c r="E94" s="771"/>
      <c r="F94" s="777" t="s">
        <v>10</v>
      </c>
      <c r="G94" s="756"/>
      <c r="H94" s="756"/>
      <c r="I94" s="756"/>
      <c r="J94" s="765"/>
    </row>
    <row r="95" spans="2:10" s="611" customFormat="1" ht="21">
      <c r="C95" s="660" t="str">
        <f>BASEBUDGETS!B3057</f>
        <v>Other Expenses</v>
      </c>
      <c r="D95" s="765"/>
      <c r="E95" s="783">
        <f>BASEBUDGETS!D3057</f>
        <v>0.05</v>
      </c>
      <c r="F95" s="777" t="s">
        <v>10</v>
      </c>
      <c r="G95" s="756">
        <v>0</v>
      </c>
      <c r="H95" s="756">
        <v>0</v>
      </c>
      <c r="I95" s="756" t="e">
        <f>SUM(J9:J93)*E95</f>
        <v>#DIV/0!</v>
      </c>
      <c r="J95" s="765" t="e">
        <f>G95+H95+I95</f>
        <v>#DIV/0!</v>
      </c>
    </row>
    <row r="96" spans="2:10" s="611" customFormat="1" ht="21">
      <c r="C96" s="660" t="str">
        <f>BASEBUDGETS!B3058</f>
        <v>Interest on Operating Capital</v>
      </c>
      <c r="D96" s="765"/>
      <c r="E96" s="783">
        <f>BASEBUDGETS!D3058</f>
        <v>0.06</v>
      </c>
      <c r="F96" s="777" t="s">
        <v>10</v>
      </c>
      <c r="G96" s="784">
        <v>0</v>
      </c>
      <c r="H96" s="784">
        <v>0</v>
      </c>
      <c r="I96" s="784" t="e">
        <f>SUM(J9:J95)*((E96/12)*GeneralInputPrices!$D$39)</f>
        <v>#DIV/0!</v>
      </c>
      <c r="J96" s="785" t="e">
        <f>G96+H96+I96</f>
        <v>#DIV/0!</v>
      </c>
    </row>
    <row r="97" spans="2:13" s="611" customFormat="1" ht="21">
      <c r="B97" s="760" t="s">
        <v>153</v>
      </c>
      <c r="C97" s="760"/>
      <c r="D97" s="760"/>
      <c r="E97" s="760"/>
      <c r="F97" s="760"/>
      <c r="G97" s="756" t="e">
        <f>SUM(G9:G96)</f>
        <v>#DIV/0!</v>
      </c>
      <c r="H97" s="756" t="e">
        <f>SUM(H9:H96)</f>
        <v>#DIV/0!</v>
      </c>
      <c r="I97" s="756" t="e">
        <f>SUM(I9:I96)</f>
        <v>#DIV/0!</v>
      </c>
      <c r="J97" s="756" t="e">
        <f>SUM(J9:J96)</f>
        <v>#DIV/0!</v>
      </c>
    </row>
    <row r="98" spans="2:13" s="611" customFormat="1">
      <c r="D98" s="786"/>
      <c r="E98" s="774"/>
      <c r="G98" s="757"/>
      <c r="H98" s="757"/>
      <c r="I98" s="757"/>
      <c r="J98" s="757"/>
    </row>
    <row r="99" spans="2:13" s="611" customFormat="1" ht="21">
      <c r="B99" s="787" t="s">
        <v>78</v>
      </c>
      <c r="C99" s="787"/>
      <c r="D99" s="788"/>
      <c r="E99" s="789"/>
      <c r="F99" s="790"/>
      <c r="G99" s="791"/>
      <c r="H99" s="792" t="s">
        <v>1</v>
      </c>
      <c r="I99" s="767" t="s">
        <v>24</v>
      </c>
      <c r="J99" s="767" t="s">
        <v>0</v>
      </c>
    </row>
    <row r="100" spans="2:13" s="611" customFormat="1" ht="21">
      <c r="B100" s="754" t="str">
        <f>BASEBUDGETS!B3093</f>
        <v>Crop Insurance</v>
      </c>
      <c r="C100" s="754"/>
      <c r="D100" s="754"/>
      <c r="E100" s="754"/>
      <c r="F100" s="754"/>
      <c r="G100" s="754"/>
      <c r="H100" s="770" t="str">
        <f>BASEBUDGETS!C3093</f>
        <v>acre</v>
      </c>
      <c r="I100" s="756" t="e">
        <f>BASEBUDGETS!F3093/BASEBUDGETS!C2943</f>
        <v>#DIV/0!</v>
      </c>
      <c r="J100" s="756" t="e">
        <f>I100</f>
        <v>#DIV/0!</v>
      </c>
    </row>
    <row r="101" spans="2:13" s="611" customFormat="1" ht="21">
      <c r="B101" s="760" t="str">
        <f>BASEBUDGETS!B3094</f>
        <v>Property Insurance</v>
      </c>
      <c r="C101" s="760"/>
      <c r="D101" s="760"/>
      <c r="E101" s="760"/>
      <c r="F101" s="760"/>
      <c r="G101" s="760"/>
      <c r="H101" s="770" t="str">
        <f>BASEBUDGETS!C3094</f>
        <v>acre</v>
      </c>
      <c r="I101" s="756" t="e">
        <f>BASEBUDGETS!F3094/BASEBUDGETS!C2943</f>
        <v>#DIV/0!</v>
      </c>
      <c r="J101" s="756" t="e">
        <f>I101</f>
        <v>#DIV/0!</v>
      </c>
    </row>
    <row r="102" spans="2:13" s="611" customFormat="1" ht="21">
      <c r="B102" s="760" t="str">
        <f>BASEBUDGETS!B3095</f>
        <v>Property Taxes</v>
      </c>
      <c r="C102" s="760"/>
      <c r="D102" s="760"/>
      <c r="E102" s="760"/>
      <c r="F102" s="760"/>
      <c r="G102" s="760"/>
      <c r="H102" s="770" t="str">
        <f>BASEBUDGETS!C3095</f>
        <v>acre</v>
      </c>
      <c r="I102" s="756" t="e">
        <f>BASEBUDGETS!F3095/BASEBUDGETS!C2943</f>
        <v>#DIV/0!</v>
      </c>
      <c r="J102" s="756" t="e">
        <f t="shared" ref="J102:J105" si="7">I102</f>
        <v>#DIV/0!</v>
      </c>
    </row>
    <row r="103" spans="2:13" s="611" customFormat="1" ht="21">
      <c r="B103" s="760" t="str">
        <f>BASEBUDGETS!B3098</f>
        <v>Licenses and Fees</v>
      </c>
      <c r="C103" s="760"/>
      <c r="D103" s="760"/>
      <c r="E103" s="760"/>
      <c r="F103" s="760"/>
      <c r="G103" s="760"/>
      <c r="H103" s="770" t="str">
        <f>BASEBUDGETS!C3098</f>
        <v>acre</v>
      </c>
      <c r="I103" s="756" t="e">
        <f>BASEBUDGETS!F3098/BASEBUDGETS!C2943</f>
        <v>#DIV/0!</v>
      </c>
      <c r="J103" s="756" t="e">
        <f t="shared" si="7"/>
        <v>#DIV/0!</v>
      </c>
    </row>
    <row r="104" spans="2:13" s="611" customFormat="1" ht="21">
      <c r="B104" s="794" t="s">
        <v>484</v>
      </c>
      <c r="C104" s="794"/>
      <c r="D104" s="794"/>
      <c r="E104" s="794"/>
      <c r="F104" s="794"/>
      <c r="G104" s="794"/>
      <c r="H104" s="770" t="s">
        <v>157</v>
      </c>
      <c r="I104" s="756">
        <f>IF('AcresYieldsPrices&amp;Water'!D9=0,0,(((Fallow!$L$17*('AcresYieldsPrices&amp;Water'!Q27/'AcresYieldsPrices&amp;Water'!Q31))/('AcresYieldsPrices&amp;Water'!D19+'AcresYieldsPrices&amp;Water'!D20))*-1))</f>
        <v>0</v>
      </c>
      <c r="J104" s="765">
        <f>I104</f>
        <v>0</v>
      </c>
      <c r="M104" s="757">
        <f>I104*'AcresYieldsPrices&amp;Water'!D20</f>
        <v>0</v>
      </c>
    </row>
    <row r="105" spans="2:13" s="611" customFormat="1" ht="21">
      <c r="B105" s="760" t="str">
        <f>BASEBUDGETS!B3096</f>
        <v>Annual Cash Rent Payment</v>
      </c>
      <c r="C105" s="760"/>
      <c r="D105" s="760"/>
      <c r="E105" s="760"/>
      <c r="F105" s="760"/>
      <c r="G105" s="760"/>
      <c r="H105" s="770" t="str">
        <f>BASEBUDGETS!C3096</f>
        <v>acre</v>
      </c>
      <c r="I105" s="756" t="e">
        <f>BASEBUDGETS!F3096/BASEBUDGETS!C2943</f>
        <v>#DIV/0!</v>
      </c>
      <c r="J105" s="784" t="e">
        <f t="shared" si="7"/>
        <v>#DIV/0!</v>
      </c>
      <c r="M105" s="757">
        <f>M104+AlfalfaHayEst!M103+'Sheet #13'!M103+'Sheet #12'!M103+'Sheet #10'!M103+Cotton!M110</f>
        <v>0</v>
      </c>
    </row>
    <row r="106" spans="2:13" s="611" customFormat="1" ht="21">
      <c r="B106" s="760" t="s">
        <v>79</v>
      </c>
      <c r="C106" s="760"/>
      <c r="D106" s="760"/>
      <c r="E106" s="760"/>
      <c r="F106" s="760"/>
      <c r="G106" s="760"/>
      <c r="H106" s="756"/>
      <c r="I106" s="756"/>
      <c r="J106" s="765" t="e">
        <f>SUM(J100:J105)</f>
        <v>#DIV/0!</v>
      </c>
    </row>
    <row r="107" spans="2:13" s="611" customFormat="1" ht="21">
      <c r="B107" s="782"/>
      <c r="C107" s="782"/>
      <c r="D107" s="782"/>
      <c r="E107" s="782"/>
      <c r="F107" s="782"/>
      <c r="G107" s="782"/>
      <c r="H107" s="756"/>
      <c r="I107" s="756"/>
      <c r="J107" s="765"/>
    </row>
    <row r="108" spans="2:13" s="611" customFormat="1" ht="21">
      <c r="B108" s="760" t="s">
        <v>448</v>
      </c>
      <c r="C108" s="760"/>
      <c r="D108" s="760"/>
      <c r="E108" s="760"/>
      <c r="F108" s="660"/>
      <c r="G108" s="660"/>
      <c r="H108" s="756"/>
      <c r="I108" s="756"/>
      <c r="J108" s="756" t="e">
        <f>J5-J97-J106</f>
        <v>#DIV/0!</v>
      </c>
    </row>
    <row r="109" spans="2:13" s="611" customFormat="1">
      <c r="D109" s="786"/>
      <c r="E109" s="774"/>
      <c r="G109" s="757"/>
      <c r="H109" s="757"/>
      <c r="I109" s="757"/>
      <c r="J109" s="786"/>
    </row>
    <row r="110" spans="2:13" s="611" customFormat="1" ht="21">
      <c r="B110" s="787" t="s">
        <v>154</v>
      </c>
      <c r="C110" s="787"/>
      <c r="D110" s="788"/>
      <c r="E110" s="789"/>
      <c r="F110" s="790"/>
      <c r="G110" s="791"/>
      <c r="H110" s="792" t="s">
        <v>1</v>
      </c>
      <c r="I110" s="767" t="s">
        <v>24</v>
      </c>
      <c r="J110" s="767" t="s">
        <v>0</v>
      </c>
    </row>
    <row r="111" spans="2:13" s="611" customFormat="1" ht="21">
      <c r="B111" s="754" t="s">
        <v>534</v>
      </c>
      <c r="C111" s="754"/>
      <c r="D111" s="754"/>
      <c r="E111" s="754"/>
      <c r="F111" s="754"/>
      <c r="G111" s="754"/>
      <c r="H111" s="770" t="s">
        <v>157</v>
      </c>
      <c r="I111" s="756" t="e">
        <f>SUM(BASEBUDGETS!F3062:F3064)/BASEBUDGETS!C2943</f>
        <v>#DIV/0!</v>
      </c>
      <c r="J111" s="765" t="e">
        <f>I111</f>
        <v>#DIV/0!</v>
      </c>
      <c r="M111" s="757" t="e">
        <f>I111*'AcresYieldsPrices&amp;Water'!D20</f>
        <v>#DIV/0!</v>
      </c>
    </row>
    <row r="112" spans="2:13" s="611" customFormat="1" ht="21">
      <c r="B112" s="794" t="s">
        <v>156</v>
      </c>
      <c r="C112" s="794"/>
      <c r="D112" s="794"/>
      <c r="E112" s="794"/>
      <c r="F112" s="794"/>
      <c r="G112" s="794"/>
      <c r="H112" s="770" t="str">
        <f>BASEBUDGETS!C3062</f>
        <v>acre</v>
      </c>
      <c r="I112" s="758" t="e">
        <f>SUM(BASEBUDGETS!F3065:F3092)/BASEBUDGETS!C2943</f>
        <v>#DIV/0!</v>
      </c>
      <c r="J112" s="797" t="e">
        <f>I112</f>
        <v>#DIV/0!</v>
      </c>
      <c r="K112" s="799" t="s">
        <v>10</v>
      </c>
      <c r="M112" s="757" t="e">
        <f>M111+AlfalfaHayEst!M110+'Sheet #13'!M108+'Sheet #12'!M108+Cotton!M115</f>
        <v>#DIV/0!</v>
      </c>
    </row>
    <row r="113" spans="2:10" s="611" customFormat="1" ht="21">
      <c r="B113" s="807" t="s">
        <v>77</v>
      </c>
      <c r="C113" s="807"/>
      <c r="D113" s="807"/>
      <c r="E113" s="807"/>
      <c r="F113" s="807"/>
      <c r="G113" s="807"/>
      <c r="H113" s="756"/>
      <c r="I113" s="756"/>
      <c r="J113" s="765" t="e">
        <f>J112+J111</f>
        <v>#DIV/0!</v>
      </c>
    </row>
    <row r="114" spans="2:10" s="611" customFormat="1" ht="21">
      <c r="B114" s="660"/>
      <c r="C114" s="660"/>
      <c r="D114" s="765"/>
      <c r="E114" s="758"/>
      <c r="F114" s="660"/>
      <c r="G114" s="756"/>
      <c r="H114" s="756"/>
      <c r="I114" s="756"/>
      <c r="J114" s="765"/>
    </row>
    <row r="115" spans="2:10" s="611" customFormat="1" ht="20.399999999999999">
      <c r="B115" s="808" t="s">
        <v>63</v>
      </c>
      <c r="C115" s="808"/>
      <c r="D115" s="808"/>
      <c r="E115" s="808"/>
      <c r="F115" s="808"/>
      <c r="G115" s="808"/>
      <c r="H115" s="764"/>
      <c r="I115" s="764"/>
      <c r="J115" s="801">
        <f>IF(I4=0,0,J97+J106+J113)</f>
        <v>0</v>
      </c>
    </row>
    <row r="116" spans="2:10" ht="24" customHeight="1">
      <c r="B116" s="805" t="s">
        <v>64</v>
      </c>
      <c r="C116" s="805"/>
      <c r="D116" s="805"/>
      <c r="E116" s="805"/>
      <c r="F116" s="805"/>
      <c r="G116" s="805"/>
      <c r="H116" s="803"/>
      <c r="I116" s="803"/>
      <c r="J116" s="788">
        <f>J5-J115</f>
        <v>0</v>
      </c>
    </row>
    <row r="117" spans="2:10" ht="20.100000000000001" customHeight="1">
      <c r="B117" s="834" t="s">
        <v>529</v>
      </c>
      <c r="C117" s="834"/>
      <c r="D117" s="834"/>
      <c r="E117" s="834"/>
      <c r="F117" s="834"/>
      <c r="G117" s="834"/>
      <c r="H117" s="834"/>
      <c r="I117" s="834"/>
      <c r="J117" s="834"/>
    </row>
    <row r="118" spans="2:10" ht="20.100000000000001" customHeight="1">
      <c r="B118" s="835"/>
      <c r="C118" s="835"/>
      <c r="D118" s="835"/>
      <c r="E118" s="835"/>
      <c r="F118" s="835"/>
      <c r="G118" s="835"/>
      <c r="H118" s="835"/>
      <c r="I118" s="835"/>
      <c r="J118" s="835"/>
    </row>
    <row r="119" spans="2:10" ht="20.100000000000001" customHeight="1">
      <c r="B119" s="835"/>
      <c r="C119" s="835"/>
      <c r="D119" s="835"/>
      <c r="E119" s="835"/>
      <c r="F119" s="835"/>
      <c r="G119" s="835"/>
      <c r="H119" s="835"/>
      <c r="I119" s="835"/>
      <c r="J119" s="835"/>
    </row>
    <row r="120" spans="2:10">
      <c r="B120" s="835"/>
      <c r="C120" s="835"/>
      <c r="D120" s="835"/>
      <c r="E120" s="835"/>
      <c r="F120" s="835"/>
      <c r="G120" s="835"/>
      <c r="H120" s="835"/>
      <c r="I120" s="835"/>
      <c r="J120" s="835"/>
    </row>
    <row r="121" spans="2:10">
      <c r="B121" s="835"/>
      <c r="C121" s="835"/>
      <c r="D121" s="835"/>
      <c r="E121" s="835"/>
      <c r="F121" s="835"/>
      <c r="G121" s="835"/>
      <c r="H121" s="835"/>
      <c r="I121" s="835"/>
      <c r="J121" s="835"/>
    </row>
  </sheetData>
  <sheetProtection algorithmName="SHA-512" hashValue="jVhVyTc4jCac4CsVCKtU/Lwa2hwONaHc7roRF3L8DdeuNNZDvXVN25Zje12vpR4z2cLU4kkwPRzKAP8lu4o7kA==" saltValue="0HtqaRouMxKUN5PB6FczUA==" spinCount="100000" sheet="1" objects="1" scenarios="1"/>
  <mergeCells count="25">
    <mergeCell ref="B117:J121"/>
    <mergeCell ref="B111:G111"/>
    <mergeCell ref="B112:G112"/>
    <mergeCell ref="B113:G113"/>
    <mergeCell ref="B115:G115"/>
    <mergeCell ref="B116:G116"/>
    <mergeCell ref="B108:E108"/>
    <mergeCell ref="B3:C3"/>
    <mergeCell ref="B8:C8"/>
    <mergeCell ref="B31:C31"/>
    <mergeCell ref="B5:C5"/>
    <mergeCell ref="B7:C7"/>
    <mergeCell ref="B106:G106"/>
    <mergeCell ref="B77:C77"/>
    <mergeCell ref="B94:C94"/>
    <mergeCell ref="B100:G100"/>
    <mergeCell ref="B101:G101"/>
    <mergeCell ref="G2:I2"/>
    <mergeCell ref="B4:E4"/>
    <mergeCell ref="B102:G102"/>
    <mergeCell ref="B103:G103"/>
    <mergeCell ref="B105:G105"/>
    <mergeCell ref="B104:G104"/>
    <mergeCell ref="B97:F97"/>
    <mergeCell ref="B2:F2"/>
  </mergeCells>
  <pageMargins left="0.7" right="0.7" top="0.75" bottom="0.75" header="0.3" footer="0.3"/>
  <pageSetup scale="30" orientation="portrait" horizontalDpi="0" verticalDpi="0"/>
  <ignoredErrors>
    <ignoredError sqref="B100 B101 B102 B103 B105 B106 H105:J106 B112 B113 B116 B115 B97 B5 B7 B31:C31 B96:E96 D7:F7 B8:F8 D5:F5 B6:F6 B98:J99 B114:J114 B109:J110 B4 G94:J94 G4:J27 F31:J31 C29:C30 B94:E95 G96:J97 G95:H95 J95 B56:C62 B34:C34 B46:C49 F46:J52 C37 C45 F53:H54 J53:J55 F77:J83 B77:C77 B92:C93 H115:J116 B32 E32:H32 B39:C39 G39:J39 J45 B40:C40 B51:C52 B50 E50 B81:C83 B75:C76 B68 G68:J68 B18:C27 B35:C35 E35:H35 E39 J108 H112:I112 H100:J103 I104:J104 H113:I113 C36 B33:C33 B44:C44 B41:C41 J41 B42:C42 J42 B43:C43 J43 B9:C17 E9:F17 E34:H34 E33:H33 B54:C54 B53:C53 E53 B64:C66 B63:C63 E63:J63 B78:C80 E78:E80 E31 F30:J30 E56:J62 E46:E49 E37:H37 E77 F93:J93 E40:J40 E51:E52 E81:E83 G70:J74 E18:F27 E36:H36 J44 E54 E64:J64 D64:D66 D54 D36 D18:D27 D75:D76 D81:D83 C50:D50 D51:D52 D40 D32 D92:D93 D77 D37 D46:D49 D56:D62 D29:D30 D31 D9:D17 D33:D35 D63 D38:D39 D53 D55 F29:J29 F76:J76 F75:J75 E75:E76 F92:J92 E92:E93 F84:J91 B84:C91 E84:E91 D84:D91 C28:J28 J34 J33 J37 J36 J35 J32 I34 I32 I38:J38 I35 I36 I37 I33 G2 F4 D45 D44 D43 E43:H43 E44:I44 E45:H45 E42:H42 E41:H41 D41 I41 D42 I42 I45 I43 I53:I55 G69:J69 F66:J66 B69:B74 C67:F74 E65:F65 J112:J113 D78:D80 I111:J111 I65:J65" unlockedFormula="1"/>
  </ignoredErrors>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564FD-7209-5D42-8E35-B2C6BCAF162E}">
  <sheetPr codeName="Sheet9"/>
  <dimension ref="A1:AP76"/>
  <sheetViews>
    <sheetView topLeftCell="A3" zoomScale="120" zoomScaleNormal="120" workbookViewId="0">
      <selection activeCell="K8" sqref="K8"/>
    </sheetView>
  </sheetViews>
  <sheetFormatPr defaultColWidth="11.44140625" defaultRowHeight="14.4"/>
  <cols>
    <col min="1" max="1" width="7.6640625" customWidth="1"/>
    <col min="2" max="2" width="32.109375" customWidth="1"/>
    <col min="3" max="3" width="7.88671875" bestFit="1" customWidth="1"/>
    <col min="4" max="4" width="11.88671875" customWidth="1"/>
    <col min="5" max="5" width="10.44140625" bestFit="1" customWidth="1"/>
    <col min="6" max="6" width="11.6640625" customWidth="1"/>
    <col min="7" max="7" width="5.44140625" customWidth="1"/>
    <col min="8" max="8" width="50.109375" customWidth="1"/>
    <col min="9" max="11" width="11.33203125" customWidth="1"/>
    <col min="12" max="12" width="12.88671875" customWidth="1"/>
    <col min="14" max="14" width="40.109375" customWidth="1"/>
    <col min="15" max="17" width="11.33203125" customWidth="1"/>
    <col min="18" max="19" width="12.88671875" customWidth="1"/>
    <col min="21" max="21" width="10.88671875" customWidth="1"/>
    <col min="22" max="22" width="19" bestFit="1" customWidth="1"/>
    <col min="23" max="40" width="10.88671875" customWidth="1"/>
    <col min="41" max="41" width="11.44140625" bestFit="1" customWidth="1"/>
    <col min="42" max="42" width="10.88671875" customWidth="1"/>
  </cols>
  <sheetData>
    <row r="1" spans="1:25" ht="33" customHeight="1">
      <c r="A1" s="2"/>
      <c r="B1" s="11" t="s">
        <v>288</v>
      </c>
      <c r="C1" s="2"/>
      <c r="D1" s="2"/>
      <c r="E1" s="2"/>
      <c r="F1" s="2"/>
      <c r="G1" s="2"/>
      <c r="H1" s="2"/>
      <c r="I1" s="2"/>
      <c r="J1" s="2"/>
      <c r="K1" s="2"/>
      <c r="L1" s="2"/>
      <c r="M1" s="2"/>
      <c r="N1" s="2"/>
    </row>
    <row r="2" spans="1:25">
      <c r="A2" s="2"/>
      <c r="B2" s="2"/>
      <c r="C2" s="2"/>
      <c r="D2" s="2"/>
      <c r="E2" s="2"/>
      <c r="F2" s="2"/>
      <c r="G2" s="2"/>
      <c r="H2" s="2"/>
      <c r="I2" s="2"/>
      <c r="J2" s="2"/>
      <c r="K2" s="2"/>
      <c r="L2" s="2"/>
      <c r="M2" s="2"/>
      <c r="N2" s="2"/>
      <c r="O2" s="2"/>
      <c r="P2" s="2"/>
      <c r="Q2" s="2"/>
      <c r="R2" s="2"/>
      <c r="S2" s="2"/>
      <c r="T2" s="2"/>
    </row>
    <row r="3" spans="1:25">
      <c r="A3" s="2"/>
      <c r="B3" s="2"/>
      <c r="C3" s="2"/>
      <c r="D3" s="2"/>
      <c r="E3" s="2"/>
      <c r="F3" s="2"/>
      <c r="G3" s="2"/>
      <c r="H3" s="2"/>
      <c r="I3" s="2"/>
      <c r="J3" s="2"/>
      <c r="K3" s="2"/>
      <c r="L3" s="2"/>
      <c r="M3" s="2"/>
      <c r="N3" s="2"/>
      <c r="O3" s="2"/>
      <c r="P3" s="2"/>
      <c r="Q3" s="2"/>
      <c r="R3" s="2"/>
      <c r="S3" s="2"/>
      <c r="T3" s="2"/>
    </row>
    <row r="4" spans="1:25" ht="20.399999999999999">
      <c r="A4" s="2"/>
      <c r="B4" s="2"/>
      <c r="C4" s="2"/>
      <c r="D4" s="2"/>
      <c r="E4" s="2"/>
      <c r="F4" s="2"/>
      <c r="G4" s="2"/>
      <c r="H4" s="522" t="s">
        <v>447</v>
      </c>
      <c r="I4" s="522"/>
      <c r="J4" s="522"/>
      <c r="K4" s="522"/>
      <c r="L4" s="522"/>
      <c r="M4" s="2"/>
      <c r="N4" s="2"/>
      <c r="O4" s="2"/>
      <c r="P4" s="2"/>
      <c r="Q4" s="2"/>
      <c r="R4" s="2"/>
      <c r="S4" s="2"/>
      <c r="T4" s="2"/>
    </row>
    <row r="5" spans="1:25" ht="21">
      <c r="A5" s="2"/>
      <c r="B5" s="522" t="s">
        <v>467</v>
      </c>
      <c r="C5" s="522"/>
      <c r="D5" s="522"/>
      <c r="E5" s="522"/>
      <c r="F5" s="522"/>
      <c r="G5" s="2"/>
      <c r="H5" s="2"/>
      <c r="I5" s="571" t="s">
        <v>121</v>
      </c>
      <c r="J5" s="571"/>
      <c r="K5" s="129" t="s">
        <v>122</v>
      </c>
      <c r="L5" s="2"/>
      <c r="M5" s="2"/>
      <c r="N5" s="2"/>
      <c r="O5" s="2"/>
      <c r="P5" s="2"/>
      <c r="Q5" s="2"/>
      <c r="R5" s="2"/>
      <c r="S5" s="2"/>
      <c r="T5" s="2"/>
    </row>
    <row r="6" spans="1:25" ht="42.9" customHeight="1">
      <c r="A6" s="2"/>
      <c r="B6" s="566" t="s">
        <v>114</v>
      </c>
      <c r="C6" s="573" t="s">
        <v>118</v>
      </c>
      <c r="D6" s="573" t="s">
        <v>115</v>
      </c>
      <c r="E6" s="573" t="s">
        <v>116</v>
      </c>
      <c r="F6" s="573" t="s">
        <v>117</v>
      </c>
      <c r="G6" s="2"/>
      <c r="H6" s="253" t="s">
        <v>114</v>
      </c>
      <c r="I6" s="133" t="s">
        <v>119</v>
      </c>
      <c r="J6" s="133" t="s">
        <v>120</v>
      </c>
      <c r="K6" s="133" t="s">
        <v>132</v>
      </c>
      <c r="L6" s="133" t="s">
        <v>123</v>
      </c>
      <c r="M6" s="2"/>
      <c r="N6" s="279" t="s">
        <v>10</v>
      </c>
      <c r="O6" s="2"/>
      <c r="P6" s="2"/>
      <c r="Q6" s="2"/>
      <c r="R6" s="2"/>
      <c r="S6" s="2"/>
      <c r="T6" s="2"/>
    </row>
    <row r="7" spans="1:25" ht="20.100000000000001" customHeight="1">
      <c r="A7" s="2"/>
      <c r="B7" s="575"/>
      <c r="C7" s="574"/>
      <c r="D7" s="574"/>
      <c r="E7" s="574"/>
      <c r="F7" s="574"/>
      <c r="G7" s="2"/>
      <c r="H7" s="2"/>
      <c r="I7" s="572" t="s">
        <v>169</v>
      </c>
      <c r="J7" s="572"/>
      <c r="K7" s="572"/>
      <c r="L7" s="572"/>
      <c r="M7" s="2"/>
      <c r="N7" s="2"/>
      <c r="O7" s="2"/>
      <c r="P7" s="570" t="s">
        <v>168</v>
      </c>
      <c r="Q7" s="570"/>
      <c r="R7" s="570"/>
      <c r="S7" s="570"/>
      <c r="T7" s="2"/>
    </row>
    <row r="8" spans="1:25" ht="21">
      <c r="A8" s="2"/>
      <c r="B8" s="11" t="str">
        <f>MachineryAssumptions!B5</f>
        <v>175 HP Tractor</v>
      </c>
      <c r="C8" s="78" t="s">
        <v>58</v>
      </c>
      <c r="D8" s="104">
        <f>MachineryAssumptions!C5</f>
        <v>180000</v>
      </c>
      <c r="E8" s="110">
        <f>PubMachineryTables!AK47</f>
        <v>169.24953314659197</v>
      </c>
      <c r="F8" s="112">
        <f>MachineryAssumptions!D5</f>
        <v>10</v>
      </c>
      <c r="G8" s="2"/>
      <c r="H8" s="11" t="str">
        <f t="shared" ref="H8:H30" si="0">B8</f>
        <v>175 HP Tractor</v>
      </c>
      <c r="I8" s="74">
        <f>(PubMachineryTables!AB47*GeneralInputPrices!D$27)*1.15</f>
        <v>36.799999999999997</v>
      </c>
      <c r="J8" s="105">
        <f>PubMachineryTables!AF47</f>
        <v>0.91394747899159667</v>
      </c>
      <c r="K8" s="105">
        <f>PubMachineryTables!AG47</f>
        <v>138.71356828620483</v>
      </c>
      <c r="L8" s="74">
        <f t="shared" ref="L8:L36" si="1">SUM(I8:K8)</f>
        <v>176.42751576519643</v>
      </c>
      <c r="M8" s="2"/>
      <c r="N8" s="2"/>
      <c r="O8" s="134" t="s">
        <v>174</v>
      </c>
      <c r="P8" s="134" t="s">
        <v>163</v>
      </c>
      <c r="Q8" s="134" t="s">
        <v>164</v>
      </c>
      <c r="R8" s="134" t="s">
        <v>167</v>
      </c>
      <c r="S8" s="134" t="s">
        <v>7</v>
      </c>
      <c r="T8" s="2"/>
    </row>
    <row r="9" spans="1:25" ht="21">
      <c r="A9" s="2"/>
      <c r="B9" s="11" t="str">
        <f>MachineryAssumptions!B6</f>
        <v>125 HP Tractor</v>
      </c>
      <c r="C9" s="78" t="s">
        <v>58</v>
      </c>
      <c r="D9" s="103">
        <f>MachineryAssumptions!C6</f>
        <v>80000</v>
      </c>
      <c r="E9" s="110">
        <f>PubMachineryTables!AK48</f>
        <v>76.962854853479854</v>
      </c>
      <c r="F9" s="112">
        <f>MachineryAssumptions!D6</f>
        <v>15</v>
      </c>
      <c r="G9" s="2"/>
      <c r="H9" s="11" t="str">
        <f t="shared" si="0"/>
        <v>125 HP Tractor</v>
      </c>
      <c r="I9" s="106">
        <f>(PubMachineryTables!AB48*GeneralInputPrices!D$27)*1.15</f>
        <v>23</v>
      </c>
      <c r="J9" s="345">
        <f>PubMachineryTables!AF48</f>
        <v>0.27706627747252743</v>
      </c>
      <c r="K9" s="345">
        <f>PubMachineryTables!AG48</f>
        <v>117.7382931804506</v>
      </c>
      <c r="L9" s="106">
        <f t="shared" si="1"/>
        <v>141.01535945792313</v>
      </c>
      <c r="M9" s="2"/>
      <c r="N9" s="108" t="s">
        <v>124</v>
      </c>
      <c r="O9" s="252" t="s">
        <v>35</v>
      </c>
      <c r="P9" s="252" t="s">
        <v>162</v>
      </c>
      <c r="Q9" s="252" t="s">
        <v>165</v>
      </c>
      <c r="R9" s="252" t="s">
        <v>165</v>
      </c>
      <c r="S9" s="252" t="s">
        <v>166</v>
      </c>
      <c r="T9" s="2"/>
    </row>
    <row r="10" spans="1:25" ht="21">
      <c r="A10" s="2"/>
      <c r="B10" s="11" t="str">
        <f>MachineryAssumptions!B8</f>
        <v>V-Ripper</v>
      </c>
      <c r="C10" s="77">
        <f>MachineryAssumptions!I8</f>
        <v>8</v>
      </c>
      <c r="D10" s="103">
        <f>MachineryAssumptions!C8</f>
        <v>22000</v>
      </c>
      <c r="E10" s="110">
        <f>PubMachineryTables!AK49</f>
        <v>17.1875</v>
      </c>
      <c r="F10" s="112">
        <f>MachineryAssumptions!D8</f>
        <v>10</v>
      </c>
      <c r="G10" s="2"/>
      <c r="H10" s="11" t="str">
        <f t="shared" si="0"/>
        <v>V-Ripper</v>
      </c>
      <c r="I10" s="106">
        <f>(PubMachineryTables!AB49*GeneralInputPrices!D$27)*1.15</f>
        <v>0</v>
      </c>
      <c r="J10" s="345">
        <f>PubMachineryTables!AF49</f>
        <v>6.16</v>
      </c>
      <c r="K10" s="345">
        <f>PubMachineryTables!AG49</f>
        <v>165.55845167061136</v>
      </c>
      <c r="L10" s="106">
        <f t="shared" si="1"/>
        <v>171.71845167061136</v>
      </c>
      <c r="M10" s="2"/>
      <c r="N10" s="11" t="str">
        <f>H$8&amp;" &amp; V-Ripper"</f>
        <v>175 HP Tractor &amp; V-Ripper</v>
      </c>
      <c r="O10" s="106">
        <f>PubMachineryTables!AH49</f>
        <v>1.4545454545454546</v>
      </c>
      <c r="P10" s="74">
        <f>PubMachineryTables!AL49</f>
        <v>13.529312500000001</v>
      </c>
      <c r="Q10" s="74">
        <f>(I8+J8+J10)/O10</f>
        <v>30.16333889180672</v>
      </c>
      <c r="R10" s="74">
        <f>(K8+K10)/O10</f>
        <v>209.18701372031111</v>
      </c>
      <c r="S10" s="74">
        <f t="shared" ref="S10:S36" si="2">SUM(P10:R10)</f>
        <v>252.87966511211783</v>
      </c>
      <c r="T10" s="2"/>
    </row>
    <row r="11" spans="1:25" ht="21">
      <c r="A11" s="2"/>
      <c r="B11" s="11" t="str">
        <f>MachineryAssumptions!B9</f>
        <v>Offset Disk</v>
      </c>
      <c r="C11" s="77">
        <f>MachineryAssumptions!I9</f>
        <v>18</v>
      </c>
      <c r="D11" s="103">
        <f>MachineryAssumptions!C9</f>
        <v>30000</v>
      </c>
      <c r="E11" s="110">
        <f>PubMachineryTables!AK50</f>
        <v>87.173202614379107</v>
      </c>
      <c r="F11" s="112">
        <f>MachineryAssumptions!D9</f>
        <v>15</v>
      </c>
      <c r="G11" s="2"/>
      <c r="H11" s="11" t="str">
        <f t="shared" si="0"/>
        <v>Offset Disk</v>
      </c>
      <c r="I11" s="106">
        <f>(PubMachineryTables!AB50*GeneralInputPrices!D$27)*1.15</f>
        <v>0</v>
      </c>
      <c r="J11" s="345">
        <f>PubMachineryTables!AF50</f>
        <v>5.4</v>
      </c>
      <c r="K11" s="345">
        <f>PubMachineryTables!AG50</f>
        <v>38.491483712896333</v>
      </c>
      <c r="L11" s="106">
        <f t="shared" si="1"/>
        <v>43.891483712896331</v>
      </c>
      <c r="M11" s="2"/>
      <c r="N11" s="11" t="str">
        <f>H$8&amp;" &amp; Offset Disk"</f>
        <v>175 HP Tractor &amp; Offset Disk</v>
      </c>
      <c r="O11" s="106">
        <f>PubMachineryTables!AH50</f>
        <v>4.172727272727272</v>
      </c>
      <c r="P11" s="106">
        <f>PubMachineryTables!AL50</f>
        <v>4.7161002178649252</v>
      </c>
      <c r="Q11" s="106">
        <f>(I$8+J$8+J11)/O11</f>
        <v>10.332318567950056</v>
      </c>
      <c r="R11" s="106">
        <f>(K$8+K11)/O11</f>
        <v>42.467441655558019</v>
      </c>
      <c r="S11" s="106">
        <f t="shared" si="2"/>
        <v>57.515860441373</v>
      </c>
      <c r="T11" s="2"/>
      <c r="U11">
        <v>8.7272727272727266</v>
      </c>
      <c r="V11">
        <v>1.8200416666666668</v>
      </c>
      <c r="W11">
        <v>4.2658905580273192</v>
      </c>
      <c r="X11">
        <v>4.5223071570982851</v>
      </c>
      <c r="Y11">
        <v>10.60823938179227</v>
      </c>
    </row>
    <row r="12" spans="1:25" ht="21">
      <c r="A12" s="2"/>
      <c r="B12" s="11" t="str">
        <f>MachineryAssumptions!B10</f>
        <v>Drag</v>
      </c>
      <c r="C12" s="77">
        <f>MachineryAssumptions!I10</f>
        <v>18</v>
      </c>
      <c r="D12" s="103">
        <f>MachineryAssumptions!C10</f>
        <v>7000</v>
      </c>
      <c r="E12" s="110">
        <f>PubMachineryTables!AK51</f>
        <v>0</v>
      </c>
      <c r="F12" s="112">
        <f>MachineryAssumptions!D10</f>
        <v>15</v>
      </c>
      <c r="G12" s="2"/>
      <c r="H12" s="11" t="str">
        <f t="shared" si="0"/>
        <v>Drag</v>
      </c>
      <c r="I12" s="106">
        <f>(PubMachineryTables!AB51*GeneralInputPrices!D$27)*1.15</f>
        <v>0</v>
      </c>
      <c r="J12" s="345">
        <f>PubMachineryTables!AF51</f>
        <v>0</v>
      </c>
      <c r="K12" s="345">
        <f>PubMachineryTables!AG51</f>
        <v>0</v>
      </c>
      <c r="L12" s="106">
        <f t="shared" si="1"/>
        <v>0</v>
      </c>
      <c r="M12" s="2"/>
      <c r="N12" s="11" t="str">
        <f>H$9&amp;" &amp; Drag"</f>
        <v>125 HP Tractor &amp; Drag</v>
      </c>
      <c r="O12" s="106">
        <f>PubMachineryTables!AH51</f>
        <v>9.2727272727272734</v>
      </c>
      <c r="P12" s="106">
        <f>PubMachineryTables!AL51</f>
        <v>2.1222450980392158</v>
      </c>
      <c r="Q12" s="106">
        <f>(I$9+J$9+J12)/O12</f>
        <v>2.5102718534529194</v>
      </c>
      <c r="R12" s="106">
        <f>(K$9+K12)/O12</f>
        <v>12.69726691161722</v>
      </c>
      <c r="S12" s="106">
        <f t="shared" si="2"/>
        <v>17.329783863109355</v>
      </c>
      <c r="T12" s="2"/>
    </row>
    <row r="13" spans="1:25" ht="21">
      <c r="A13" s="2"/>
      <c r="B13" s="11" t="str">
        <f>MachineryAssumptions!B11</f>
        <v>Chisel</v>
      </c>
      <c r="C13" s="77">
        <f>MachineryAssumptions!I11</f>
        <v>8</v>
      </c>
      <c r="D13" s="103">
        <f>MachineryAssumptions!C11</f>
        <v>17000</v>
      </c>
      <c r="E13" s="110">
        <f>PubMachineryTables!AK52</f>
        <v>30.330882352941178</v>
      </c>
      <c r="F13" s="112">
        <f>MachineryAssumptions!D11</f>
        <v>15</v>
      </c>
      <c r="G13" s="2"/>
      <c r="H13" s="11" t="str">
        <f t="shared" si="0"/>
        <v>Chisel</v>
      </c>
      <c r="I13" s="106">
        <f>(PubMachineryTables!AB52*GeneralInputPrices!D$27)*1.15</f>
        <v>0</v>
      </c>
      <c r="J13" s="345">
        <f>PubMachineryTables!AF52</f>
        <v>4.76</v>
      </c>
      <c r="K13" s="345">
        <f>PubMachineryTables!AG52</f>
        <v>62.688846066731919</v>
      </c>
      <c r="L13" s="106">
        <f t="shared" si="1"/>
        <v>67.448846066731917</v>
      </c>
      <c r="M13" s="2"/>
      <c r="N13" s="11" t="str">
        <f>H$8&amp;" &amp; Chisel"</f>
        <v>175 HP Tractor &amp; Chisel</v>
      </c>
      <c r="O13" s="106">
        <f>PubMachineryTables!AH52</f>
        <v>4.9454545454545453</v>
      </c>
      <c r="P13" s="106">
        <f>PubMachineryTables!AL52</f>
        <v>3.9792095588235301</v>
      </c>
      <c r="Q13" s="106">
        <f>(I$8+J$8+J13)/O13</f>
        <v>8.5884820270019766</v>
      </c>
      <c r="R13" s="106">
        <f>(K$8+K13)/O13</f>
        <v>40.724752902248241</v>
      </c>
      <c r="S13" s="106">
        <f t="shared" si="2"/>
        <v>53.292444488073748</v>
      </c>
      <c r="T13" s="2"/>
    </row>
    <row r="14" spans="1:25" ht="21">
      <c r="A14" s="2"/>
      <c r="B14" s="11" t="str">
        <f>MachineryAssumptions!B12</f>
        <v>Moldboard Plow</v>
      </c>
      <c r="C14" s="77">
        <f>MachineryAssumptions!I12</f>
        <v>9.3333333333333339</v>
      </c>
      <c r="D14" s="103">
        <f>MachineryAssumptions!C12</f>
        <v>35000</v>
      </c>
      <c r="E14" s="110">
        <f>PubMachineryTables!AK53</f>
        <v>0</v>
      </c>
      <c r="F14" s="112">
        <f>MachineryAssumptions!D12</f>
        <v>15</v>
      </c>
      <c r="G14" s="2"/>
      <c r="H14" s="11" t="str">
        <f t="shared" si="0"/>
        <v>Moldboard Plow</v>
      </c>
      <c r="I14" s="106">
        <f>(PubMachineryTables!AB53*GeneralInputPrices!D$27)*1.15</f>
        <v>0</v>
      </c>
      <c r="J14" s="345">
        <f>PubMachineryTables!AF53</f>
        <v>0</v>
      </c>
      <c r="K14" s="345">
        <f>PubMachineryTables!AG53</f>
        <v>0</v>
      </c>
      <c r="L14" s="106">
        <f t="shared" si="1"/>
        <v>0</v>
      </c>
      <c r="M14" s="2"/>
      <c r="N14" s="11" t="str">
        <f>H$8&amp;" &amp; Moldboard Plow"</f>
        <v>175 HP Tractor &amp; Moldboard Plow</v>
      </c>
      <c r="O14" s="106">
        <f>PubMachineryTables!AH53</f>
        <v>2.5454545454545454</v>
      </c>
      <c r="P14" s="106">
        <f>PubMachineryTables!AL53</f>
        <v>7.7310357142857153</v>
      </c>
      <c r="Q14" s="106">
        <f>(I$8+J$8+J14)/O14</f>
        <v>14.816193652460983</v>
      </c>
      <c r="R14" s="106">
        <f>(K$8+K14)/O14</f>
        <v>54.494616112437612</v>
      </c>
      <c r="S14" s="106">
        <f t="shared" si="2"/>
        <v>77.041845479184303</v>
      </c>
      <c r="T14" s="2"/>
    </row>
    <row r="15" spans="1:25" ht="21">
      <c r="A15" s="2"/>
      <c r="B15" s="11" t="str">
        <f>MachineryAssumptions!B13</f>
        <v>Cultivator</v>
      </c>
      <c r="C15" s="77">
        <f>MachineryAssumptions!I13</f>
        <v>20</v>
      </c>
      <c r="D15" s="103">
        <f>MachineryAssumptions!C13</f>
        <v>25000</v>
      </c>
      <c r="E15" s="110">
        <f>PubMachineryTables!AK54</f>
        <v>0</v>
      </c>
      <c r="F15" s="112">
        <f>MachineryAssumptions!D13</f>
        <v>15</v>
      </c>
      <c r="G15" s="2"/>
      <c r="H15" s="11" t="str">
        <f t="shared" si="0"/>
        <v>Cultivator</v>
      </c>
      <c r="I15" s="106">
        <f>I14</f>
        <v>0</v>
      </c>
      <c r="J15" s="345">
        <f>PubMachineryTables!AF54</f>
        <v>0</v>
      </c>
      <c r="K15" s="345">
        <f>PubMachineryTables!AG54</f>
        <v>0</v>
      </c>
      <c r="L15" s="106">
        <f t="shared" si="1"/>
        <v>0</v>
      </c>
      <c r="M15" s="2"/>
      <c r="N15" s="11" t="str">
        <f>H$8&amp;" &amp; ANYTHING"</f>
        <v>175 HP Tractor &amp; ANYTHING</v>
      </c>
      <c r="O15" s="106">
        <f>PubMachineryTables!AH54</f>
        <v>6.3636363636363633</v>
      </c>
      <c r="P15" s="106">
        <f>PubMachineryTables!AL54</f>
        <v>3.0924142857142862</v>
      </c>
      <c r="Q15" s="106">
        <f>(I$8+J$8+J15)/O15</f>
        <v>5.9264774609843931</v>
      </c>
      <c r="R15" s="106">
        <f>(K$8+K15)/O15</f>
        <v>21.797846444975047</v>
      </c>
      <c r="S15" s="106">
        <f t="shared" si="2"/>
        <v>30.816738191673728</v>
      </c>
      <c r="T15" s="2"/>
    </row>
    <row r="16" spans="1:25" ht="21">
      <c r="A16" s="2"/>
      <c r="B16" s="11" t="str">
        <f>MachineryAssumptions!B14</f>
        <v>Landplane</v>
      </c>
      <c r="C16" s="77">
        <f>MachineryAssumptions!I14</f>
        <v>16</v>
      </c>
      <c r="D16" s="103">
        <f>MachineryAssumptions!C14</f>
        <v>18000</v>
      </c>
      <c r="E16" s="110">
        <f>PubMachineryTables!AK55</f>
        <v>4.9107142857142856</v>
      </c>
      <c r="F16" s="112">
        <f>MachineryAssumptions!D14</f>
        <v>15</v>
      </c>
      <c r="G16" s="2"/>
      <c r="H16" s="11" t="str">
        <f t="shared" si="0"/>
        <v>Landplane</v>
      </c>
      <c r="I16" s="106">
        <f>(PubMachineryTables!AB55*GeneralInputPrices!D$27)*1.15</f>
        <v>0</v>
      </c>
      <c r="J16" s="345">
        <f>PubMachineryTables!AF55</f>
        <v>3.2399999999999993</v>
      </c>
      <c r="K16" s="345">
        <f>PubMachineryTables!AG55</f>
        <v>409.97203829108423</v>
      </c>
      <c r="L16" s="106">
        <f t="shared" si="1"/>
        <v>413.21203829108424</v>
      </c>
      <c r="M16" s="2"/>
      <c r="N16" s="11" t="str">
        <f>H$8&amp;" &amp; Landplane"</f>
        <v>175 HP Tractor &amp; Landplane</v>
      </c>
      <c r="O16" s="106">
        <f>PubMachineryTables!AH55</f>
        <v>5.0909090909090908</v>
      </c>
      <c r="P16" s="106">
        <f>PubMachineryTables!AL55</f>
        <v>3.8655178571428577</v>
      </c>
      <c r="Q16" s="106">
        <f>(I$8+J$8+J16)/O16</f>
        <v>8.0445253976590632</v>
      </c>
      <c r="R16" s="106">
        <f>(K$8+K16)/O16</f>
        <v>107.77752986339607</v>
      </c>
      <c r="S16" s="106">
        <f t="shared" si="2"/>
        <v>119.68757311819799</v>
      </c>
      <c r="T16" s="2"/>
    </row>
    <row r="17" spans="1:20" ht="21">
      <c r="A17" s="2"/>
      <c r="B17" s="11" t="str">
        <f>MachineryAssumptions!B15</f>
        <v>Float</v>
      </c>
      <c r="C17" s="77">
        <f>MachineryAssumptions!I15</f>
        <v>14</v>
      </c>
      <c r="D17" s="103">
        <f>MachineryAssumptions!C15</f>
        <v>7000</v>
      </c>
      <c r="E17" s="110">
        <f>PubMachineryTables!AK56</f>
        <v>0</v>
      </c>
      <c r="F17" s="112">
        <f>MachineryAssumptions!D15</f>
        <v>15</v>
      </c>
      <c r="G17" s="2"/>
      <c r="H17" s="11" t="str">
        <f t="shared" si="0"/>
        <v>Float</v>
      </c>
      <c r="I17" s="106">
        <f>(PubMachineryTables!AB56*GeneralInputPrices!D$27)*1.15</f>
        <v>0</v>
      </c>
      <c r="J17" s="345">
        <f>PubMachineryTables!AF56</f>
        <v>0</v>
      </c>
      <c r="K17" s="345">
        <f>PubMachineryTables!AG56</f>
        <v>0</v>
      </c>
      <c r="L17" s="106">
        <f t="shared" si="1"/>
        <v>0</v>
      </c>
      <c r="M17" s="2"/>
      <c r="N17" s="11" t="str">
        <f>H$9&amp;" &amp; Float"</f>
        <v>125 HP Tractor &amp; Float</v>
      </c>
      <c r="O17" s="106">
        <f>PubMachineryTables!AH56</f>
        <v>4.4545454545454541</v>
      </c>
      <c r="P17" s="106">
        <f>PubMachineryTables!AL56</f>
        <v>4.4177346938775521</v>
      </c>
      <c r="Q17" s="106">
        <f>(I$9+J$9+J17)/O17</f>
        <v>5.2254638582081192</v>
      </c>
      <c r="R17" s="106">
        <f>(K$9+K17)/O17</f>
        <v>26.43104540785626</v>
      </c>
      <c r="S17" s="106">
        <f t="shared" si="2"/>
        <v>36.074243959941931</v>
      </c>
      <c r="T17" s="2"/>
    </row>
    <row r="18" spans="1:20" ht="21">
      <c r="A18" s="2"/>
      <c r="B18" s="11" t="str">
        <f>MachineryAssumptions!B16</f>
        <v>Lister</v>
      </c>
      <c r="C18" s="77">
        <f>MachineryAssumptions!I16</f>
        <v>10</v>
      </c>
      <c r="D18" s="103">
        <f>MachineryAssumptions!C16</f>
        <v>6500</v>
      </c>
      <c r="E18" s="110">
        <f>PubMachineryTables!AK57</f>
        <v>7.8571428571428577</v>
      </c>
      <c r="F18" s="112">
        <f>MachineryAssumptions!D16</f>
        <v>15</v>
      </c>
      <c r="G18" s="2"/>
      <c r="H18" s="11" t="str">
        <f t="shared" si="0"/>
        <v>Lister</v>
      </c>
      <c r="I18" s="106">
        <f>(PubMachineryTables!AB57*GeneralInputPrices!D$27)*1.15</f>
        <v>0</v>
      </c>
      <c r="J18" s="345">
        <f>PubMachineryTables!AF57</f>
        <v>8.4915968694769112E-2</v>
      </c>
      <c r="K18" s="345">
        <f>PubMachineryTables!AG57</f>
        <v>92.528411419862749</v>
      </c>
      <c r="L18" s="106">
        <f t="shared" si="1"/>
        <v>92.613327388557522</v>
      </c>
      <c r="M18" s="2"/>
      <c r="N18" s="11" t="str">
        <f>H$8&amp;" &amp; Lister"</f>
        <v>175 HP Tractor &amp; Lister</v>
      </c>
      <c r="O18" s="106">
        <f>PubMachineryTables!AH57</f>
        <v>3.1818181818181817</v>
      </c>
      <c r="P18" s="106">
        <f>PubMachineryTables!AL57</f>
        <v>6.1848285714285725</v>
      </c>
      <c r="Q18" s="106">
        <f>(I$8+J$8+J18)/O18</f>
        <v>11.879642797844285</v>
      </c>
      <c r="R18" s="106">
        <f>(K$8+K18)/O18</f>
        <v>72.676050764764099</v>
      </c>
      <c r="S18" s="106">
        <f t="shared" si="2"/>
        <v>90.740522134036951</v>
      </c>
      <c r="T18" s="2"/>
    </row>
    <row r="19" spans="1:20" ht="21">
      <c r="A19" s="2"/>
      <c r="B19" s="11" t="str">
        <f>MachineryAssumptions!B17</f>
        <v>Bed Shaper</v>
      </c>
      <c r="C19" s="77">
        <f>MachineryAssumptions!I17</f>
        <v>20</v>
      </c>
      <c r="D19" s="103">
        <f>MachineryAssumptions!C17</f>
        <v>6500</v>
      </c>
      <c r="E19" s="110">
        <f>PubMachineryTables!AK58</f>
        <v>3.9285714285714288</v>
      </c>
      <c r="F19" s="112">
        <f>MachineryAssumptions!D17</f>
        <v>20</v>
      </c>
      <c r="G19" s="2"/>
      <c r="H19" s="11" t="str">
        <f t="shared" si="0"/>
        <v>Bed Shaper</v>
      </c>
      <c r="I19" s="106">
        <f>(PubMachineryTables!AB58*GeneralInputPrices!D$27)*1.15</f>
        <v>0</v>
      </c>
      <c r="J19" s="345">
        <f>PubMachineryTables!AF58</f>
        <v>0.19718374759477156</v>
      </c>
      <c r="K19" s="345">
        <f>PubMachineryTables!AG58</f>
        <v>182.14155977190643</v>
      </c>
      <c r="L19" s="106">
        <f t="shared" si="1"/>
        <v>182.33874351950121</v>
      </c>
      <c r="M19" s="2"/>
      <c r="N19" s="11" t="str">
        <f>H$8&amp;" &amp; Bed Shaper"</f>
        <v>175 HP Tractor &amp; Bed Shaper</v>
      </c>
      <c r="O19" s="106">
        <f>PubMachineryTables!AH58</f>
        <v>6.3636363636363633</v>
      </c>
      <c r="P19" s="106">
        <f>PubMachineryTables!AL58</f>
        <v>3.0924142857142862</v>
      </c>
      <c r="Q19" s="106">
        <f>(I$8+J$8+J19)/O19</f>
        <v>5.9574634784635716</v>
      </c>
      <c r="R19" s="106">
        <f>(K$8+K19)/O19</f>
        <v>50.420091551988918</v>
      </c>
      <c r="S19" s="106">
        <f t="shared" si="2"/>
        <v>59.469969316166775</v>
      </c>
      <c r="T19" s="2"/>
    </row>
    <row r="20" spans="1:20" ht="21">
      <c r="A20" s="2"/>
      <c r="B20" s="11" t="str">
        <f>MachineryAssumptions!B18</f>
        <v>Cotton Shredder/Root Puller</v>
      </c>
      <c r="C20" s="77">
        <f>MachineryAssumptions!I18</f>
        <v>20</v>
      </c>
      <c r="D20" s="103">
        <f>MachineryAssumptions!C18</f>
        <v>12000</v>
      </c>
      <c r="E20" s="110">
        <f>PubMachineryTables!AK59</f>
        <v>0</v>
      </c>
      <c r="F20" s="112">
        <f>MachineryAssumptions!D18</f>
        <v>15</v>
      </c>
      <c r="G20" s="2"/>
      <c r="H20" s="11" t="str">
        <f>B20</f>
        <v>Cotton Shredder/Root Puller</v>
      </c>
      <c r="I20" s="106">
        <f>(PubMachineryTables!AB59*GeneralInputPrices!D$27)*1.15</f>
        <v>0</v>
      </c>
      <c r="J20" s="109">
        <f>PubMachineryTables!AF59</f>
        <v>0</v>
      </c>
      <c r="K20" s="109">
        <f>PubMachineryTables!AG59</f>
        <v>0</v>
      </c>
      <c r="L20" s="106">
        <f>SUM(I20:K20)</f>
        <v>0</v>
      </c>
      <c r="M20" s="2"/>
      <c r="N20" s="11" t="str">
        <f>H$9&amp;" &amp; Shredder"</f>
        <v>125 HP Tractor &amp; Shredder</v>
      </c>
      <c r="O20" s="106">
        <f>PubMachineryTables!AH59</f>
        <v>6.6363636363636367</v>
      </c>
      <c r="P20" s="106">
        <f>PubMachineryTables!AL59</f>
        <v>2.965328767123288</v>
      </c>
      <c r="Q20" s="106">
        <f>(I$9+J$9+J20)/O20</f>
        <v>3.5075031377013395</v>
      </c>
      <c r="R20" s="106">
        <f>(K$9+K20)/O20</f>
        <v>17.741386643629543</v>
      </c>
      <c r="S20" s="106">
        <f>SUM(P20:R20)</f>
        <v>24.21421854845417</v>
      </c>
      <c r="T20" s="2"/>
    </row>
    <row r="21" spans="1:20" ht="21">
      <c r="A21" s="2"/>
      <c r="B21" s="11" t="str">
        <f>MachineryAssumptions!B20</f>
        <v>Row Planter</v>
      </c>
      <c r="C21" s="77">
        <f>MachineryAssumptions!I20</f>
        <v>24</v>
      </c>
      <c r="D21" s="103">
        <f>MachineryAssumptions!C20</f>
        <v>40000</v>
      </c>
      <c r="E21" s="110">
        <f>PubMachineryTables!AK60</f>
        <v>5.729166666666667</v>
      </c>
      <c r="F21" s="112">
        <f>MachineryAssumptions!D20</f>
        <v>15</v>
      </c>
      <c r="G21" s="2"/>
      <c r="H21" s="11" t="str">
        <f t="shared" si="0"/>
        <v>Row Planter</v>
      </c>
      <c r="I21" s="106">
        <f>(PubMachineryTables!AB60*GeneralInputPrices!D$27)*1.15</f>
        <v>0</v>
      </c>
      <c r="J21" s="345">
        <f>PubMachineryTables!AF60</f>
        <v>0.8606190532665341</v>
      </c>
      <c r="K21" s="345">
        <f>PubMachineryTables!AG60</f>
        <v>815.1933683552511</v>
      </c>
      <c r="L21" s="106">
        <f t="shared" si="1"/>
        <v>816.05398740851763</v>
      </c>
      <c r="M21" s="2"/>
      <c r="N21" s="11" t="str">
        <f>H$8&amp;" &amp; Planter"</f>
        <v>175 HP Tractor &amp; Planter</v>
      </c>
      <c r="O21" s="106">
        <f>PubMachineryTables!AH60</f>
        <v>4.3636363636363633</v>
      </c>
      <c r="P21" s="106">
        <f>PubMachineryTables!AL60</f>
        <v>4.5097708333333344</v>
      </c>
      <c r="Q21" s="106">
        <f>(I$8+J$8+J21)/O21</f>
        <v>8.8400048303091534</v>
      </c>
      <c r="R21" s="106">
        <f>(K$8+K21)/O21</f>
        <v>218.60367298033367</v>
      </c>
      <c r="S21" s="106">
        <f t="shared" si="2"/>
        <v>231.95344864397615</v>
      </c>
      <c r="T21" s="2"/>
    </row>
    <row r="22" spans="1:20" ht="21">
      <c r="A22" s="2"/>
      <c r="B22" s="11" t="str">
        <f>MachineryAssumptions!B21</f>
        <v>Row Cultivator</v>
      </c>
      <c r="C22" s="77">
        <f>MachineryAssumptions!I21</f>
        <v>24</v>
      </c>
      <c r="D22" s="103">
        <f>MachineryAssumptions!C21</f>
        <v>22000</v>
      </c>
      <c r="E22" s="110">
        <f>PubMachineryTables!AK61</f>
        <v>7.6388888888888884</v>
      </c>
      <c r="F22" s="112">
        <f>MachineryAssumptions!D21</f>
        <v>10</v>
      </c>
      <c r="G22" s="2"/>
      <c r="H22" s="11" t="str">
        <f t="shared" si="0"/>
        <v>Row Cultivator</v>
      </c>
      <c r="I22" s="106">
        <f>(PubMachineryTables!AB61*GeneralInputPrices!D$27)*1.15</f>
        <v>0</v>
      </c>
      <c r="J22" s="345">
        <f>PubMachineryTables!AF61</f>
        <v>0.1708078530386265</v>
      </c>
      <c r="K22" s="345">
        <f>PubMachineryTables!AG61</f>
        <v>367.05016094060994</v>
      </c>
      <c r="L22" s="106">
        <f t="shared" si="1"/>
        <v>367.22096879364858</v>
      </c>
      <c r="M22" s="2"/>
      <c r="N22" s="11" t="str">
        <f>H$9&amp;" &amp; Cultivator"</f>
        <v>125 HP Tractor &amp; Cultivator</v>
      </c>
      <c r="O22" s="106">
        <f>PubMachineryTables!AH61</f>
        <v>6.5454545454545459</v>
      </c>
      <c r="P22" s="106">
        <f>PubMachineryTables!AL61</f>
        <v>3.0065138888888892</v>
      </c>
      <c r="Q22" s="106">
        <f>(I$9+J$9+J22)/O22</f>
        <v>3.5823141032725374</v>
      </c>
      <c r="R22" s="106">
        <f>(K$9+K22)/O22</f>
        <v>74.064902712939798</v>
      </c>
      <c r="S22" s="106">
        <f t="shared" si="2"/>
        <v>80.653730705101225</v>
      </c>
      <c r="T22" s="2"/>
    </row>
    <row r="23" spans="1:20" ht="21">
      <c r="A23" s="2"/>
      <c r="B23" s="11" t="str">
        <f>MachineryAssumptions!B22</f>
        <v>Drill</v>
      </c>
      <c r="C23" s="79">
        <f>MachineryAssumptions!I22</f>
        <v>20</v>
      </c>
      <c r="D23" s="103">
        <f>MachineryAssumptions!C22</f>
        <v>25000</v>
      </c>
      <c r="E23" s="111">
        <f>PubMachineryTables!AK62</f>
        <v>41.25</v>
      </c>
      <c r="F23" s="112">
        <f>MachineryAssumptions!D22</f>
        <v>15</v>
      </c>
      <c r="G23" s="2"/>
      <c r="H23" s="11" t="str">
        <f t="shared" si="0"/>
        <v>Drill</v>
      </c>
      <c r="I23" s="106">
        <f>(PubMachineryTables!AB62*GeneralInputPrices!D$27)*1.15</f>
        <v>0</v>
      </c>
      <c r="J23" s="109">
        <f>PubMachineryTables!AF62</f>
        <v>4.7179867853024424</v>
      </c>
      <c r="K23" s="109">
        <f>PubMachineryTables!AG62</f>
        <v>70.763313225282218</v>
      </c>
      <c r="L23" s="106">
        <f t="shared" si="1"/>
        <v>75.481300010584661</v>
      </c>
      <c r="M23" s="2"/>
      <c r="N23" s="11" t="str">
        <f>H$9&amp;" &amp; Drill"</f>
        <v>125 HP Tractor &amp; Drill</v>
      </c>
      <c r="O23" s="106">
        <f>PubMachineryTables!AH62</f>
        <v>3.6363636363636362</v>
      </c>
      <c r="P23" s="106">
        <f>PubMachineryTables!AL62</f>
        <v>5.4117250000000006</v>
      </c>
      <c r="Q23" s="106">
        <f>(I$9+J$9+J23)/O23</f>
        <v>7.6986395922631177</v>
      </c>
      <c r="R23" s="106">
        <f>(K$9+K23)/O23</f>
        <v>51.837941761576523</v>
      </c>
      <c r="S23" s="106">
        <f t="shared" si="2"/>
        <v>64.948306353839641</v>
      </c>
      <c r="T23" s="2"/>
    </row>
    <row r="24" spans="1:20" ht="21">
      <c r="A24" s="2"/>
      <c r="B24" s="11" t="str">
        <f>MachineryAssumptions!B23</f>
        <v>Transplanter</v>
      </c>
      <c r="C24" s="79">
        <f>MachineryAssumptions!I23</f>
        <v>10</v>
      </c>
      <c r="D24" s="103">
        <f>MachineryAssumptions!C23</f>
        <v>15000</v>
      </c>
      <c r="E24" s="111">
        <f>PubMachineryTables!AK63</f>
        <v>0</v>
      </c>
      <c r="F24" s="112">
        <f>MachineryAssumptions!D23</f>
        <v>15</v>
      </c>
      <c r="G24" s="2"/>
      <c r="H24" s="11" t="str">
        <f>B24</f>
        <v>Transplanter</v>
      </c>
      <c r="I24" s="106">
        <f>(PubMachineryTables!AB63*GeneralInputPrices!D$27)*1.15</f>
        <v>0</v>
      </c>
      <c r="J24" s="109">
        <f>PubMachineryTables!AF63</f>
        <v>0</v>
      </c>
      <c r="K24" s="109">
        <f>PubMachineryTables!AG63</f>
        <v>0</v>
      </c>
      <c r="L24" s="106">
        <f>SUM(I24:K24)</f>
        <v>0</v>
      </c>
      <c r="M24" s="2"/>
      <c r="N24" s="11" t="str">
        <f>H$9&amp;" &amp; Transplanter"</f>
        <v>125 HP Tractor &amp; Transplanter</v>
      </c>
      <c r="O24" s="106">
        <f>PubMachineryTables!AH63</f>
        <v>0.96969696969696972</v>
      </c>
      <c r="P24" s="106">
        <f>PubMachineryTables!AL63</f>
        <v>20.293968750000001</v>
      </c>
      <c r="Q24" s="106">
        <f>(I8+J8+I$9+J$9+J24)/O24</f>
        <v>62.896982936353623</v>
      </c>
      <c r="R24" s="106">
        <f>(K$9+K24+K8)/O24</f>
        <v>264.46598213748842</v>
      </c>
      <c r="S24" s="106">
        <f>SUM(P24:R24)</f>
        <v>347.65693382384205</v>
      </c>
      <c r="T24" s="2"/>
    </row>
    <row r="25" spans="1:20" ht="21">
      <c r="A25" s="2"/>
      <c r="B25" s="11" t="str">
        <f>MachineryAssumptions!B24</f>
        <v>Fertilizer Spreader</v>
      </c>
      <c r="C25" s="77">
        <f>MachineryAssumptions!I24</f>
        <v>40</v>
      </c>
      <c r="D25" s="103">
        <f>MachineryAssumptions!C24</f>
        <v>18000</v>
      </c>
      <c r="E25" s="110">
        <f>PubMachineryTables!AK64</f>
        <v>2.3871527777777781</v>
      </c>
      <c r="F25" s="112">
        <f>MachineryAssumptions!D24</f>
        <v>20</v>
      </c>
      <c r="G25" s="2"/>
      <c r="H25" s="11" t="str">
        <f>B25</f>
        <v>Fertilizer Spreader</v>
      </c>
      <c r="I25" s="106">
        <f>(PubMachineryTables!AB64*GeneralInputPrices!D$27)*1.15</f>
        <v>0</v>
      </c>
      <c r="J25" s="109">
        <f>PubMachineryTables!AF64</f>
        <v>4.552879097327482</v>
      </c>
      <c r="K25" s="109">
        <f>PubMachineryTables!AG64</f>
        <v>865.79600514403455</v>
      </c>
      <c r="L25" s="106">
        <f>SUM(I25:K25)</f>
        <v>870.34888424136204</v>
      </c>
      <c r="M25" s="2"/>
      <c r="N25" s="11" t="str">
        <f>H$9&amp;" &amp; Fertilizer Spreader"</f>
        <v>125 HP Tractor &amp; Fertilizer Spreader</v>
      </c>
      <c r="O25" s="106">
        <f>PubMachineryTables!AH64</f>
        <v>10.472727272727271</v>
      </c>
      <c r="P25" s="106">
        <f>PubMachineryTables!AL64</f>
        <v>1.879071180555556</v>
      </c>
      <c r="Q25" s="106">
        <f>(I$9+J$9+J25)/O25</f>
        <v>2.6573732562743073</v>
      </c>
      <c r="R25" s="106">
        <f>(K$9+K25)/O25</f>
        <v>93.913865291400512</v>
      </c>
      <c r="S25" s="106">
        <f>SUM(P25:R25)</f>
        <v>98.45030972823038</v>
      </c>
      <c r="T25" s="2"/>
    </row>
    <row r="26" spans="1:20" ht="21">
      <c r="A26" s="2"/>
      <c r="B26" s="11" t="str">
        <f>MachineryAssumptions!B25</f>
        <v>Fertilizer Injection System</v>
      </c>
      <c r="C26" s="77">
        <f>MachineryAssumptions!I25</f>
        <v>20</v>
      </c>
      <c r="D26" s="103">
        <f>MachineryAssumptions!C25</f>
        <v>2500</v>
      </c>
      <c r="E26" s="110">
        <f>PubMachineryTables!AK65</f>
        <v>0</v>
      </c>
      <c r="F26" s="112">
        <f>MachineryAssumptions!D25</f>
        <v>20</v>
      </c>
      <c r="G26" s="2"/>
      <c r="H26" s="11" t="str">
        <f>B26</f>
        <v>Fertilizer Injection System</v>
      </c>
      <c r="I26" s="106">
        <f>(PubMachineryTables!AB65*GeneralInputPrices!D$27)*1.15</f>
        <v>0</v>
      </c>
      <c r="J26" s="109">
        <f>PubMachineryTables!AF65</f>
        <v>0</v>
      </c>
      <c r="K26" s="109">
        <f>PubMachineryTables!AG65</f>
        <v>0</v>
      </c>
      <c r="L26" s="106">
        <f>SUM(I26:K26)</f>
        <v>0</v>
      </c>
      <c r="M26" s="2"/>
      <c r="N26" s="11" t="str">
        <f>H$8&amp;" &amp; Fertilizer Injection System"</f>
        <v>175 HP Tractor &amp; Fertilizer Injection System</v>
      </c>
      <c r="O26" s="106">
        <f>PubMachineryTables!AH65</f>
        <v>4.3636363636363633</v>
      </c>
      <c r="P26" s="106">
        <f>PubMachineryTables!AL65</f>
        <v>4.5097708333333344</v>
      </c>
      <c r="Q26" s="106">
        <f>(I$8+J$8+J26)/O26</f>
        <v>8.6427796306022397</v>
      </c>
      <c r="R26" s="106">
        <f>(K$8+K26)/O26</f>
        <v>31.788526065588609</v>
      </c>
      <c r="S26" s="106">
        <f>SUM(P26:R26)</f>
        <v>44.941076529524182</v>
      </c>
      <c r="T26" s="2"/>
    </row>
    <row r="27" spans="1:20" ht="21">
      <c r="A27" s="2"/>
      <c r="B27" s="76" t="str">
        <f>MachineryAssumptions!B26</f>
        <v>Boom Sprayer</v>
      </c>
      <c r="C27" s="114">
        <f>MachineryAssumptions!I26</f>
        <v>60</v>
      </c>
      <c r="D27" s="115">
        <f>MachineryAssumptions!C26</f>
        <v>9500</v>
      </c>
      <c r="E27" s="123">
        <f>PubMachineryTables!AK66</f>
        <v>25.686813186813186</v>
      </c>
      <c r="F27" s="128">
        <f>MachineryAssumptions!D26</f>
        <v>20</v>
      </c>
      <c r="G27" s="2"/>
      <c r="H27" s="76" t="str">
        <f>B27</f>
        <v>Boom Sprayer</v>
      </c>
      <c r="I27" s="107">
        <f>(PubMachineryTables!AB66*GeneralInputPrices!D$27)*1.15</f>
        <v>0</v>
      </c>
      <c r="J27" s="113">
        <f>PubMachineryTables!AF66</f>
        <v>3.1895508390838097</v>
      </c>
      <c r="K27" s="113">
        <f>PubMachineryTables!AG66</f>
        <v>42.465541397003101</v>
      </c>
      <c r="L27" s="107">
        <f>SUM(I27:K27)</f>
        <v>45.655092236086908</v>
      </c>
      <c r="M27" s="2"/>
      <c r="N27" s="76" t="str">
        <f>H$9&amp;" &amp; Boom Sprayer"</f>
        <v>125 HP Tractor &amp; Boom Sprayer</v>
      </c>
      <c r="O27" s="107">
        <f>PubMachineryTables!AH66</f>
        <v>16.545454545454547</v>
      </c>
      <c r="P27" s="107">
        <f>PubMachineryTables!AL66</f>
        <v>1.1893901098901098</v>
      </c>
      <c r="Q27" s="107">
        <f>(I$9+J$9+J27)/O27</f>
        <v>1.5996307048468115</v>
      </c>
      <c r="R27" s="107">
        <f>(K$9+K27)/O27</f>
        <v>9.6826493425933542</v>
      </c>
      <c r="S27" s="107">
        <f>SUM(P27:R27)</f>
        <v>12.471670157330276</v>
      </c>
      <c r="T27" s="2"/>
    </row>
    <row r="28" spans="1:20" ht="21">
      <c r="A28" s="2"/>
      <c r="B28" s="11" t="str">
        <f>MachineryAssumptions!B28</f>
        <v>Cotton Picker</v>
      </c>
      <c r="C28" s="77">
        <f>MachineryAssumptions!I28</f>
        <v>10</v>
      </c>
      <c r="D28" s="103">
        <f>MachineryAssumptions!C28</f>
        <v>75000</v>
      </c>
      <c r="E28" s="110">
        <f>PubMachineryTables!AK67</f>
        <v>0</v>
      </c>
      <c r="F28" s="112">
        <f>MachineryAssumptions!D28</f>
        <v>10</v>
      </c>
      <c r="G28" s="2"/>
      <c r="H28" s="11" t="str">
        <f t="shared" si="0"/>
        <v>Cotton Picker</v>
      </c>
      <c r="I28" s="106">
        <f>(PubMachineryTables!AB67*GeneralInputPrices!D$27)*1.15</f>
        <v>55.199999999999996</v>
      </c>
      <c r="J28" s="109">
        <f>PubMachineryTables!AF67</f>
        <v>0</v>
      </c>
      <c r="K28" s="109">
        <f>PubMachineryTables!AG67</f>
        <v>0</v>
      </c>
      <c r="L28" s="106">
        <f t="shared" si="1"/>
        <v>55.199999999999996</v>
      </c>
      <c r="M28" s="2"/>
      <c r="N28" s="11" t="str">
        <f>H28</f>
        <v>Cotton Picker</v>
      </c>
      <c r="O28" s="106">
        <f>PubMachineryTables!AH67</f>
        <v>2.6812121212121212</v>
      </c>
      <c r="P28" s="106">
        <f>PubMachineryTables!AL67</f>
        <v>7.3395908679927677</v>
      </c>
      <c r="Q28" s="106">
        <f>(J28+I28)/O28</f>
        <v>20.587703435804702</v>
      </c>
      <c r="R28" s="106">
        <f>(K28)/O28</f>
        <v>0</v>
      </c>
      <c r="S28" s="106">
        <f t="shared" si="2"/>
        <v>27.927294303797471</v>
      </c>
      <c r="T28" s="2"/>
    </row>
    <row r="29" spans="1:20" ht="21">
      <c r="A29" s="2"/>
      <c r="B29" s="11" t="str">
        <f>MachineryAssumptions!B29</f>
        <v>Module Unit</v>
      </c>
      <c r="C29" s="77">
        <f>MachineryAssumptions!I29</f>
        <v>10</v>
      </c>
      <c r="D29" s="103">
        <f>MachineryAssumptions!C29</f>
        <v>30000</v>
      </c>
      <c r="E29" s="110">
        <f>PubMachineryTables!AK68</f>
        <v>0</v>
      </c>
      <c r="F29" s="112">
        <f>MachineryAssumptions!D29</f>
        <v>15</v>
      </c>
      <c r="G29" s="2"/>
      <c r="H29" s="11" t="str">
        <f t="shared" ref="H29" si="3">B29</f>
        <v>Module Unit</v>
      </c>
      <c r="I29" s="106">
        <f>(PubMachineryTables!AB68*GeneralInputPrices!D$27)*1.15</f>
        <v>0</v>
      </c>
      <c r="J29" s="109">
        <f>PubMachineryTables!AF68</f>
        <v>0</v>
      </c>
      <c r="K29" s="109">
        <f>PubMachineryTables!AG68</f>
        <v>0</v>
      </c>
      <c r="L29" s="106">
        <f t="shared" ref="L29" si="4">SUM(I29:K29)</f>
        <v>0</v>
      </c>
      <c r="M29" s="2"/>
      <c r="N29" s="11" t="str">
        <f>H$9&amp;" &amp; Modular Unit"</f>
        <v>125 HP Tractor &amp; Modular Unit</v>
      </c>
      <c r="O29" s="106">
        <f>PubMachineryTables!AH68</f>
        <v>3.2557575757575759</v>
      </c>
      <c r="P29" s="106">
        <f>PubMachineryTables!AL68</f>
        <v>6.0443689501116911</v>
      </c>
      <c r="Q29" s="106">
        <f>(I$9+J$9+J29)/O29</f>
        <v>7.1495084433785685</v>
      </c>
      <c r="R29" s="106">
        <f>(K$8+K29)/O29</f>
        <v>42.605619447549884</v>
      </c>
      <c r="S29" s="106">
        <f t="shared" ref="S29" si="5">SUM(P29:R29)</f>
        <v>55.799496841040146</v>
      </c>
      <c r="T29" s="2"/>
    </row>
    <row r="30" spans="1:20" ht="21">
      <c r="A30" s="2"/>
      <c r="B30" s="11" t="str">
        <f>MachineryAssumptions!B30</f>
        <v>Haul Cotton</v>
      </c>
      <c r="C30" s="77">
        <f>MachineryAssumptions!I30</f>
        <v>10</v>
      </c>
      <c r="D30" s="103">
        <f>MachineryAssumptions!C30</f>
        <v>5500</v>
      </c>
      <c r="E30" s="110">
        <f>PubMachineryTables!AK69</f>
        <v>0</v>
      </c>
      <c r="F30" s="112">
        <f>MachineryAssumptions!D30</f>
        <v>15</v>
      </c>
      <c r="G30" s="2"/>
      <c r="H30" s="11" t="str">
        <f t="shared" si="0"/>
        <v>Haul Cotton</v>
      </c>
      <c r="I30" s="106">
        <f>(PubMachineryTables!AB69*GeneralInputPrices!D$27)*1.15</f>
        <v>0</v>
      </c>
      <c r="J30" s="109">
        <f>PubMachineryTables!AF69</f>
        <v>0</v>
      </c>
      <c r="K30" s="109">
        <f>PubMachineryTables!AG69</f>
        <v>0</v>
      </c>
      <c r="L30" s="106">
        <f t="shared" si="1"/>
        <v>0</v>
      </c>
      <c r="M30" s="2"/>
      <c r="N30" s="11" t="str">
        <f>H$9&amp;" &amp; Cotton Trailer"</f>
        <v>125 HP Tractor &amp; Cotton Trailer</v>
      </c>
      <c r="O30" s="106">
        <f>PubMachineryTables!AH69</f>
        <v>3.2557575757575759</v>
      </c>
      <c r="P30" s="106">
        <f>PubMachineryTables!AL69</f>
        <v>6.0443689501116911</v>
      </c>
      <c r="Q30" s="106">
        <f>(I$9+J$9+J30)/O30</f>
        <v>7.1495084433785685</v>
      </c>
      <c r="R30" s="106">
        <f>(K$9+K30)/O30</f>
        <v>36.163101963466765</v>
      </c>
      <c r="S30" s="106">
        <f t="shared" si="2"/>
        <v>49.356979356957027</v>
      </c>
      <c r="T30" s="2"/>
    </row>
    <row r="31" spans="1:20" ht="21">
      <c r="A31" s="2"/>
      <c r="B31" s="11" t="str">
        <f>MachineryAssumptions!B31</f>
        <v>Combine</v>
      </c>
      <c r="C31" s="77">
        <f>MachineryAssumptions!I31</f>
        <v>30</v>
      </c>
      <c r="D31" s="103">
        <f>MachineryAssumptions!C31</f>
        <v>180000</v>
      </c>
      <c r="E31" s="110">
        <f>PubMachineryTables!AK70</f>
        <v>12.132352941176471</v>
      </c>
      <c r="F31" s="112">
        <f>MachineryAssumptions!D31</f>
        <v>10</v>
      </c>
      <c r="G31" s="2"/>
      <c r="H31" s="11" t="str">
        <f t="shared" ref="H31:H37" si="6">B31</f>
        <v>Combine</v>
      </c>
      <c r="I31" s="106">
        <f>(PubMachineryTables!AB70*GeneralInputPrices!D$27)*1.15</f>
        <v>59.8</v>
      </c>
      <c r="J31" s="109">
        <f>PubMachineryTables!AF70</f>
        <v>0.70741137007519361</v>
      </c>
      <c r="K31" s="109">
        <f>PubMachineryTables!AG70</f>
        <v>1909.3729853620935</v>
      </c>
      <c r="L31" s="106">
        <f>SUM(I31:K31)</f>
        <v>1969.8803967321687</v>
      </c>
      <c r="M31" s="2"/>
      <c r="N31" s="11" t="str">
        <f>H31</f>
        <v>Combine</v>
      </c>
      <c r="O31" s="106">
        <f>PubMachineryTables!AH70</f>
        <v>12.363636363636363</v>
      </c>
      <c r="P31" s="106">
        <f>PubMachineryTables!AL70</f>
        <v>1.591683823529412</v>
      </c>
      <c r="Q31" s="106">
        <f>(J31+I31)/O31</f>
        <v>4.8939818019913757</v>
      </c>
      <c r="R31" s="106">
        <f>(K31)/O31</f>
        <v>154.43457969840463</v>
      </c>
      <c r="S31" s="106">
        <f>SUM(P31:R31)</f>
        <v>160.92024532392543</v>
      </c>
      <c r="T31" s="2"/>
    </row>
    <row r="32" spans="1:20" ht="21">
      <c r="A32" s="2"/>
      <c r="B32" s="11" t="str">
        <f>MachineryAssumptions!B32</f>
        <v>Grain Cart</v>
      </c>
      <c r="C32" s="77">
        <f>MachineryAssumptions!I32</f>
        <v>10</v>
      </c>
      <c r="D32" s="103">
        <f>MachineryAssumptions!C32</f>
        <v>18000</v>
      </c>
      <c r="E32" s="110">
        <f>PubMachineryTables!AK71</f>
        <v>12.132352941176471</v>
      </c>
      <c r="F32" s="112">
        <f>MachineryAssumptions!D32</f>
        <v>15</v>
      </c>
      <c r="G32" s="2"/>
      <c r="H32" s="11" t="str">
        <f t="shared" si="6"/>
        <v>Grain Cart</v>
      </c>
      <c r="I32" s="106">
        <f>(PubMachineryTables!AB71*GeneralInputPrices!D$27)*1.15</f>
        <v>0</v>
      </c>
      <c r="J32" s="109">
        <f>PubMachineryTables!AF71</f>
        <v>2.051336910505607</v>
      </c>
      <c r="K32" s="109">
        <f>PubMachineryTables!AG71</f>
        <v>173.94341061223665</v>
      </c>
      <c r="L32" s="106">
        <f>SUM(I32:K32)</f>
        <v>175.99474752274224</v>
      </c>
      <c r="M32" s="2"/>
      <c r="N32" s="11" t="str">
        <f>H$8&amp;" &amp; Grain Cart"</f>
        <v>175 HP Tractor &amp; Grain Cart</v>
      </c>
      <c r="O32" s="106">
        <f>PubMachineryTables!AH71</f>
        <v>12.363636363636363</v>
      </c>
      <c r="P32" s="106">
        <f>PubMachineryTables!AL71</f>
        <v>1.591683823529412</v>
      </c>
      <c r="Q32" s="106">
        <f>(I$8+J$8+J32)/O32</f>
        <v>3.2163097667975675</v>
      </c>
      <c r="R32" s="106">
        <f>(K$8+K32)/O32</f>
        <v>25.28843211678571</v>
      </c>
      <c r="S32" s="106">
        <f>SUM(P32:R32)</f>
        <v>30.09642570711269</v>
      </c>
      <c r="T32" s="2"/>
    </row>
    <row r="33" spans="1:42" ht="21">
      <c r="A33" s="2"/>
      <c r="B33" s="11" t="str">
        <f>MachineryAssumptions!B33</f>
        <v>Swather</v>
      </c>
      <c r="C33" s="77">
        <f>MachineryAssumptions!I33</f>
        <v>16</v>
      </c>
      <c r="D33" s="103">
        <f>MachineryAssumptions!C33</f>
        <v>75000</v>
      </c>
      <c r="E33" s="110">
        <f>PubMachineryTables!AK72</f>
        <v>0</v>
      </c>
      <c r="F33" s="112">
        <f>MachineryAssumptions!D33</f>
        <v>15</v>
      </c>
      <c r="G33" s="2"/>
      <c r="H33" s="11" t="str">
        <f t="shared" si="6"/>
        <v>Swather</v>
      </c>
      <c r="I33" s="106">
        <f>(PubMachineryTables!AB72*GeneralInputPrices!D$27)*1.15</f>
        <v>18.399999999999999</v>
      </c>
      <c r="J33" s="109">
        <f>PubMachineryTables!AF72</f>
        <v>0</v>
      </c>
      <c r="K33" s="109">
        <f>PubMachineryTables!AG72</f>
        <v>0</v>
      </c>
      <c r="L33" s="106">
        <f t="shared" si="1"/>
        <v>18.399999999999999</v>
      </c>
      <c r="M33" s="2"/>
      <c r="N33" s="11" t="str">
        <f>H33</f>
        <v>Swather</v>
      </c>
      <c r="O33" s="106">
        <f>PubMachineryTables!AH72</f>
        <v>9.0909090909090917</v>
      </c>
      <c r="P33" s="106">
        <f>PubMachineryTables!AL72</f>
        <v>2.1646900000000002</v>
      </c>
      <c r="Q33" s="106">
        <f>(J33+I33)/O33</f>
        <v>2.0239999999999996</v>
      </c>
      <c r="R33" s="106">
        <f>(K33)/O33</f>
        <v>0</v>
      </c>
      <c r="S33" s="106">
        <f t="shared" si="2"/>
        <v>4.1886899999999994</v>
      </c>
      <c r="T33" s="2"/>
    </row>
    <row r="34" spans="1:42" ht="24" customHeight="1">
      <c r="A34" s="2"/>
      <c r="B34" s="11" t="str">
        <f>MachineryAssumptions!B34</f>
        <v>Baler</v>
      </c>
      <c r="C34" s="77">
        <f>MachineryAssumptions!I34</f>
        <v>16</v>
      </c>
      <c r="D34" s="103">
        <f>MachineryAssumptions!C34</f>
        <v>120000</v>
      </c>
      <c r="E34" s="110">
        <f>PubMachineryTables!AK73</f>
        <v>0</v>
      </c>
      <c r="F34" s="112">
        <f>MachineryAssumptions!D34</f>
        <v>10</v>
      </c>
      <c r="G34" s="2"/>
      <c r="H34" s="11" t="str">
        <f t="shared" si="6"/>
        <v>Baler</v>
      </c>
      <c r="I34" s="106">
        <f>(PubMachineryTables!AB73*GeneralInputPrices!D$27)*1.15</f>
        <v>0</v>
      </c>
      <c r="J34" s="109">
        <f>PubMachineryTables!AF73</f>
        <v>0</v>
      </c>
      <c r="K34" s="109">
        <f>PubMachineryTables!AG73</f>
        <v>0</v>
      </c>
      <c r="L34" s="106">
        <f t="shared" si="1"/>
        <v>0</v>
      </c>
      <c r="M34" s="2"/>
      <c r="N34" s="11" t="str">
        <f>H$9&amp;" &amp; Baler"</f>
        <v>125 HP Tractor &amp; Baler</v>
      </c>
      <c r="O34" s="106">
        <f>PubMachineryTables!AH73</f>
        <v>5.8181818181818183</v>
      </c>
      <c r="P34" s="106">
        <f>PubMachineryTables!AL73</f>
        <v>3.3823281250000004</v>
      </c>
      <c r="Q34" s="106">
        <f>(I$9+J$9+J34)/O34</f>
        <v>4.0007457664405903</v>
      </c>
      <c r="R34" s="106">
        <f>(K$9+K34)/O34</f>
        <v>20.236269140389947</v>
      </c>
      <c r="S34" s="106">
        <f t="shared" si="2"/>
        <v>27.619343031830539</v>
      </c>
      <c r="T34" s="2"/>
    </row>
    <row r="35" spans="1:42" ht="21">
      <c r="A35" s="142" t="s">
        <v>6</v>
      </c>
      <c r="B35" s="11" t="str">
        <f>MachineryAssumptions!B35</f>
        <v>Swather</v>
      </c>
      <c r="C35" s="77">
        <f>MachineryAssumptions!I35</f>
        <v>16</v>
      </c>
      <c r="D35" s="103">
        <f>MachineryAssumptions!C35</f>
        <v>75000</v>
      </c>
      <c r="E35" s="110">
        <f>PubMachineryTables!AK74</f>
        <v>0</v>
      </c>
      <c r="F35" s="112">
        <f>MachineryAssumptions!D35</f>
        <v>7</v>
      </c>
      <c r="G35" s="2"/>
      <c r="H35" s="11" t="str">
        <f t="shared" si="6"/>
        <v>Swather</v>
      </c>
      <c r="I35" s="106">
        <f>(PubMachineryTables!AB74*GeneralInputPrices!D$27)*1.15</f>
        <v>18.399999999999999</v>
      </c>
      <c r="J35" s="109">
        <f>PubMachineryTables!AF74</f>
        <v>0</v>
      </c>
      <c r="K35" s="109">
        <f>PubMachineryTables!AG74</f>
        <v>0</v>
      </c>
      <c r="L35" s="106">
        <f t="shared" si="1"/>
        <v>18.399999999999999</v>
      </c>
      <c r="M35" s="2"/>
      <c r="N35" s="11" t="str">
        <f>H35</f>
        <v>Swather</v>
      </c>
      <c r="O35" s="106">
        <f>PubMachineryTables!AH74</f>
        <v>0.94545454545454555</v>
      </c>
      <c r="P35" s="106">
        <f>PubMachineryTables!AL74</f>
        <v>20.814326923076923</v>
      </c>
      <c r="Q35" s="106">
        <f>(J35+I35)/O35</f>
        <v>19.46153846153846</v>
      </c>
      <c r="R35" s="106">
        <f>(K35)/O35</f>
        <v>0</v>
      </c>
      <c r="S35" s="106">
        <f t="shared" si="2"/>
        <v>40.275865384615386</v>
      </c>
      <c r="T35" s="2"/>
    </row>
    <row r="36" spans="1:42" ht="21">
      <c r="A36" s="142" t="s">
        <v>6</v>
      </c>
      <c r="B36" s="11" t="str">
        <f>MachineryAssumptions!B36</f>
        <v>Baler</v>
      </c>
      <c r="C36" s="77">
        <f>MachineryAssumptions!I36</f>
        <v>16</v>
      </c>
      <c r="D36" s="103">
        <f>MachineryAssumptions!C36</f>
        <v>120000</v>
      </c>
      <c r="E36" s="110">
        <f>PubMachineryTables!AK75</f>
        <v>0</v>
      </c>
      <c r="F36" s="112">
        <f>MachineryAssumptions!D36</f>
        <v>5</v>
      </c>
      <c r="G36" s="2"/>
      <c r="H36" s="11" t="str">
        <f t="shared" si="6"/>
        <v>Baler</v>
      </c>
      <c r="I36" s="106">
        <f>(PubMachineryTables!AB75*GeneralInputPrices!D$27)*1.15</f>
        <v>0</v>
      </c>
      <c r="J36" s="109">
        <f>PubMachineryTables!AF75</f>
        <v>0</v>
      </c>
      <c r="K36" s="109">
        <f>PubMachineryTables!AG75</f>
        <v>0</v>
      </c>
      <c r="L36" s="106">
        <f t="shared" si="1"/>
        <v>0</v>
      </c>
      <c r="M36" s="2"/>
      <c r="N36" s="11" t="str">
        <f>H$9&amp;" &amp; Baler"</f>
        <v>125 HP Tractor &amp; Baler</v>
      </c>
      <c r="O36" s="106">
        <f>PubMachineryTables!AH75</f>
        <v>0.94545454545454555</v>
      </c>
      <c r="P36" s="106">
        <f>PubMachineryTables!AL75</f>
        <v>20.814326923076923</v>
      </c>
      <c r="Q36" s="106">
        <f>(I$9+J$9+J36)/O36</f>
        <v>24.619973947326709</v>
      </c>
      <c r="R36" s="106">
        <f>(K$9+K36)/O36</f>
        <v>124.53088701778427</v>
      </c>
      <c r="S36" s="106">
        <f t="shared" si="2"/>
        <v>169.9651878881879</v>
      </c>
      <c r="T36" s="2"/>
    </row>
    <row r="37" spans="1:42" ht="21">
      <c r="A37" s="2"/>
      <c r="B37" s="76" t="str">
        <f>MachineryAssumptions!B37</f>
        <v>Bale Wagon</v>
      </c>
      <c r="C37" s="114">
        <f>MachineryAssumptions!I37</f>
        <v>16</v>
      </c>
      <c r="D37" s="115">
        <f>MachineryAssumptions!C37</f>
        <v>8500</v>
      </c>
      <c r="E37" s="123">
        <f>PubMachineryTables!AK76</f>
        <v>0</v>
      </c>
      <c r="F37" s="128">
        <f>MachineryAssumptions!D37</f>
        <v>10</v>
      </c>
      <c r="G37" s="2"/>
      <c r="H37" s="76" t="str">
        <f t="shared" si="6"/>
        <v>Bale Wagon</v>
      </c>
      <c r="I37" s="107">
        <f>(PubMachineryTables!AB76*GeneralInputPrices!D$27)*1.15</f>
        <v>18.399999999999999</v>
      </c>
      <c r="J37" s="113">
        <f>PubMachineryTables!AF76</f>
        <v>0</v>
      </c>
      <c r="K37" s="113">
        <f>PubMachineryTables!AG76</f>
        <v>0</v>
      </c>
      <c r="L37" s="107">
        <f>SUM(I37:K37)</f>
        <v>18.399999999999999</v>
      </c>
      <c r="M37" s="2"/>
      <c r="N37" s="76" t="str">
        <f>H37</f>
        <v>Bale Wagon</v>
      </c>
      <c r="O37" s="107">
        <f>PubMachineryTables!AH76</f>
        <v>5.8181818181818183</v>
      </c>
      <c r="P37" s="107">
        <f>PubMachineryTables!AL76</f>
        <v>3.3823281250000004</v>
      </c>
      <c r="Q37" s="107">
        <f>(J37+I37)/O37</f>
        <v>3.1624999999999996</v>
      </c>
      <c r="R37" s="107">
        <f>(K37)/O37</f>
        <v>0</v>
      </c>
      <c r="S37" s="107">
        <f>SUM(P37:R37)</f>
        <v>6.5448281250000004</v>
      </c>
      <c r="T37" s="2"/>
    </row>
    <row r="38" spans="1:42">
      <c r="A38" s="2"/>
      <c r="B38" s="2"/>
      <c r="C38" s="2"/>
      <c r="D38" s="2"/>
      <c r="E38" s="2"/>
      <c r="F38" s="2"/>
      <c r="G38" s="2"/>
      <c r="H38" s="2"/>
      <c r="I38" s="2"/>
      <c r="J38" s="2"/>
      <c r="K38" s="2"/>
      <c r="L38" s="2"/>
      <c r="M38" s="2"/>
      <c r="N38" s="2"/>
      <c r="O38" s="2"/>
      <c r="P38" s="2"/>
      <c r="Q38" s="2"/>
      <c r="R38" s="2"/>
      <c r="S38" s="2"/>
      <c r="T38" s="2"/>
    </row>
    <row r="39" spans="1:42">
      <c r="A39" s="2"/>
      <c r="B39" s="2"/>
      <c r="C39" s="2"/>
      <c r="D39" s="2"/>
      <c r="E39" s="2"/>
      <c r="F39" s="2"/>
      <c r="G39" s="2"/>
      <c r="H39" s="2"/>
      <c r="I39" s="2"/>
      <c r="J39" s="2"/>
      <c r="K39" s="2"/>
      <c r="L39" s="2"/>
      <c r="M39" s="2"/>
      <c r="N39" s="2"/>
      <c r="O39" s="2"/>
      <c r="P39" s="2"/>
      <c r="Q39" s="2"/>
      <c r="R39" s="2"/>
      <c r="S39" s="2"/>
      <c r="T39" s="2"/>
    </row>
    <row r="40" spans="1:42">
      <c r="A40" s="2"/>
      <c r="B40" s="2"/>
      <c r="C40" s="2"/>
      <c r="D40" s="2"/>
      <c r="E40" s="2"/>
      <c r="F40" s="2"/>
      <c r="G40" s="2"/>
      <c r="H40" s="2"/>
      <c r="I40" s="2"/>
      <c r="J40" s="2"/>
      <c r="K40" s="2"/>
      <c r="L40" s="2"/>
      <c r="M40" s="2"/>
      <c r="N40" s="2"/>
      <c r="O40" s="2"/>
      <c r="P40" s="2"/>
      <c r="Q40" s="2"/>
      <c r="R40" s="2"/>
      <c r="S40" s="2"/>
      <c r="T40" s="2"/>
    </row>
    <row r="41" spans="1:42">
      <c r="A41" s="2"/>
      <c r="B41" s="2"/>
      <c r="C41" s="2"/>
      <c r="D41" s="2"/>
      <c r="E41" s="2"/>
      <c r="F41" s="2"/>
      <c r="G41" s="2"/>
      <c r="H41" s="2"/>
      <c r="I41" s="2"/>
      <c r="J41" s="2"/>
      <c r="K41" s="2"/>
      <c r="L41" s="2"/>
      <c r="M41" s="2"/>
      <c r="N41" s="2"/>
      <c r="O41" s="2"/>
      <c r="P41" s="2"/>
      <c r="Q41" s="2"/>
      <c r="R41" s="2"/>
      <c r="S41" s="2"/>
      <c r="T41" s="2"/>
    </row>
    <row r="42" spans="1:42">
      <c r="A42" s="2"/>
      <c r="B42" s="2"/>
      <c r="C42" s="2"/>
      <c r="D42" s="2"/>
      <c r="E42" s="2"/>
      <c r="F42" s="2"/>
      <c r="G42" s="2"/>
      <c r="H42" s="2"/>
      <c r="I42" s="2"/>
      <c r="J42" s="2"/>
      <c r="K42" s="2"/>
      <c r="L42" s="2"/>
      <c r="M42" s="2"/>
      <c r="N42" s="2"/>
      <c r="O42" s="2"/>
      <c r="P42" s="2"/>
      <c r="Q42" s="2"/>
      <c r="R42" s="2"/>
      <c r="S42" s="2"/>
      <c r="T42" s="2"/>
      <c r="U42" s="137" t="s">
        <v>424</v>
      </c>
      <c r="V42" s="137" t="s">
        <v>419</v>
      </c>
      <c r="W42" s="137"/>
      <c r="X42" s="137"/>
      <c r="Y42" s="137"/>
      <c r="Z42" s="137"/>
      <c r="AA42" s="137"/>
      <c r="AB42" s="137"/>
      <c r="AC42" s="137"/>
      <c r="AD42" s="137"/>
      <c r="AE42" s="137"/>
      <c r="AF42" s="137"/>
      <c r="AG42" s="137"/>
      <c r="AH42" s="137"/>
      <c r="AI42" s="137"/>
      <c r="AJ42" s="137"/>
      <c r="AK42" s="137"/>
      <c r="AL42" s="137" t="s">
        <v>420</v>
      </c>
      <c r="AM42" s="137" t="s">
        <v>421</v>
      </c>
      <c r="AN42" s="137" t="s">
        <v>422</v>
      </c>
      <c r="AO42" s="137" t="s">
        <v>423</v>
      </c>
    </row>
    <row r="43" spans="1:42" ht="15.6">
      <c r="A43" s="2"/>
      <c r="B43" s="2"/>
      <c r="C43" s="2"/>
      <c r="D43" s="2"/>
      <c r="E43" s="2"/>
      <c r="F43" s="2"/>
      <c r="G43" s="2"/>
      <c r="H43" s="2"/>
      <c r="I43" s="2"/>
      <c r="J43" s="2"/>
      <c r="K43" s="2"/>
      <c r="L43" s="2"/>
      <c r="M43" s="2"/>
      <c r="N43" s="2"/>
      <c r="O43" s="2"/>
      <c r="P43" s="2"/>
      <c r="Q43" s="2"/>
      <c r="R43" s="2"/>
      <c r="S43" s="2"/>
      <c r="T43" s="2"/>
      <c r="W43" s="38"/>
      <c r="X43" s="38"/>
      <c r="Y43" s="38"/>
      <c r="Z43" s="38"/>
      <c r="AA43" s="38"/>
      <c r="AB43" s="38"/>
      <c r="AC43" s="38"/>
      <c r="AD43" s="38"/>
      <c r="AE43" s="38"/>
      <c r="AF43" s="38"/>
      <c r="AG43" s="569" t="s">
        <v>128</v>
      </c>
      <c r="AH43" s="39"/>
      <c r="AI43" s="39"/>
      <c r="AJ43" s="39"/>
      <c r="AK43" s="39"/>
      <c r="AL43" s="40"/>
      <c r="AM43" s="567" t="s">
        <v>36</v>
      </c>
      <c r="AN43" s="567"/>
      <c r="AO43" s="567"/>
    </row>
    <row r="44" spans="1:42" ht="15.6">
      <c r="A44" s="2"/>
      <c r="B44" s="2"/>
      <c r="C44" s="2"/>
      <c r="D44" s="2"/>
      <c r="E44" s="2"/>
      <c r="F44" s="2"/>
      <c r="G44" s="2"/>
      <c r="M44" s="2"/>
      <c r="N44" s="2"/>
      <c r="O44" s="2"/>
      <c r="P44" s="2"/>
      <c r="Q44" s="2"/>
      <c r="R44" s="2"/>
      <c r="S44" s="2"/>
      <c r="T44" s="2"/>
      <c r="V44" s="36"/>
      <c r="W44" s="36" t="s">
        <v>37</v>
      </c>
      <c r="X44" s="36"/>
      <c r="Y44" s="36"/>
      <c r="Z44" s="36"/>
      <c r="AA44" s="36"/>
      <c r="AB44" s="41" t="s">
        <v>38</v>
      </c>
      <c r="AC44" s="36"/>
      <c r="AD44" s="36"/>
      <c r="AE44" s="36"/>
      <c r="AF44" s="41" t="s">
        <v>39</v>
      </c>
      <c r="AG44" s="569"/>
      <c r="AH44" s="36" t="s">
        <v>40</v>
      </c>
      <c r="AI44" s="36" t="s">
        <v>40</v>
      </c>
      <c r="AJ44" s="42"/>
      <c r="AK44" s="43" t="s">
        <v>55</v>
      </c>
      <c r="AL44" s="44" t="s">
        <v>41</v>
      </c>
      <c r="AM44" s="44" t="s">
        <v>72</v>
      </c>
      <c r="AN44" s="44" t="s">
        <v>42</v>
      </c>
      <c r="AO44" s="44" t="s">
        <v>43</v>
      </c>
    </row>
    <row r="45" spans="1:42" ht="15.6">
      <c r="A45" s="2"/>
      <c r="B45" s="2"/>
      <c r="C45" s="2"/>
      <c r="D45" s="2"/>
      <c r="E45" s="2"/>
      <c r="F45" s="2"/>
      <c r="G45" s="2"/>
      <c r="M45" s="2"/>
      <c r="N45" s="2"/>
      <c r="O45" s="2"/>
      <c r="P45" s="2"/>
      <c r="Q45" s="2"/>
      <c r="R45" s="2"/>
      <c r="S45" s="2"/>
      <c r="T45" s="2"/>
      <c r="V45" s="45"/>
      <c r="W45" s="46" t="s">
        <v>45</v>
      </c>
      <c r="X45" s="46" t="s">
        <v>46</v>
      </c>
      <c r="Y45" s="568" t="s">
        <v>47</v>
      </c>
      <c r="Z45" s="568"/>
      <c r="AA45" s="46" t="s">
        <v>48</v>
      </c>
      <c r="AB45" s="46" t="s">
        <v>49</v>
      </c>
      <c r="AC45" s="47" t="s">
        <v>50</v>
      </c>
      <c r="AD45" s="47" t="s">
        <v>51</v>
      </c>
      <c r="AE45" s="46" t="s">
        <v>2</v>
      </c>
      <c r="AF45" s="46" t="s">
        <v>52</v>
      </c>
      <c r="AG45" s="46" t="s">
        <v>53</v>
      </c>
      <c r="AH45" s="48" t="s">
        <v>35</v>
      </c>
      <c r="AI45" s="49" t="s">
        <v>54</v>
      </c>
      <c r="AJ45" s="43" t="s">
        <v>9</v>
      </c>
      <c r="AK45" s="43"/>
      <c r="AL45" s="43" t="s">
        <v>56</v>
      </c>
      <c r="AM45" s="43" t="s">
        <v>56</v>
      </c>
      <c r="AN45" s="43" t="s">
        <v>56</v>
      </c>
      <c r="AO45" s="43" t="s">
        <v>56</v>
      </c>
    </row>
    <row r="46" spans="1:42" ht="15.6">
      <c r="A46" s="2"/>
      <c r="B46" s="2"/>
      <c r="C46" s="2"/>
      <c r="D46" s="2"/>
      <c r="E46" s="2"/>
      <c r="F46" s="2"/>
      <c r="G46" s="2"/>
      <c r="M46" s="2"/>
      <c r="N46" s="2"/>
      <c r="O46" s="2"/>
      <c r="P46" s="2"/>
      <c r="Q46" s="2"/>
      <c r="R46" s="2"/>
      <c r="S46" s="2"/>
      <c r="T46" s="2"/>
      <c r="V46" s="50" t="s">
        <v>8</v>
      </c>
      <c r="W46" s="46"/>
      <c r="X46" s="46"/>
      <c r="Y46" s="80" t="s">
        <v>125</v>
      </c>
      <c r="Z46" s="80" t="s">
        <v>126</v>
      </c>
      <c r="AA46" s="46"/>
      <c r="AB46" s="46"/>
      <c r="AC46" s="47"/>
      <c r="AD46" s="47"/>
      <c r="AE46" s="46"/>
      <c r="AF46" s="46"/>
      <c r="AG46" s="46"/>
      <c r="AH46" s="48"/>
      <c r="AI46" s="49"/>
      <c r="AJ46" s="51"/>
      <c r="AK46" s="51"/>
      <c r="AL46" s="43"/>
      <c r="AM46" s="43"/>
      <c r="AN46" s="43"/>
      <c r="AO46" s="43"/>
    </row>
    <row r="47" spans="1:42" ht="15" customHeight="1">
      <c r="A47" s="2"/>
      <c r="B47" s="2"/>
      <c r="C47" s="2"/>
      <c r="D47" s="2"/>
      <c r="E47" s="2"/>
      <c r="F47" s="2"/>
      <c r="G47" s="2"/>
      <c r="M47" s="2"/>
      <c r="N47" s="2"/>
      <c r="O47" s="2"/>
      <c r="P47" s="2"/>
      <c r="Q47" s="2"/>
      <c r="R47" s="2"/>
      <c r="S47" s="2"/>
      <c r="T47" s="2"/>
      <c r="V47" s="177" t="str">
        <f>MachineryAssumptions!B5</f>
        <v>175 HP Tractor</v>
      </c>
      <c r="W47" s="177">
        <f>MachineryAssumptions!C5</f>
        <v>180000</v>
      </c>
      <c r="X47" s="180">
        <f>MachineryAssumptions!D5</f>
        <v>10</v>
      </c>
      <c r="Y47" s="183">
        <f>MachineryAssumptions!E5</f>
        <v>3.0000000000000001E-3</v>
      </c>
      <c r="Z47" s="173">
        <f>MachineryAssumptions!F5</f>
        <v>2</v>
      </c>
      <c r="AA47" s="184">
        <f>MachineryAssumptions!G5</f>
        <v>0.19139999999999999</v>
      </c>
      <c r="AB47" s="173">
        <f>MachineryAssumptions!H5</f>
        <v>8</v>
      </c>
      <c r="AC47" s="177" t="str">
        <f>MachineryAssumptions!I5</f>
        <v>N/A</v>
      </c>
      <c r="AD47" s="173">
        <f>MachineryAssumptions!J5</f>
        <v>0</v>
      </c>
      <c r="AE47" s="173">
        <f>MachineryAssumptions!K5</f>
        <v>0</v>
      </c>
      <c r="AF47" s="220">
        <f t="shared" ref="AF47:AF52" si="7">IF(AK47=0,0,(W47*(((Y47*(((AK47*X47)/1000))^Z47))/X47))/AK47)</f>
        <v>0.91394747899159667</v>
      </c>
      <c r="AG47" s="220">
        <f>IF(AK47=0,0,(((((W47-(W47*AA47))*(GeneralInputPrices!$D$36))/(1-((1+GeneralInputPrices!$D$36)^(-X47))))+((W47*AA47)*(1+GeneralInputPrices!$D$36)^X47)*GeneralInputPrices!$D$36)/AK47))</f>
        <v>138.71356828620483</v>
      </c>
      <c r="AH47" s="221" t="s">
        <v>58</v>
      </c>
      <c r="AI47" s="222">
        <f>AI49+AI50+AI52+AI53+AI54+AI55+AI57+AI58+AI60+AI67+AI71+AI65</f>
        <v>788.75</v>
      </c>
      <c r="AJ47" s="53">
        <v>1</v>
      </c>
      <c r="AK47" s="223">
        <f>AK49+AK50+AK52+AK53+AK54+AK57+AK58+AK60+AK55+AK71+AK65+AK63</f>
        <v>169.24953314659197</v>
      </c>
      <c r="AL47" s="54"/>
      <c r="AM47" s="54"/>
      <c r="AN47" s="81" t="s">
        <v>10</v>
      </c>
      <c r="AO47" s="81" t="s">
        <v>10</v>
      </c>
      <c r="AP47" t="s">
        <v>368</v>
      </c>
    </row>
    <row r="48" spans="1:42" ht="15.6">
      <c r="A48" s="2"/>
      <c r="B48" s="2"/>
      <c r="C48" s="2"/>
      <c r="D48" s="2"/>
      <c r="E48" s="2"/>
      <c r="F48" s="2"/>
      <c r="G48" s="2"/>
      <c r="M48" s="2"/>
      <c r="N48" s="2"/>
      <c r="O48" s="2"/>
      <c r="P48" s="2"/>
      <c r="Q48" s="2"/>
      <c r="R48" s="2"/>
      <c r="S48" s="2"/>
      <c r="T48" s="2"/>
      <c r="V48" s="177" t="str">
        <f>MachineryAssumptions!B6</f>
        <v>125 HP Tractor</v>
      </c>
      <c r="W48" s="177">
        <f>MachineryAssumptions!C6</f>
        <v>80000</v>
      </c>
      <c r="X48" s="180">
        <f>MachineryAssumptions!D6</f>
        <v>15</v>
      </c>
      <c r="Y48" s="183">
        <f>MachineryAssumptions!E6</f>
        <v>3.0000000000000001E-3</v>
      </c>
      <c r="Z48" s="173">
        <f>MachineryAssumptions!F6</f>
        <v>2</v>
      </c>
      <c r="AA48" s="184">
        <f>MachineryAssumptions!G6</f>
        <v>0.25240000000000001</v>
      </c>
      <c r="AB48" s="173">
        <f>MachineryAssumptions!H6</f>
        <v>5</v>
      </c>
      <c r="AC48" s="177" t="str">
        <f>MachineryAssumptions!I6</f>
        <v>N/A</v>
      </c>
      <c r="AD48" s="173">
        <f>MachineryAssumptions!J6</f>
        <v>0</v>
      </c>
      <c r="AE48" s="173">
        <f>MachineryAssumptions!K6</f>
        <v>0</v>
      </c>
      <c r="AF48" s="220">
        <f t="shared" si="7"/>
        <v>0.27706627747252743</v>
      </c>
      <c r="AG48" s="220">
        <f>IF(AK48=0,0,(((((W48-(W48*AA48))*(GeneralInputPrices!$D$36))/(1-((1+GeneralInputPrices!$D$36)^(-X48))))+((W48*AA48)*(1+GeneralInputPrices!$D$36)^X48)*GeneralInputPrices!$D$36)/AK48))</f>
        <v>117.7382931804506</v>
      </c>
      <c r="AH48" s="221" t="s">
        <v>58</v>
      </c>
      <c r="AI48" s="222">
        <f>(AI51+AI56+AI61+AI62+AI69+AI59+AI73+AI75+AI64+AI66)</f>
        <v>650</v>
      </c>
      <c r="AJ48" s="53">
        <v>2</v>
      </c>
      <c r="AK48" s="223">
        <f>AK51+AK56+AK61+AK62+AK68+AK69+AK59+AK73+AK75+AK64+AK66+AK63</f>
        <v>76.962854853479854</v>
      </c>
      <c r="AL48" s="54"/>
      <c r="AM48" s="54"/>
      <c r="AN48" s="81" t="s">
        <v>10</v>
      </c>
      <c r="AO48" s="81" t="s">
        <v>10</v>
      </c>
    </row>
    <row r="49" spans="1:42" ht="15.6">
      <c r="A49" s="2"/>
      <c r="B49" s="2"/>
      <c r="C49" s="2"/>
      <c r="D49" s="2"/>
      <c r="E49" s="2"/>
      <c r="F49" s="2"/>
      <c r="G49" s="2"/>
      <c r="M49" s="2"/>
      <c r="N49" s="2"/>
      <c r="O49" s="2"/>
      <c r="P49" s="2"/>
      <c r="Q49" s="2"/>
      <c r="R49" s="2"/>
      <c r="S49" s="2"/>
      <c r="T49" s="2"/>
      <c r="U49" s="158">
        <v>49</v>
      </c>
      <c r="V49" s="177" t="str">
        <f>MachineryAssumptions!B8</f>
        <v>V-Ripper</v>
      </c>
      <c r="W49" s="177">
        <f>MachineryAssumptions!C8</f>
        <v>22000</v>
      </c>
      <c r="X49" s="180">
        <f>MachineryAssumptions!D8</f>
        <v>10</v>
      </c>
      <c r="Y49" s="173">
        <f>MachineryAssumptions!E8</f>
        <v>0.28000000000000003</v>
      </c>
      <c r="Z49" s="173">
        <f>MachineryAssumptions!F8</f>
        <v>1</v>
      </c>
      <c r="AA49" s="184">
        <f>MachineryAssumptions!G8</f>
        <v>0.22963</v>
      </c>
      <c r="AB49" s="173">
        <f>MachineryAssumptions!H8</f>
        <v>0</v>
      </c>
      <c r="AC49" s="173">
        <f>MachineryAssumptions!I8</f>
        <v>8</v>
      </c>
      <c r="AD49" s="173">
        <f>MachineryAssumptions!J8</f>
        <v>2</v>
      </c>
      <c r="AE49" s="173">
        <f>MachineryAssumptions!K8</f>
        <v>75</v>
      </c>
      <c r="AF49" s="52">
        <f t="shared" si="7"/>
        <v>6.16</v>
      </c>
      <c r="AG49" s="52">
        <f>IF(AK49=0,0,(((((W49-(W49*AA49))*(GeneralInputPrices!$D$36))/(1-((1+GeneralInputPrices!$D$36)^(-X49))))+((W49*AA49)*(1+GeneralInputPrices!$D$36)^X49)*GeneralInputPrices!$D$36)/AK49))</f>
        <v>165.55845167061136</v>
      </c>
      <c r="AH49" s="56">
        <f t="shared" ref="AH49:AH54" si="8">(AC49*AD49*((AE49/100)))/8.25</f>
        <v>1.4545454545454546</v>
      </c>
      <c r="AI49" s="54">
        <f>((TillageOperations!$C$4*TillageOperations!$C7)+(TillageOperations!$D$4*TillageOperations!$D7)+(TillageOperations!$E$4*TillageOperations!$E7)+(TillageOperations!$F$4*TillageOperations!$F7)+(TillageOperations!$G$4*TillageOperations!$G7)+(TillageOperations!$H$4*TillageOperations!$H7)+(TillageOperations!$I$4*TillageOperations!$I7)+(TillageOperations!$J$4*TillageOperations!$J7)+(TillageOperations!$K$4*TillageOperations!$K7)+(TillageOperations!$L$4*TillageOperations!$L7)+(TillageOperations!$M$4*TillageOperations!$M7)+(TillageOperations!$N$4*TillageOperations!$N7)+(TillageOperations!$O$4*TillageOperations!$O7)+(TillageOperations!$P$4*TillageOperations!$P7)+(TillageOperations!$Q$4*TillageOperations!$Q7)+(TillageOperations!$R$4*TillageOperations!$R7)+(TillageOperations!$S$4*TillageOperations!$S7)+(TillageOperations!$T$4*TillageOperations!$T7)+(TillageOperations!$U$4*TillageOperations!$U7))</f>
        <v>25</v>
      </c>
      <c r="AJ49" s="57">
        <v>1</v>
      </c>
      <c r="AK49" s="54">
        <f t="shared" ref="AK49:AK54" si="9">AI49/AH49</f>
        <v>17.1875</v>
      </c>
      <c r="AL49" s="55">
        <f>(GeneralInputPrices!$D$29*1.1)/AH49</f>
        <v>13.529312500000001</v>
      </c>
      <c r="AM49" s="55">
        <f>(GeneralInputPrices!$D$27*$AB$47*1.15)/AH49</f>
        <v>25.299999999999997</v>
      </c>
      <c r="AN49" s="55">
        <f>IF(AI49=0,0,((AF49+AF47)/AH49))</f>
        <v>4.8633388918067224</v>
      </c>
      <c r="AO49" s="55">
        <f>IF(AI49=0,0,((AG49+AG47)/AH49))</f>
        <v>209.18701372031111</v>
      </c>
    </row>
    <row r="50" spans="1:42" ht="15.6">
      <c r="A50" s="2"/>
      <c r="B50" s="2"/>
      <c r="C50" s="2"/>
      <c r="D50" s="2"/>
      <c r="E50" s="2"/>
      <c r="F50" s="2"/>
      <c r="G50" s="2"/>
      <c r="M50" s="2"/>
      <c r="N50" s="2"/>
      <c r="O50" s="2"/>
      <c r="P50" s="2"/>
      <c r="Q50" s="2"/>
      <c r="R50" s="2"/>
      <c r="S50" s="2"/>
      <c r="T50" s="2"/>
      <c r="U50" s="158">
        <v>50</v>
      </c>
      <c r="V50" s="177" t="str">
        <f>MachineryAssumptions!B9</f>
        <v>Offset Disk</v>
      </c>
      <c r="W50" s="177">
        <f>MachineryAssumptions!C9</f>
        <v>30000</v>
      </c>
      <c r="X50" s="180">
        <f>MachineryAssumptions!D9</f>
        <v>15</v>
      </c>
      <c r="Y50" s="173">
        <f>MachineryAssumptions!E9</f>
        <v>0.18</v>
      </c>
      <c r="Z50" s="173">
        <f>MachineryAssumptions!F9</f>
        <v>1</v>
      </c>
      <c r="AA50" s="184">
        <f>MachineryAssumptions!G9</f>
        <v>0.21759999999999999</v>
      </c>
      <c r="AB50" s="173">
        <f>MachineryAssumptions!H9</f>
        <v>0</v>
      </c>
      <c r="AC50" s="173">
        <f>MachineryAssumptions!I9</f>
        <v>18</v>
      </c>
      <c r="AD50" s="173">
        <f>MachineryAssumptions!J9</f>
        <v>2.5499999999999998</v>
      </c>
      <c r="AE50" s="173">
        <f>MachineryAssumptions!K9</f>
        <v>75</v>
      </c>
      <c r="AF50" s="52">
        <f t="shared" si="7"/>
        <v>5.4</v>
      </c>
      <c r="AG50" s="52">
        <f>IF(AK50=0,0,(((((W50-(W50*AA50))*(GeneralInputPrices!$D$36))/(1-((1+GeneralInputPrices!$D$36)^(-X50))))+((W50*AA50)*(1+GeneralInputPrices!$D$36)^X50)*GeneralInputPrices!$D$36)/AK50))</f>
        <v>38.491483712896333</v>
      </c>
      <c r="AH50" s="56">
        <f t="shared" si="8"/>
        <v>4.172727272727272</v>
      </c>
      <c r="AI50" s="54">
        <f>((TillageOperations!$C$4*TillageOperations!$C8)+(TillageOperations!$D$4*TillageOperations!$D8)+(TillageOperations!$E$4*TillageOperations!$E8)+(TillageOperations!$F$4*TillageOperations!$F8)+(TillageOperations!$G$4*TillageOperations!$G8)+(TillageOperations!$H$4*TillageOperations!$H8)+(TillageOperations!$I$4*TillageOperations!$I8)+(TillageOperations!$J$4*TillageOperations!$J8)+(TillageOperations!$K$4*TillageOperations!$K8)+(TillageOperations!$L$4*TillageOperations!$L8)+(TillageOperations!$M$4*TillageOperations!$M8)+(TillageOperations!$N$4*TillageOperations!$N8)+(TillageOperations!$O$4*TillageOperations!$O8)+(TillageOperations!$P$4*TillageOperations!$P8)+(TillageOperations!$Q$4*TillageOperations!$Q8)+(TillageOperations!$R$4*TillageOperations!$R8)+(TillageOperations!$S$4*TillageOperations!$S8)+(TillageOperations!$T$4*TillageOperations!$T8)+(TillageOperations!$U$4*TillageOperations!$U8))</f>
        <v>363.75</v>
      </c>
      <c r="AJ50" s="57">
        <v>1</v>
      </c>
      <c r="AK50" s="54">
        <f t="shared" si="9"/>
        <v>87.173202614379107</v>
      </c>
      <c r="AL50" s="55">
        <f>(GeneralInputPrices!$D$29*1.1)/AH50</f>
        <v>4.7161002178649252</v>
      </c>
      <c r="AM50" s="55">
        <f>(GeneralInputPrices!$D$27*$AB$47*1.15)/AH50</f>
        <v>8.8191721132897616</v>
      </c>
      <c r="AN50" s="55">
        <f>IF(AI50=0,0,(AF50+AF47)/AH50)</f>
        <v>1.513146454660296</v>
      </c>
      <c r="AO50" s="55">
        <f>IF(AI50=0,0,((AG50+AG47)/AH50))</f>
        <v>42.467441655558019</v>
      </c>
    </row>
    <row r="51" spans="1:42" ht="15.6">
      <c r="A51" s="2"/>
      <c r="B51" s="2"/>
      <c r="C51" s="2"/>
      <c r="D51" s="2"/>
      <c r="E51" s="2"/>
      <c r="F51" s="2"/>
      <c r="G51" s="2"/>
      <c r="M51" s="2"/>
      <c r="U51" s="158">
        <v>51</v>
      </c>
      <c r="V51" s="177" t="str">
        <f>MachineryAssumptions!B10</f>
        <v>Drag</v>
      </c>
      <c r="W51" s="177">
        <f>MachineryAssumptions!C10</f>
        <v>7000</v>
      </c>
      <c r="X51" s="180">
        <f>MachineryAssumptions!D10</f>
        <v>15</v>
      </c>
      <c r="Y51" s="173">
        <f>MachineryAssumptions!E10</f>
        <v>0.27</v>
      </c>
      <c r="Z51" s="173">
        <f>MachineryAssumptions!F10</f>
        <v>1</v>
      </c>
      <c r="AA51" s="184">
        <f>MachineryAssumptions!G10</f>
        <v>0.21759999999999999</v>
      </c>
      <c r="AB51" s="173">
        <f>MachineryAssumptions!H10</f>
        <v>0</v>
      </c>
      <c r="AC51" s="173">
        <f>MachineryAssumptions!I10</f>
        <v>18</v>
      </c>
      <c r="AD51" s="173">
        <f>MachineryAssumptions!J10</f>
        <v>5</v>
      </c>
      <c r="AE51" s="173">
        <f>MachineryAssumptions!K10</f>
        <v>85</v>
      </c>
      <c r="AF51" s="52">
        <f t="shared" si="7"/>
        <v>0</v>
      </c>
      <c r="AG51" s="52">
        <f>IF(AK51=0,0,(((((W51-(W51*AA51))*(GeneralInputPrices!$D$36))/(1-((1+GeneralInputPrices!$D$36)^(-X51))))+((W51*AA51)*(1+GeneralInputPrices!$D$36)^X51)*GeneralInputPrices!$D$36)/AK51))</f>
        <v>0</v>
      </c>
      <c r="AH51" s="58">
        <f t="shared" si="8"/>
        <v>9.2727272727272734</v>
      </c>
      <c r="AI51" s="54">
        <f>((TillageOperations!$C$4*TillageOperations!$C9)+(TillageOperations!$D$4*TillageOperations!$D9)+(TillageOperations!$E$4*TillageOperations!$E9)+(TillageOperations!$F$4*TillageOperations!$F9)+(TillageOperations!$G$4*TillageOperations!$G9)+(TillageOperations!$H$4*TillageOperations!$H9)+(TillageOperations!$I$4*TillageOperations!$I9)+(TillageOperations!$J$4*TillageOperations!$J9)+(TillageOperations!$K$4*TillageOperations!$K9)+(TillageOperations!$L$4*TillageOperations!$L9)+(TillageOperations!$M$4*TillageOperations!$M9)+(TillageOperations!$N$4*TillageOperations!$N9)+(TillageOperations!$O$4*TillageOperations!$O9)+(TillageOperations!$P$4*TillageOperations!$P9)+(TillageOperations!$Q$4*TillageOperations!$Q9)+(TillageOperations!$R$4*TillageOperations!$R9)+(TillageOperations!$S$4*TillageOperations!$S9)+(TillageOperations!$T$4*TillageOperations!$T9)+(TillageOperations!$U$4*TillageOperations!$U9))</f>
        <v>0</v>
      </c>
      <c r="AJ51" s="53">
        <v>2</v>
      </c>
      <c r="AK51" s="54">
        <f t="shared" si="9"/>
        <v>0</v>
      </c>
      <c r="AL51" s="55">
        <f>(GeneralInputPrices!$D$29*1.1)/AH51</f>
        <v>2.1222450980392158</v>
      </c>
      <c r="AM51" s="55">
        <f>(GeneralInputPrices!$D$27*$AB$48*1.15)/AH51</f>
        <v>2.4803921568627447</v>
      </c>
      <c r="AN51" s="55">
        <f>IF(AI51=0,0,(AF51+AF48)/AH51)</f>
        <v>0</v>
      </c>
      <c r="AO51" s="55">
        <f>IF(AI51=0,0,((AG51+AG48)/AH51))</f>
        <v>0</v>
      </c>
    </row>
    <row r="52" spans="1:42" ht="15.6">
      <c r="A52" s="2"/>
      <c r="B52" s="2"/>
      <c r="C52" s="2"/>
      <c r="D52" s="2"/>
      <c r="E52" s="2"/>
      <c r="F52" s="2"/>
      <c r="G52" s="2"/>
      <c r="M52" s="2"/>
      <c r="U52" s="158">
        <v>52</v>
      </c>
      <c r="V52" s="177" t="str">
        <f>MachineryAssumptions!B11</f>
        <v>Chisel</v>
      </c>
      <c r="W52" s="177">
        <f>MachineryAssumptions!C11</f>
        <v>17000</v>
      </c>
      <c r="X52" s="180">
        <f>MachineryAssumptions!D11</f>
        <v>15</v>
      </c>
      <c r="Y52" s="173">
        <f>MachineryAssumptions!E11</f>
        <v>0.28000000000000003</v>
      </c>
      <c r="Z52" s="173">
        <f>MachineryAssumptions!F11</f>
        <v>1</v>
      </c>
      <c r="AA52" s="184">
        <f>MachineryAssumptions!G11</f>
        <v>0.21759999999999999</v>
      </c>
      <c r="AB52" s="173">
        <f>MachineryAssumptions!H11</f>
        <v>0</v>
      </c>
      <c r="AC52" s="173">
        <f>MachineryAssumptions!I11</f>
        <v>8</v>
      </c>
      <c r="AD52" s="173">
        <f>MachineryAssumptions!J11</f>
        <v>6</v>
      </c>
      <c r="AE52" s="173">
        <f>MachineryAssumptions!K11</f>
        <v>85</v>
      </c>
      <c r="AF52" s="52">
        <f t="shared" si="7"/>
        <v>4.76</v>
      </c>
      <c r="AG52" s="52">
        <f>IF(AK52=0,0,(((((W52-(W52*AA52))*(GeneralInputPrices!$D$36))/(1-((1+GeneralInputPrices!$D$36)^(-X52))))+((W52*AA52)*(1+GeneralInputPrices!$D$36)^X52)*GeneralInputPrices!$D$36)/AK52))</f>
        <v>62.688846066731919</v>
      </c>
      <c r="AH52" s="58">
        <f t="shared" si="8"/>
        <v>4.9454545454545453</v>
      </c>
      <c r="AI52" s="54">
        <f>((TillageOperations!$C$4*TillageOperations!$C10)+(TillageOperations!$D$4*TillageOperations!$D10)+(TillageOperations!$E$4*TillageOperations!$E10)+(TillageOperations!$F$4*TillageOperations!$F10)+(TillageOperations!$G$4*TillageOperations!$G10)+(TillageOperations!$H$4*TillageOperations!$H10)+(TillageOperations!$I$4*TillageOperations!$I10)+(TillageOperations!$J$4*TillageOperations!$J10)+(TillageOperations!$K$4*TillageOperations!$K10)+(TillageOperations!$L$4*TillageOperations!$L10)+(TillageOperations!$M$4*TillageOperations!$M10)+(TillageOperations!$N$4*TillageOperations!$N10)+(TillageOperations!$O$4*TillageOperations!$O10)+(TillageOperations!$P$4*TillageOperations!$P10)+(TillageOperations!$Q$4*TillageOperations!$Q10)+(TillageOperations!$R$4*TillageOperations!$R10)+(TillageOperations!$S$4*TillageOperations!$S10)+(TillageOperations!$T$4*TillageOperations!$T10)+(TillageOperations!$U$4*TillageOperations!$U10))</f>
        <v>150</v>
      </c>
      <c r="AJ52" s="53">
        <v>1</v>
      </c>
      <c r="AK52" s="54">
        <f t="shared" si="9"/>
        <v>30.330882352941178</v>
      </c>
      <c r="AL52" s="55">
        <f>(GeneralInputPrices!$D$29*1.1)/AH52</f>
        <v>3.9792095588235301</v>
      </c>
      <c r="AM52" s="55">
        <f>(GeneralInputPrices!$D$27*$AB$47*1.15)/AH52</f>
        <v>7.4411764705882346</v>
      </c>
      <c r="AN52" s="55">
        <f>IF(AI52=0,0,(AF52+AF47)/AH52)</f>
        <v>1.147305556413742</v>
      </c>
      <c r="AO52" s="55">
        <f>IF(AI52=0,0,((AG52+AG47)/AH52))</f>
        <v>40.724752902248241</v>
      </c>
    </row>
    <row r="53" spans="1:42" ht="15.6">
      <c r="A53" s="2"/>
      <c r="B53" s="2"/>
      <c r="C53" s="2"/>
      <c r="D53" s="2"/>
      <c r="E53" s="2"/>
      <c r="F53" s="2"/>
      <c r="G53" s="2"/>
      <c r="M53" s="2"/>
      <c r="U53" s="158">
        <v>53</v>
      </c>
      <c r="V53" s="177" t="str">
        <f>MachineryAssumptions!B12</f>
        <v>Moldboard Plow</v>
      </c>
      <c r="W53" s="177">
        <f>MachineryAssumptions!C12</f>
        <v>35000</v>
      </c>
      <c r="X53" s="180">
        <f>MachineryAssumptions!D12</f>
        <v>15</v>
      </c>
      <c r="Y53" s="173">
        <f>MachineryAssumptions!E12</f>
        <v>0.28999999999999998</v>
      </c>
      <c r="Z53" s="173">
        <f>MachineryAssumptions!F12</f>
        <v>1.8</v>
      </c>
      <c r="AA53" s="184">
        <f>MachineryAssumptions!G12</f>
        <v>0.21759999999999999</v>
      </c>
      <c r="AB53" s="173">
        <f>MachineryAssumptions!H12</f>
        <v>0</v>
      </c>
      <c r="AC53" s="173">
        <f>MachineryAssumptions!I12</f>
        <v>9.3333333333333339</v>
      </c>
      <c r="AD53" s="173">
        <f>MachineryAssumptions!J12</f>
        <v>3</v>
      </c>
      <c r="AE53" s="173">
        <f>MachineryAssumptions!K12</f>
        <v>75</v>
      </c>
      <c r="AF53" s="52">
        <f>IF(AK53=0,0,(W53*(((Y53*((((AK53)*X53)/1000))^Z53))/X53))/AK53)</f>
        <v>0</v>
      </c>
      <c r="AG53" s="52">
        <f>IF(AK53=0,0,(((((W53-(W53*AA53))*(GeneralInputPrices!$D$36))/(1-((1+GeneralInputPrices!$D$36)^(-X53))))+((W53*AA53)*(1+GeneralInputPrices!$D$36)^X53)*GeneralInputPrices!$D$36)/AK53))</f>
        <v>0</v>
      </c>
      <c r="AH53" s="58">
        <f t="shared" si="8"/>
        <v>2.5454545454545454</v>
      </c>
      <c r="AI53" s="403">
        <f>((TillageOperations!$C$4*TillageOperations!$C11)+(TillageOperations!$D$4*TillageOperations!$D11)+(TillageOperations!$E$4*TillageOperations!$E11)+(TillageOperations!$F$4*TillageOperations!$F11)+(TillageOperations!$G$4*TillageOperations!$G11)+(TillageOperations!$H$4*TillageOperations!$H11)+(TillageOperations!$I$4*TillageOperations!$I11)+(TillageOperations!$J$4*TillageOperations!$J11)+(TillageOperations!$K$4*TillageOperations!$K11)+(TillageOperations!$L$4*TillageOperations!$L11)+(TillageOperations!$M$4*TillageOperations!$M11)+(TillageOperations!$N$4*TillageOperations!$N11)+(TillageOperations!$O$4*TillageOperations!$O11)+(TillageOperations!$P$4*TillageOperations!$P11)+(TillageOperations!$Q$4*TillageOperations!$Q11)+(TillageOperations!$R$4*TillageOperations!$R11)+(TillageOperations!$S$4*TillageOperations!$S11)+(TillageOperations!$T$4*TillageOperations!$T11)+(TillageOperations!$U$4*TillageOperations!$U11))</f>
        <v>0</v>
      </c>
      <c r="AJ53" s="53">
        <v>1</v>
      </c>
      <c r="AK53" s="54">
        <f t="shared" si="9"/>
        <v>0</v>
      </c>
      <c r="AL53" s="55">
        <f>(GeneralInputPrices!$D$29*1.1)/AH53</f>
        <v>7.7310357142857153</v>
      </c>
      <c r="AM53" s="55">
        <f>(GeneralInputPrices!$D$27*$AB$47*1.15)/AH53</f>
        <v>14.457142857142856</v>
      </c>
      <c r="AN53" s="55">
        <f>IF(AI53=0,0,(AF53+AF47)/AH53)</f>
        <v>0</v>
      </c>
      <c r="AO53" s="55">
        <f>IF(AI53=0,0,((AG53+AG47)/AH53))</f>
        <v>0</v>
      </c>
    </row>
    <row r="54" spans="1:42" ht="15.6">
      <c r="A54" s="2"/>
      <c r="B54" s="2"/>
      <c r="C54" s="2"/>
      <c r="D54" s="2"/>
      <c r="E54" s="2"/>
      <c r="F54" s="2"/>
      <c r="G54" s="2"/>
      <c r="M54" s="2"/>
      <c r="U54" s="158">
        <v>54</v>
      </c>
      <c r="V54" s="177" t="str">
        <f>MachineryAssumptions!B13</f>
        <v>Cultivator</v>
      </c>
      <c r="W54" s="177">
        <f>MachineryAssumptions!C13</f>
        <v>25000</v>
      </c>
      <c r="X54" s="180">
        <f>MachineryAssumptions!D13</f>
        <v>15</v>
      </c>
      <c r="Y54" s="173">
        <f>MachineryAssumptions!E13</f>
        <v>0.28999999999999998</v>
      </c>
      <c r="Z54" s="173">
        <f>MachineryAssumptions!F13</f>
        <v>1.8</v>
      </c>
      <c r="AA54" s="184">
        <f>MachineryAssumptions!G12</f>
        <v>0.21759999999999999</v>
      </c>
      <c r="AB54" s="173" t="s">
        <v>10</v>
      </c>
      <c r="AC54" s="173">
        <f>MachineryAssumptions!I13</f>
        <v>20</v>
      </c>
      <c r="AD54" s="173">
        <f>MachineryAssumptions!J13</f>
        <v>3.5</v>
      </c>
      <c r="AE54" s="173">
        <f>MachineryAssumptions!K12</f>
        <v>75</v>
      </c>
      <c r="AF54" s="52">
        <f>IF(AK54=0,0,(W54*(((Y54*((((AK54)*X54)/1000))^Z54))/X54))/AK54)</f>
        <v>0</v>
      </c>
      <c r="AG54" s="52">
        <f>IF(AK54=0,0,(((((W54-(W54*AA54))*(GeneralInputPrices!$D$36))/(1-((1+GeneralInputPrices!$D$36)^(-X54))))+((W54*AA54)*(1+GeneralInputPrices!$D$36)^X54)*GeneralInputPrices!$D$36)/AK54))</f>
        <v>0</v>
      </c>
      <c r="AH54" s="58">
        <f t="shared" si="8"/>
        <v>6.3636363636363633</v>
      </c>
      <c r="AI54" s="54">
        <f>((TillageOperations!$C$4*TillageOperations!$C12)+(TillageOperations!$D$4*TillageOperations!$D12)+(TillageOperations!$E$4*TillageOperations!$E12)+(TillageOperations!$F$4*TillageOperations!$F12)+(TillageOperations!$G$4*TillageOperations!$G12)+(TillageOperations!$H$4*TillageOperations!$H12)+(TillageOperations!$I$4*TillageOperations!$I12)+(TillageOperations!$J$4*TillageOperations!$J12)+(TillageOperations!$K$4*TillageOperations!$K12)+(TillageOperations!$L$4*TillageOperations!$L12)+(TillageOperations!$M$4*TillageOperations!$M12)+(TillageOperations!$N$4*TillageOperations!$N12)+(TillageOperations!$O$4*TillageOperations!$O12)+(TillageOperations!$P$4*TillageOperations!$P12)+(TillageOperations!$Q$4*TillageOperations!$Q12)+(TillageOperations!$R$4*TillageOperations!$R12)+(TillageOperations!$S$4*TillageOperations!$S12)+(TillageOperations!$T$4*TillageOperations!$T12)+(TillageOperations!$U$4*TillageOperations!$U12))</f>
        <v>0</v>
      </c>
      <c r="AJ54" s="53">
        <v>1</v>
      </c>
      <c r="AK54" s="54">
        <f t="shared" si="9"/>
        <v>0</v>
      </c>
      <c r="AL54" s="55">
        <f>(GeneralInputPrices!$D$29*1.1)/AH54</f>
        <v>3.0924142857142862</v>
      </c>
      <c r="AM54" s="55">
        <f>(GeneralInputPrices!$D$27*$AB$47*1.15)/AH54</f>
        <v>5.7828571428571429</v>
      </c>
      <c r="AN54" s="55">
        <f>IF(AI54=0,0,(AF54+AF47)/AH54)</f>
        <v>0</v>
      </c>
      <c r="AO54" s="55">
        <f>IF(AI54=0,0,((AG54+AG47)/AH54))</f>
        <v>0</v>
      </c>
    </row>
    <row r="55" spans="1:42" ht="15.6">
      <c r="A55" s="2"/>
      <c r="B55" s="2"/>
      <c r="C55" s="2"/>
      <c r="D55" s="2"/>
      <c r="E55" s="2"/>
      <c r="F55" s="2"/>
      <c r="G55" s="2"/>
      <c r="M55" s="2"/>
      <c r="U55" s="158">
        <v>55</v>
      </c>
      <c r="V55" s="177" t="str">
        <f>MachineryAssumptions!B14</f>
        <v>Landplane</v>
      </c>
      <c r="W55" s="177">
        <f>MachineryAssumptions!C14</f>
        <v>18000</v>
      </c>
      <c r="X55" s="180">
        <f>MachineryAssumptions!D14</f>
        <v>15</v>
      </c>
      <c r="Y55" s="173">
        <f>MachineryAssumptions!E14</f>
        <v>0.18</v>
      </c>
      <c r="Z55" s="173">
        <f>MachineryAssumptions!F14</f>
        <v>1</v>
      </c>
      <c r="AA55" s="184">
        <f>MachineryAssumptions!G14</f>
        <v>0.21759999999999999</v>
      </c>
      <c r="AB55" s="173">
        <f>MachineryAssumptions!H14</f>
        <v>0</v>
      </c>
      <c r="AC55" s="173">
        <f>MachineryAssumptions!I14</f>
        <v>16</v>
      </c>
      <c r="AD55" s="173">
        <f>MachineryAssumptions!J14</f>
        <v>3.5</v>
      </c>
      <c r="AE55" s="173">
        <f>MachineryAssumptions!K14</f>
        <v>75</v>
      </c>
      <c r="AF55" s="255">
        <f t="shared" ref="AF55:AF76" si="10">IF(AK55=0,0,(W55*(((Y55*(((AK55*X55)/1000))^Z55))/X55))/AK55)</f>
        <v>3.2399999999999993</v>
      </c>
      <c r="AG55" s="255">
        <f>IF(AK55=0,0,(((((W55-(W55*AA55))*(GeneralInputPrices!$D$36))/(1-((1+GeneralInputPrices!$D$36)^(-X55))))+((W55*AA55)*(1+GeneralInputPrices!$D$36)^X55)*GeneralInputPrices!$D$36)/AK55))</f>
        <v>409.97203829108423</v>
      </c>
      <c r="AH55" s="58">
        <f t="shared" ref="AH55:AH69" si="11">(AC55*AD55*((AE55/100)))/8.25</f>
        <v>5.0909090909090908</v>
      </c>
      <c r="AI55" s="54">
        <f>((TillageOperations!$C$4*TillageOperations!$C13)+(TillageOperations!$D$4*TillageOperations!$D13)+(TillageOperations!$E$4*TillageOperations!$E13)+(TillageOperations!$F$4*TillageOperations!$F13)+(TillageOperations!$G$4*TillageOperations!$G13)+(TillageOperations!$H$4*TillageOperations!$H13)+(TillageOperations!$I$4*TillageOperations!$I13)+(TillageOperations!$J$4*TillageOperations!$J13)+(TillageOperations!$K$4*TillageOperations!$K13)+(TillageOperations!$L$4*TillageOperations!$L13)+(TillageOperations!$M$4*TillageOperations!$M13)+(TillageOperations!$N$4*TillageOperations!$N13)+(TillageOperations!$O$4*TillageOperations!$O13)+(TillageOperations!$P$4*TillageOperations!$P13)+(TillageOperations!$Q$4*TillageOperations!$Q13)+(TillageOperations!$R$4*TillageOperations!$R13)+(TillageOperations!$S$4*TillageOperations!$S13)+(TillageOperations!$T$4*TillageOperations!$T13)+(TillageOperations!$U$4*TillageOperations!$U13))</f>
        <v>25</v>
      </c>
      <c r="AJ55" s="53">
        <v>1</v>
      </c>
      <c r="AK55" s="54">
        <f t="shared" ref="AK55:AK76" si="12">AI55/AH55</f>
        <v>4.9107142857142856</v>
      </c>
      <c r="AL55" s="55">
        <f>(GeneralInputPrices!$D$29*1.1)/AH55</f>
        <v>3.8655178571428577</v>
      </c>
      <c r="AM55" s="55">
        <f>(GeneralInputPrices!$D$27*$AB$47*1.15)/AH55</f>
        <v>7.2285714285714278</v>
      </c>
      <c r="AN55" s="55">
        <f>IF(AI55=0,0,(AF55+AF47)/AH55)</f>
        <v>0.81595396908763496</v>
      </c>
      <c r="AO55" s="55">
        <f>IF(AI55=0,0,((AG55+AG47)/AH55))</f>
        <v>107.77752986339607</v>
      </c>
    </row>
    <row r="56" spans="1:42" ht="15.6">
      <c r="A56" s="2"/>
      <c r="B56" s="2"/>
      <c r="C56" s="2"/>
      <c r="D56" s="2"/>
      <c r="E56" s="2"/>
      <c r="F56" s="2"/>
      <c r="G56" s="2"/>
      <c r="M56" s="2"/>
      <c r="U56" s="158">
        <v>56</v>
      </c>
      <c r="V56" s="177" t="str">
        <f>MachineryAssumptions!B15</f>
        <v>Float</v>
      </c>
      <c r="W56" s="177">
        <f>MachineryAssumptions!C15</f>
        <v>7000</v>
      </c>
      <c r="X56" s="180">
        <f>MachineryAssumptions!D15</f>
        <v>15</v>
      </c>
      <c r="Y56" s="173">
        <f>MachineryAssumptions!E15</f>
        <v>0.18</v>
      </c>
      <c r="Z56" s="173">
        <f>MachineryAssumptions!F15</f>
        <v>1.7</v>
      </c>
      <c r="AA56" s="184">
        <f>MachineryAssumptions!G15</f>
        <v>0.21759999999999999</v>
      </c>
      <c r="AB56" s="173">
        <f>MachineryAssumptions!H15</f>
        <v>0</v>
      </c>
      <c r="AC56" s="173">
        <f>MachineryAssumptions!I15</f>
        <v>14</v>
      </c>
      <c r="AD56" s="173">
        <f>MachineryAssumptions!J15</f>
        <v>3.5</v>
      </c>
      <c r="AE56" s="173">
        <f>MachineryAssumptions!K15</f>
        <v>75</v>
      </c>
      <c r="AF56" s="255">
        <f t="shared" si="10"/>
        <v>0</v>
      </c>
      <c r="AG56" s="255">
        <f>IF(AK56=0,0,(((((W56-(W56*AA56))*(GeneralInputPrices!$D$36))/(1-((1+GeneralInputPrices!$D$36)^(-X56))))+((W56*AA56)*(1+GeneralInputPrices!$D$36)^X56)*GeneralInputPrices!$D$36)/AK56))</f>
        <v>0</v>
      </c>
      <c r="AH56" s="58">
        <f t="shared" si="11"/>
        <v>4.4545454545454541</v>
      </c>
      <c r="AI56" s="54">
        <f>((TillageOperations!$C$4*TillageOperations!$C14)+(TillageOperations!$D$4*TillageOperations!$D14)+(TillageOperations!$E$4*TillageOperations!$E14)+(TillageOperations!$F$4*TillageOperations!$F14)+(TillageOperations!$G$4*TillageOperations!$G14)+(TillageOperations!$H$4*TillageOperations!$H14)+(TillageOperations!$I$4*TillageOperations!$I14)+(TillageOperations!$J$4*TillageOperations!$J14)+(TillageOperations!$K$4*TillageOperations!$K14)+(TillageOperations!$L$4*TillageOperations!$L14)+(TillageOperations!$M$4*TillageOperations!$M14)+(TillageOperations!$N$4*TillageOperations!$N14)+(TillageOperations!$O$4*TillageOperations!$O14)+(TillageOperations!$P$4*TillageOperations!$P14)+(TillageOperations!$Q$4*TillageOperations!$Q14)+(TillageOperations!$R$4*TillageOperations!$R14)+(TillageOperations!$S$4*TillageOperations!$S14)+(TillageOperations!$T$4*TillageOperations!$T14)+(TillageOperations!$U$4*TillageOperations!$U14))</f>
        <v>0</v>
      </c>
      <c r="AJ56" s="53">
        <v>2</v>
      </c>
      <c r="AK56" s="54">
        <f t="shared" si="12"/>
        <v>0</v>
      </c>
      <c r="AL56" s="55">
        <f>(GeneralInputPrices!$D$29*1.1)/AH56</f>
        <v>4.4177346938775521</v>
      </c>
      <c r="AM56" s="55">
        <f>(GeneralInputPrices!$D$27*$AB$48*1.15)/AH56</f>
        <v>5.1632653061224492</v>
      </c>
      <c r="AN56" s="55">
        <f>IF(AI56=0,0,(AF56+AF48)/AH56)</f>
        <v>0</v>
      </c>
      <c r="AO56" s="55">
        <f>IF(AI56=0,0,((AG56+AG48)/AH56))</f>
        <v>0</v>
      </c>
    </row>
    <row r="57" spans="1:42" ht="15.6">
      <c r="A57" s="2"/>
      <c r="B57" s="2"/>
      <c r="C57" s="2"/>
      <c r="D57" s="2"/>
      <c r="E57" s="2"/>
      <c r="F57" s="2"/>
      <c r="G57" s="2"/>
      <c r="M57" s="2"/>
      <c r="U57" s="158">
        <v>57</v>
      </c>
      <c r="V57" s="177" t="str">
        <f>MachineryAssumptions!B16</f>
        <v>Lister</v>
      </c>
      <c r="W57" s="177">
        <f>MachineryAssumptions!C16</f>
        <v>6500</v>
      </c>
      <c r="X57" s="180">
        <f>MachineryAssumptions!D16</f>
        <v>15</v>
      </c>
      <c r="Y57" s="173">
        <f>MachineryAssumptions!E16</f>
        <v>0.17</v>
      </c>
      <c r="Z57" s="173">
        <f>MachineryAssumptions!F16</f>
        <v>2.2000000000000002</v>
      </c>
      <c r="AA57" s="184">
        <f>MachineryAssumptions!G16</f>
        <v>0.21759999999999999</v>
      </c>
      <c r="AB57" s="173">
        <f>MachineryAssumptions!H16</f>
        <v>0</v>
      </c>
      <c r="AC57" s="173">
        <f>MachineryAssumptions!I16</f>
        <v>10</v>
      </c>
      <c r="AD57" s="173">
        <f>MachineryAssumptions!J16</f>
        <v>3.5</v>
      </c>
      <c r="AE57" s="173">
        <f>MachineryAssumptions!K16</f>
        <v>75</v>
      </c>
      <c r="AF57" s="255">
        <f t="shared" si="10"/>
        <v>8.4915968694769112E-2</v>
      </c>
      <c r="AG57" s="255">
        <f>IF(AK57=0,0,(((((W57-(W57*AA57))*(GeneralInputPrices!$D$36))/(1-((1+GeneralInputPrices!$D$36)^(-X57))))+((W57*AA57)*(1+GeneralInputPrices!$D$36)^X57)*GeneralInputPrices!$D$36)/AK57))</f>
        <v>92.528411419862749</v>
      </c>
      <c r="AH57" s="58">
        <f t="shared" si="11"/>
        <v>3.1818181818181817</v>
      </c>
      <c r="AI57" s="54">
        <f>((TillageOperations!$C$4*TillageOperations!$C15)+(TillageOperations!$D$4*TillageOperations!$D15)+(TillageOperations!$E$4*TillageOperations!$E15)+(TillageOperations!$F$4*TillageOperations!$F15)+(TillageOperations!$G$4*TillageOperations!$G15)+(TillageOperations!$H$4*TillageOperations!$H15)+(TillageOperations!$I$4*TillageOperations!$I15)+(TillageOperations!$J$4*TillageOperations!$J15)+(TillageOperations!$K$4*TillageOperations!$K15)+(TillageOperations!$L$4*TillageOperations!$L15)+(TillageOperations!$M$4*TillageOperations!$M15)+(TillageOperations!$N$4*TillageOperations!$N15)+(TillageOperations!$O$4*TillageOperations!$O15)+(TillageOperations!$P$4*TillageOperations!$P15)+(TillageOperations!$Q$4*TillageOperations!$Q15)+(TillageOperations!$R$4*TillageOperations!$R15)+(TillageOperations!$S$4*TillageOperations!$S15)+(TillageOperations!$T$4*TillageOperations!$T15)+(TillageOperations!$U$4*TillageOperations!$U15))</f>
        <v>25</v>
      </c>
      <c r="AJ57" s="53">
        <v>1</v>
      </c>
      <c r="AK57" s="54">
        <f t="shared" si="12"/>
        <v>7.8571428571428577</v>
      </c>
      <c r="AL57" s="55">
        <f>(GeneralInputPrices!$D$29*1.1)/AH57</f>
        <v>6.1848285714285725</v>
      </c>
      <c r="AM57" s="55">
        <f>(GeneralInputPrices!$D$27*$AB$47*1.15)/AH57</f>
        <v>11.565714285714286</v>
      </c>
      <c r="AN57" s="55">
        <f>IF(AI57=0,0,(AF57+AF47)/AH57)</f>
        <v>0.31392851213000073</v>
      </c>
      <c r="AO57" s="55">
        <f>IF(AI57=0,0,((AG57+AG47)/AH57))</f>
        <v>72.676050764764099</v>
      </c>
    </row>
    <row r="58" spans="1:42" ht="15.6">
      <c r="A58" s="2"/>
      <c r="B58" s="2"/>
      <c r="C58" s="2"/>
      <c r="D58" s="2"/>
      <c r="E58" s="2"/>
      <c r="F58" s="2"/>
      <c r="G58" s="2"/>
      <c r="M58" s="2"/>
      <c r="U58" s="158">
        <v>58</v>
      </c>
      <c r="V58" s="177" t="str">
        <f>MachineryAssumptions!B17</f>
        <v>Bed Shaper</v>
      </c>
      <c r="W58" s="177">
        <f>MachineryAssumptions!C17</f>
        <v>6500</v>
      </c>
      <c r="X58" s="180">
        <f>MachineryAssumptions!D17</f>
        <v>20</v>
      </c>
      <c r="Y58" s="173">
        <f>MachineryAssumptions!E17</f>
        <v>0.18</v>
      </c>
      <c r="Z58" s="173">
        <f>MachineryAssumptions!F17</f>
        <v>1.7</v>
      </c>
      <c r="AA58" s="184">
        <f>MachineryAssumptions!G17</f>
        <v>0.21759999999999999</v>
      </c>
      <c r="AB58" s="173">
        <f>MachineryAssumptions!H17</f>
        <v>0</v>
      </c>
      <c r="AC58" s="173">
        <f>MachineryAssumptions!I17</f>
        <v>20</v>
      </c>
      <c r="AD58" s="173">
        <f>MachineryAssumptions!J17</f>
        <v>3.5</v>
      </c>
      <c r="AE58" s="173">
        <f>MachineryAssumptions!K17</f>
        <v>75</v>
      </c>
      <c r="AF58" s="255">
        <f t="shared" si="10"/>
        <v>0.19718374759477156</v>
      </c>
      <c r="AG58" s="255">
        <f>IF(AK58=0,0,(((((W58-(W58*AA58))*(GeneralInputPrices!$D$36))/(1-((1+GeneralInputPrices!$D$36)^(-X58))))+((W58*AA58)*(1+GeneralInputPrices!$D$36)^X58)*GeneralInputPrices!$D$36)/AK58))</f>
        <v>182.14155977190643</v>
      </c>
      <c r="AH58" s="56">
        <f t="shared" si="11"/>
        <v>6.3636363636363633</v>
      </c>
      <c r="AI58" s="54">
        <f>((TillageOperations!$C$4*TillageOperations!$C16)+(TillageOperations!$D$4*TillageOperations!$D16)+(TillageOperations!$E$4*TillageOperations!$E16)+(TillageOperations!$F$4*TillageOperations!$F16)+(TillageOperations!$G$4*TillageOperations!$G16)+(TillageOperations!$H$4*TillageOperations!$H16)+(TillageOperations!$I$4*TillageOperations!$I16)+(TillageOperations!$J$4*TillageOperations!$J16)+(TillageOperations!$K$4*TillageOperations!$K16)+(TillageOperations!$L$4*TillageOperations!$L16)+(TillageOperations!$M$4*TillageOperations!$M16)+(TillageOperations!$N$4*TillageOperations!$N16)+(TillageOperations!$O$4*TillageOperations!$O16)+(TillageOperations!$P$4*TillageOperations!$P16)+(TillageOperations!$Q$4*TillageOperations!$Q16)+(TillageOperations!$R$4*TillageOperations!$R16)+(TillageOperations!$S$4*TillageOperations!$S16)+(TillageOperations!$T$4*TillageOperations!$T16)+(TillageOperations!$U$4*TillageOperations!$U16))</f>
        <v>25</v>
      </c>
      <c r="AJ58" s="57">
        <v>1</v>
      </c>
      <c r="AK58" s="54">
        <f t="shared" si="12"/>
        <v>3.9285714285714288</v>
      </c>
      <c r="AL58" s="55">
        <f>(GeneralInputPrices!$D$29*1.1)/AH58</f>
        <v>3.0924142857142862</v>
      </c>
      <c r="AM58" s="55">
        <f>(GeneralInputPrices!$D$27*$AB$47*1.15)/AH58</f>
        <v>5.7828571428571429</v>
      </c>
      <c r="AN58" s="55">
        <f>IF(AI58=0,0,(AF58+AF47)/AH58)</f>
        <v>0.1746063356064293</v>
      </c>
      <c r="AO58" s="55">
        <f>IF(AI58=0,0,((AG58+AG47)/AH58))</f>
        <v>50.420091551988918</v>
      </c>
    </row>
    <row r="59" spans="1:42" ht="15.6">
      <c r="A59" s="2"/>
      <c r="B59" s="2"/>
      <c r="C59" s="2"/>
      <c r="D59" s="2"/>
      <c r="E59" s="2"/>
      <c r="F59" s="2"/>
      <c r="G59" s="2"/>
      <c r="M59" s="2"/>
      <c r="U59" s="158">
        <v>65</v>
      </c>
      <c r="V59" s="177" t="str">
        <f>MachineryAssumptions!B18</f>
        <v>Cotton Shredder/Root Puller</v>
      </c>
      <c r="W59" s="177">
        <f>MachineryAssumptions!C18</f>
        <v>12000</v>
      </c>
      <c r="X59" s="180">
        <f>MachineryAssumptions!D18</f>
        <v>15</v>
      </c>
      <c r="Y59" s="173">
        <f>MachineryAssumptions!E18</f>
        <v>0.28000000000000003</v>
      </c>
      <c r="Z59" s="173">
        <f>MachineryAssumptions!F18</f>
        <v>1.4</v>
      </c>
      <c r="AA59" s="184">
        <f>MachineryAssumptions!G18</f>
        <v>0.19139999999999999</v>
      </c>
      <c r="AB59" s="173">
        <f>MachineryAssumptions!H18</f>
        <v>0</v>
      </c>
      <c r="AC59" s="173">
        <f>MachineryAssumptions!I18</f>
        <v>20</v>
      </c>
      <c r="AD59" s="173">
        <f>MachineryAssumptions!J18</f>
        <v>3.65</v>
      </c>
      <c r="AE59" s="173">
        <f>MachineryAssumptions!K18</f>
        <v>75</v>
      </c>
      <c r="AF59" s="52">
        <f>IF(AK59=0,0,(W59*(((Y59*(((AK59*X59)/1000))^Z59))/X59))/AK59)</f>
        <v>0</v>
      </c>
      <c r="AG59" s="52">
        <f>IF(AK59=0,0,(((((W59-(W59*AA59))*(GeneralInputPrices!$D$36))/(1-((1+GeneralInputPrices!$D$36)^(-X59))))+((W59*AA59)*(1+GeneralInputPrices!$D$36)^X59)*GeneralInputPrices!$D$36)/AK59))</f>
        <v>0</v>
      </c>
      <c r="AH59" s="58">
        <f>(AC59*AD59*((AE59/100)))/8.25</f>
        <v>6.6363636363636367</v>
      </c>
      <c r="AI59" s="54">
        <f>((TillageOperations!$C$4*TillageOperations!$C17)+(TillageOperations!$D$4*TillageOperations!$D17)+(TillageOperations!$E$4*TillageOperations!$E17)+(TillageOperations!$F$4*TillageOperations!$F17)+(TillageOperations!$G$4*TillageOperations!$G17)+(TillageOperations!$H$4*TillageOperations!$H17)+(TillageOperations!$I$4*TillageOperations!$I17)+(TillageOperations!$J$4*TillageOperations!$J17)+(TillageOperations!$K$4*TillageOperations!$K17)+(TillageOperations!$L$4*TillageOperations!$L17)+(TillageOperations!$M$4*TillageOperations!$M17)+(TillageOperations!$N$4*TillageOperations!$N17)+(TillageOperations!$O$4*TillageOperations!$O17)+(TillageOperations!$P$4*TillageOperations!$P17)+(TillageOperations!$Q$4*TillageOperations!$Q17)+(TillageOperations!$R$4*TillageOperations!$R17)+(TillageOperations!$S$4*TillageOperations!$S17)+(TillageOperations!$T$4*TillageOperations!$T17)+(TillageOperations!$U$4*TillageOperations!$U17))</f>
        <v>0</v>
      </c>
      <c r="AJ59" s="53">
        <v>2</v>
      </c>
      <c r="AK59" s="54">
        <f>AI59/AH59</f>
        <v>0</v>
      </c>
      <c r="AL59" s="55">
        <f>(GeneralInputPrices!$D$29*1.1)/AH59</f>
        <v>2.965328767123288</v>
      </c>
      <c r="AM59" s="55">
        <f>(GeneralInputPrices!$D$27*$AB$48*1.15)/AH59</f>
        <v>3.4657534246575339</v>
      </c>
      <c r="AN59" s="55">
        <f>IF(AI59=0,0,(AF59+AF48)/AH59)</f>
        <v>0</v>
      </c>
      <c r="AO59" s="55">
        <f>(IF(AI59=0,0,(AG59+AG48)/AH59))</f>
        <v>0</v>
      </c>
    </row>
    <row r="60" spans="1:42" ht="15.6">
      <c r="A60" s="2"/>
      <c r="B60" s="2"/>
      <c r="C60" s="2"/>
      <c r="D60" s="2"/>
      <c r="E60" s="2"/>
      <c r="F60" s="2"/>
      <c r="G60" s="2"/>
      <c r="M60" s="2"/>
      <c r="U60" s="158">
        <v>59</v>
      </c>
      <c r="V60" s="177" t="str">
        <f>MachineryAssumptions!B20</f>
        <v>Row Planter</v>
      </c>
      <c r="W60" s="177">
        <f>MachineryAssumptions!C20</f>
        <v>40000</v>
      </c>
      <c r="X60" s="180">
        <f>MachineryAssumptions!D20</f>
        <v>15</v>
      </c>
      <c r="Y60" s="173">
        <f>MachineryAssumptions!E20</f>
        <v>0.32</v>
      </c>
      <c r="Z60" s="173">
        <f>MachineryAssumptions!F20</f>
        <v>2.1</v>
      </c>
      <c r="AA60" s="184">
        <f>MachineryAssumptions!G20</f>
        <v>0.33789999999999998</v>
      </c>
      <c r="AB60" s="173">
        <f>MachineryAssumptions!H20</f>
        <v>0</v>
      </c>
      <c r="AC60" s="173">
        <f>MachineryAssumptions!I20</f>
        <v>24</v>
      </c>
      <c r="AD60" s="173">
        <f>MachineryAssumptions!J20</f>
        <v>2.5</v>
      </c>
      <c r="AE60" s="173">
        <f>MachineryAssumptions!K20</f>
        <v>60</v>
      </c>
      <c r="AF60" s="52">
        <f t="shared" si="10"/>
        <v>0.8606190532665341</v>
      </c>
      <c r="AG60" s="52">
        <f>IF(AK60=0,0,(((((W60-(W60*AA60))*(GeneralInputPrices!$D$36))/(1-((1+GeneralInputPrices!$D$36)^(-X60))))+((W60*AA60)*(1+GeneralInputPrices!$D$36)^X60)*GeneralInputPrices!$D$36)/AK60))</f>
        <v>815.1933683552511</v>
      </c>
      <c r="AH60" s="58">
        <f t="shared" si="11"/>
        <v>4.3636363636363633</v>
      </c>
      <c r="AI60" s="54">
        <f>((TillageOperations!$C$4*TillageOperations!$C19)+(TillageOperations!$D$4*TillageOperations!$D19)+(TillageOperations!$E$4*TillageOperations!$E19)+(TillageOperations!$F$4*TillageOperations!$F19)+(TillageOperations!$G$4*TillageOperations!$G19)+(TillageOperations!$H$4*TillageOperations!$H19)+(TillageOperations!$I$4*TillageOperations!$I19)+(TillageOperations!$J$4*TillageOperations!$J19)+(TillageOperations!$K$4*TillageOperations!$K19)+(TillageOperations!$L$4*TillageOperations!$L19)+(TillageOperations!$M$4*TillageOperations!$M19)+(TillageOperations!$N$4*TillageOperations!$N19)+(TillageOperations!$O$4*TillageOperations!$O19)+(TillageOperations!$P$4*TillageOperations!$P19)+(TillageOperations!$Q$4*TillageOperations!$Q19)+(TillageOperations!$R$4*TillageOperations!$R19)+(TillageOperations!$S$4*TillageOperations!$S19)+(TillageOperations!$T$4*TillageOperations!$T19)+(TillageOperations!$U$4*TillageOperations!$U19))</f>
        <v>25</v>
      </c>
      <c r="AJ60" s="53">
        <v>1</v>
      </c>
      <c r="AK60" s="54">
        <f t="shared" si="12"/>
        <v>5.729166666666667</v>
      </c>
      <c r="AL60" s="55">
        <f>(GeneralInputPrices!$D$29*1.1)/AH60</f>
        <v>4.5097708333333344</v>
      </c>
      <c r="AM60" s="55">
        <f>(GeneralInputPrices!$D$27*$AB$47*1.15)/AH60</f>
        <v>8.4333333333333336</v>
      </c>
      <c r="AN60" s="55">
        <f>IF(AI60=0,0,(AF60+AF47)/AH60)</f>
        <v>0.40667149697582167</v>
      </c>
      <c r="AO60" s="55">
        <f>IF(AI60=0,0,((AG60+AG47)/AH60))</f>
        <v>218.60367298033367</v>
      </c>
    </row>
    <row r="61" spans="1:42" ht="15.6">
      <c r="A61" s="2"/>
      <c r="B61" s="2"/>
      <c r="C61" s="2"/>
      <c r="D61" s="2"/>
      <c r="E61" s="2"/>
      <c r="F61" s="2"/>
      <c r="G61" s="2"/>
      <c r="M61" s="2"/>
      <c r="U61" s="158">
        <v>60</v>
      </c>
      <c r="V61" s="177" t="str">
        <f>MachineryAssumptions!B21</f>
        <v>Row Cultivator</v>
      </c>
      <c r="W61" s="177">
        <f>MachineryAssumptions!C21</f>
        <v>22000</v>
      </c>
      <c r="X61" s="180">
        <f>MachineryAssumptions!D21</f>
        <v>10</v>
      </c>
      <c r="Y61" s="173">
        <f>MachineryAssumptions!E21</f>
        <v>0.17</v>
      </c>
      <c r="Z61" s="173">
        <f>MachineryAssumptions!F21</f>
        <v>2.2000000000000002</v>
      </c>
      <c r="AA61" s="184">
        <f>MachineryAssumptions!G21</f>
        <v>0.29630000000000001</v>
      </c>
      <c r="AB61" s="173">
        <f>MachineryAssumptions!H21</f>
        <v>0</v>
      </c>
      <c r="AC61" s="173">
        <f>MachineryAssumptions!I21</f>
        <v>24</v>
      </c>
      <c r="AD61" s="173">
        <f>MachineryAssumptions!J21</f>
        <v>3</v>
      </c>
      <c r="AE61" s="173">
        <f>MachineryAssumptions!K21</f>
        <v>75</v>
      </c>
      <c r="AF61" s="52">
        <f t="shared" si="10"/>
        <v>0.1708078530386265</v>
      </c>
      <c r="AG61" s="52">
        <f>IF(AK61=0,0,(((((W61-(W61*AA61))*(GeneralInputPrices!$D$36))/(1-((1+GeneralInputPrices!$D$36)^(-X61))))+((W61*AA61)*(1+GeneralInputPrices!$D$36)^X61)*GeneralInputPrices!$D$36)/AK61))</f>
        <v>367.05016094060994</v>
      </c>
      <c r="AH61" s="58">
        <f t="shared" si="11"/>
        <v>6.5454545454545459</v>
      </c>
      <c r="AI61" s="54">
        <f>((TillageOperations!$C$4*TillageOperations!$C20)+(TillageOperations!$D$4*TillageOperations!$D20)+(TillageOperations!$E$4*TillageOperations!$E20)+(TillageOperations!$F$4*TillageOperations!$F20)+(TillageOperations!$G$4*TillageOperations!$G20)+(TillageOperations!$H$4*TillageOperations!$H20)+(TillageOperations!$I$4*TillageOperations!$I20)+(TillageOperations!$J$4*TillageOperations!$J20)+(TillageOperations!$K$4*TillageOperations!$K20)+(TillageOperations!$L$4*TillageOperations!$L20)+(TillageOperations!$M$4*TillageOperations!$M20)+(TillageOperations!$N$4*TillageOperations!$N20)+(TillageOperations!$O$4*TillageOperations!$O20)+(TillageOperations!$P$4*TillageOperations!$P20)+(TillageOperations!$Q$4*TillageOperations!$Q20)+(TillageOperations!$R$4*TillageOperations!$R20)+(TillageOperations!$S$4*TillageOperations!$S20)+(TillageOperations!$T$4*TillageOperations!$T20)+(TillageOperations!$U$4*TillageOperations!$U20))</f>
        <v>50</v>
      </c>
      <c r="AJ61" s="53">
        <v>2</v>
      </c>
      <c r="AK61" s="54">
        <f t="shared" si="12"/>
        <v>7.6388888888888884</v>
      </c>
      <c r="AL61" s="55">
        <f>(GeneralInputPrices!$D$29*1.1)/AH61</f>
        <v>3.0065138888888892</v>
      </c>
      <c r="AM61" s="55">
        <f>(GeneralInputPrices!$D$27*$AB$48*1.15)/AH61</f>
        <v>3.5138888888888888</v>
      </c>
      <c r="AN61" s="55">
        <f>IF(AI61=0,0,(AF61+AF48)/AH61)</f>
        <v>6.8425214383648514E-2</v>
      </c>
      <c r="AO61" s="55">
        <f>(IF(AI61=0,0,(AG61+AG48)/AH61))</f>
        <v>74.064902712939798</v>
      </c>
    </row>
    <row r="62" spans="1:42" ht="15.6">
      <c r="A62" s="2"/>
      <c r="B62" s="2"/>
      <c r="C62" s="2"/>
      <c r="D62" s="2"/>
      <c r="E62" s="2"/>
      <c r="F62" s="2"/>
      <c r="G62" s="2"/>
      <c r="M62" s="2"/>
      <c r="U62" s="158">
        <v>61</v>
      </c>
      <c r="V62" s="177" t="str">
        <f>MachineryAssumptions!B22</f>
        <v>Drill</v>
      </c>
      <c r="W62" s="177">
        <f>MachineryAssumptions!C22</f>
        <v>25000</v>
      </c>
      <c r="X62" s="180">
        <f>MachineryAssumptions!D22</f>
        <v>15</v>
      </c>
      <c r="Y62" s="173">
        <f>MachineryAssumptions!E22</f>
        <v>0.32</v>
      </c>
      <c r="Z62" s="173">
        <f>MachineryAssumptions!F22</f>
        <v>2.1</v>
      </c>
      <c r="AA62" s="184">
        <f>MachineryAssumptions!G22</f>
        <v>0.33789999999999998</v>
      </c>
      <c r="AB62" s="173">
        <f>MachineryAssumptions!H22</f>
        <v>0</v>
      </c>
      <c r="AC62" s="173">
        <f>MachineryAssumptions!I22</f>
        <v>20</v>
      </c>
      <c r="AD62" s="173">
        <f>MachineryAssumptions!J22</f>
        <v>2.5</v>
      </c>
      <c r="AE62" s="173">
        <f>MachineryAssumptions!K22</f>
        <v>60</v>
      </c>
      <c r="AF62" s="52">
        <f t="shared" si="10"/>
        <v>4.7179867853024424</v>
      </c>
      <c r="AG62" s="52">
        <f>IF(AK62=0,0,(((((W62-(W62*AA62))*(GeneralInputPrices!$D$36))/(1-((1+GeneralInputPrices!$D$36)^(-X62))))+((W62*AA62)*(1+GeneralInputPrices!$D$36)^X62)*GeneralInputPrices!$D$36)/AK62))</f>
        <v>70.763313225282218</v>
      </c>
      <c r="AH62" s="58">
        <f t="shared" si="11"/>
        <v>3.6363636363636362</v>
      </c>
      <c r="AI62" s="54">
        <f>((TillageOperations!$C$4*TillageOperations!$C21)+(TillageOperations!$D$4*TillageOperations!$D21)+(TillageOperations!$E$4*TillageOperations!$E21)+(TillageOperations!$F$4*TillageOperations!$F21)+(TillageOperations!$G$4*TillageOperations!$G21)+(TillageOperations!$H$4*TillageOperations!$H21)+(TillageOperations!$I$4*TillageOperations!$I21)+(TillageOperations!$J$4*TillageOperations!$J21)+(TillageOperations!$K$4*TillageOperations!$K21)+(TillageOperations!$L$4*TillageOperations!$L21)+(TillageOperations!$M$4*TillageOperations!$M21)+(TillageOperations!$N$4*TillageOperations!$N21)+(TillageOperations!$O$4*TillageOperations!$O21)+(TillageOperations!$P$4*TillageOperations!$P21)+(TillageOperations!$Q$4*TillageOperations!$Q21)+(TillageOperations!$R$4*TillageOperations!$R21)+(TillageOperations!$S$4*TillageOperations!$S21)+(TillageOperations!$T$4*TillageOperations!$T21)+(TillageOperations!$U$4*TillageOperations!$U21))</f>
        <v>150</v>
      </c>
      <c r="AJ62" s="53">
        <v>2</v>
      </c>
      <c r="AK62" s="54">
        <f t="shared" si="12"/>
        <v>41.25</v>
      </c>
      <c r="AL62" s="55">
        <f>(GeneralInputPrices!$D$29*1.1)/AH62</f>
        <v>5.4117250000000006</v>
      </c>
      <c r="AM62" s="55">
        <f>(GeneralInputPrices!$D$27*$AB$48*1.15)/AH62</f>
        <v>6.3250000000000002</v>
      </c>
      <c r="AN62" s="55">
        <f>IF(AI62=0,0,(AF62+AF48)/AH62)</f>
        <v>1.3736395922631166</v>
      </c>
      <c r="AO62" s="55">
        <f>(IF(AI62=0,0,(AG62+AG48)/AH62))</f>
        <v>51.837941761576523</v>
      </c>
    </row>
    <row r="63" spans="1:42" ht="15.6">
      <c r="A63" s="2"/>
      <c r="B63" s="2"/>
      <c r="C63" s="2"/>
      <c r="D63" s="2"/>
      <c r="E63" s="2"/>
      <c r="F63" s="2"/>
      <c r="G63" s="2"/>
      <c r="M63" s="2"/>
      <c r="U63" s="158">
        <v>76</v>
      </c>
      <c r="V63" s="177" t="str">
        <f>MachineryAssumptions!B23</f>
        <v>Transplanter</v>
      </c>
      <c r="W63" s="177">
        <f>MachineryAssumptions!C23</f>
        <v>15000</v>
      </c>
      <c r="X63" s="180">
        <f>MachineryAssumptions!D23</f>
        <v>15</v>
      </c>
      <c r="Y63" s="173">
        <f>MachineryAssumptions!E23</f>
        <v>0.41</v>
      </c>
      <c r="Z63" s="173">
        <f>MachineryAssumptions!F23</f>
        <v>1.3</v>
      </c>
      <c r="AA63" s="184">
        <f>MachineryAssumptions!G23</f>
        <v>0.2626</v>
      </c>
      <c r="AB63" s="173">
        <f>MachineryAssumptions!H23</f>
        <v>0</v>
      </c>
      <c r="AC63" s="307">
        <f>MachineryAssumptions!I23</f>
        <v>10</v>
      </c>
      <c r="AD63" s="173">
        <f>MachineryAssumptions!J23</f>
        <v>2</v>
      </c>
      <c r="AE63" s="173">
        <f>MachineryAssumptions!K23</f>
        <v>40</v>
      </c>
      <c r="AF63" s="52">
        <f>IF(AK63=0,0,(W63*(((Y63*(((AK63*X63)/1000))^Z63))/X63))/AK63)</f>
        <v>0</v>
      </c>
      <c r="AG63" s="52">
        <f>IF(AK63=0,0,(((((W63-(W63*AA63))*(GeneralInputPrices!$D$36))/(1-((1+GeneralInputPrices!$D$36)^(-X63))))+((W63*AA63)*(1+GeneralInputPrices!$D$36)^X63)*GeneralInputPrices!$D$36)/AK63))</f>
        <v>0</v>
      </c>
      <c r="AH63" s="58">
        <f t="shared" si="11"/>
        <v>0.96969696969696972</v>
      </c>
      <c r="AI63" s="54">
        <f>((TillageOperations!$C$4*TillageOperations!$C22)+(TillageOperations!$D$4*TillageOperations!$D22)+(TillageOperations!$E$4*TillageOperations!$E22)+(TillageOperations!$F$4*TillageOperations!$F22)+(TillageOperations!$G$4*TillageOperations!$G22)+(TillageOperations!$H$4*TillageOperations!$H22)+(TillageOperations!$I$4*TillageOperations!$I22)+(TillageOperations!$J$4*TillageOperations!$J22)+(TillageOperations!$K$4*TillageOperations!$K22)+(TillageOperations!$L$4*TillageOperations!$L22)+(TillageOperations!$M$4*TillageOperations!$M22)+(TillageOperations!$N$4*TillageOperations!$N22)+(TillageOperations!$O$4*TillageOperations!$O22)+(TillageOperations!$P$4*TillageOperations!$P22)+(TillageOperations!$Q$4*TillageOperations!$Q22)+(TillageOperations!$R$4*TillageOperations!$R22)+(TillageOperations!$S$4*TillageOperations!$S22)+(TillageOperations!$T$4*TillageOperations!$T22)+(TillageOperations!$U$4*TillageOperations!$U22))</f>
        <v>0</v>
      </c>
      <c r="AJ63" s="309" t="s">
        <v>369</v>
      </c>
      <c r="AK63" s="54">
        <f t="shared" si="12"/>
        <v>0</v>
      </c>
      <c r="AL63" s="55">
        <f>(GeneralInputPrices!$D$29*1.1)/AH63</f>
        <v>20.293968750000001</v>
      </c>
      <c r="AM63" s="55">
        <f>(GeneralInputPrices!$D$27*($AB$47+$AB$48)*1.15)/AH63</f>
        <v>61.668749999999996</v>
      </c>
      <c r="AN63" s="55">
        <f>IF(AI63=0,0,(AF47+AF63+AF48)/AH63)</f>
        <v>0</v>
      </c>
      <c r="AO63" s="55">
        <f>(IF(AI63=0,0,(AG47+AG63+AG48)/AH63))</f>
        <v>0</v>
      </c>
      <c r="AP63" t="s">
        <v>367</v>
      </c>
    </row>
    <row r="64" spans="1:42" ht="15.6">
      <c r="A64" s="2"/>
      <c r="B64" s="2"/>
      <c r="C64" s="2"/>
      <c r="D64" s="2"/>
      <c r="E64" s="2"/>
      <c r="F64" s="2"/>
      <c r="G64" s="2"/>
      <c r="M64" s="2"/>
      <c r="U64" s="158">
        <v>73</v>
      </c>
      <c r="V64" s="177" t="str">
        <f>MachineryAssumptions!B24</f>
        <v>Fertilizer Spreader</v>
      </c>
      <c r="W64" s="177">
        <f>MachineryAssumptions!C24</f>
        <v>18000</v>
      </c>
      <c r="X64" s="180">
        <f>MachineryAssumptions!D24</f>
        <v>20</v>
      </c>
      <c r="Y64" s="173">
        <f>MachineryAssumptions!E24</f>
        <v>0.63</v>
      </c>
      <c r="Z64" s="173">
        <f>MachineryAssumptions!F24</f>
        <v>1.3</v>
      </c>
      <c r="AA64" s="184">
        <f>MachineryAssumptions!G24</f>
        <v>0.2626</v>
      </c>
      <c r="AB64" s="173">
        <v>0</v>
      </c>
      <c r="AC64" s="173">
        <f>MachineryAssumptions!I24</f>
        <v>40</v>
      </c>
      <c r="AD64" s="173">
        <f>MachineryAssumptions!J24</f>
        <v>3.6</v>
      </c>
      <c r="AE64" s="173">
        <f>MachineryAssumptions!K24</f>
        <v>60</v>
      </c>
      <c r="AF64" s="52">
        <f>IF(AK64=0,0,(W64*(((Y64*(((AK64*X64)/1000))^Z64))/X64))/AK64)</f>
        <v>4.552879097327482</v>
      </c>
      <c r="AG64" s="52">
        <f>IF(AK64=0,0,(((((W64-(W64*AA64))*(GeneralInputPrices!$D$36))/(1-((1+GeneralInputPrices!$D$36)^(-X64))))+((W64*AA64)*(1+GeneralInputPrices!$D$36)^X64)*GeneralInputPrices!$D$36)/AK64))</f>
        <v>865.79600514403455</v>
      </c>
      <c r="AH64" s="58">
        <f>(AC64*AD64*((AE64/100)))/8.25</f>
        <v>10.472727272727271</v>
      </c>
      <c r="AI64" s="54">
        <f>((TillageOperations!$C$4*TillageOperations!$C23)+(TillageOperations!$D$4*TillageOperations!$D23)+(TillageOperations!$E$4*TillageOperations!$E23)+(TillageOperations!$F$4*TillageOperations!$F23)+(TillageOperations!$G$4*TillageOperations!$G23)+(TillageOperations!$H$4*TillageOperations!$H23)+(TillageOperations!$I$4*TillageOperations!$I23)+(TillageOperations!$J$4*TillageOperations!$J23)+(TillageOperations!$K$4*TillageOperations!$K23)+(TillageOperations!$L$4*TillageOperations!$L23)+(TillageOperations!$M$4*TillageOperations!$M23)+(TillageOperations!$N$4*TillageOperations!$N23)+(TillageOperations!$O$4*TillageOperations!$O23)+(TillageOperations!$P$4*TillageOperations!$P23)+(TillageOperations!$Q$4*TillageOperations!$Q23)+(TillageOperations!$R$4*TillageOperations!$R23)+(TillageOperations!$S$4*TillageOperations!$S23)+(TillageOperations!$T$4*TillageOperations!$T23)+(TillageOperations!$U$4*TillageOperations!$U23))</f>
        <v>25</v>
      </c>
      <c r="AJ64" s="53">
        <v>2</v>
      </c>
      <c r="AK64" s="54">
        <f>AI64/AH64</f>
        <v>2.3871527777777781</v>
      </c>
      <c r="AL64" s="55">
        <f>(GeneralInputPrices!$D$29*1.1)/AH64</f>
        <v>1.879071180555556</v>
      </c>
      <c r="AM64" s="55">
        <f>(GeneralInputPrices!$D$27*$AB$48*1.15)/AH64</f>
        <v>2.1961805555555558</v>
      </c>
      <c r="AN64" s="55">
        <f>IF(AI64=0,0,(AF64+AF48)/AH64)</f>
        <v>0.46119270071875096</v>
      </c>
      <c r="AO64" s="55">
        <f>(IF(AI64=0,0,(AG64+AG48)/AH64))</f>
        <v>93.913865291400512</v>
      </c>
    </row>
    <row r="65" spans="1:41" ht="15.6">
      <c r="A65" s="2"/>
      <c r="B65" s="2"/>
      <c r="C65" s="2"/>
      <c r="D65" s="2"/>
      <c r="E65" s="2"/>
      <c r="F65" s="2"/>
      <c r="G65" s="2"/>
      <c r="M65" s="2"/>
      <c r="U65" s="158">
        <v>74</v>
      </c>
      <c r="V65" s="177" t="str">
        <f>MachineryAssumptions!B25</f>
        <v>Fertilizer Injection System</v>
      </c>
      <c r="W65" s="177">
        <f>MachineryAssumptions!C25</f>
        <v>2500</v>
      </c>
      <c r="X65" s="180">
        <f>MachineryAssumptions!D25</f>
        <v>20</v>
      </c>
      <c r="Y65" s="173">
        <f>MachineryAssumptions!E25</f>
        <v>0.63</v>
      </c>
      <c r="Z65" s="173">
        <f>MachineryAssumptions!F25</f>
        <v>1.3</v>
      </c>
      <c r="AA65" s="184">
        <f>MachineryAssumptions!G25</f>
        <v>0.2626</v>
      </c>
      <c r="AB65" s="173">
        <f>MachineryAssumptions!H25</f>
        <v>0</v>
      </c>
      <c r="AC65" s="173">
        <f>MachineryAssumptions!I25</f>
        <v>20</v>
      </c>
      <c r="AD65" s="173">
        <f>MachineryAssumptions!J25</f>
        <v>6</v>
      </c>
      <c r="AE65" s="173">
        <f>MachineryAssumptions!K25</f>
        <v>80</v>
      </c>
      <c r="AF65" s="52">
        <f>IF(AK65=0,0,(W65*(((Y65*(((AK65*X65)/1000))^Z65))/X65))/AK65)</f>
        <v>0</v>
      </c>
      <c r="AG65" s="52">
        <f>IF(AK65=0,0,(((((W65-(W65*AA65))*(GeneralInputPrices!$D$36))/(1-((1+GeneralInputPrices!$D$36)^(-X65))))+((W65*AA65)*(1+GeneralInputPrices!$D$36)^X65)*GeneralInputPrices!$D$36)/AK65))</f>
        <v>0</v>
      </c>
      <c r="AH65" s="58">
        <f>AH60</f>
        <v>4.3636363636363633</v>
      </c>
      <c r="AI65" s="54">
        <f>((TillageOperations!$C$4*TillageOperations!$C24)+(TillageOperations!$D$4*TillageOperations!$D24)+(TillageOperations!$E$4*TillageOperations!$E24)+(TillageOperations!$F$4*TillageOperations!$F24)+(TillageOperations!$G$4*TillageOperations!$G24)+(TillageOperations!$H$4*TillageOperations!$H24)+(TillageOperations!$I$4*TillageOperations!$I24)+(TillageOperations!$J$4*TillageOperations!$J24)+(TillageOperations!$K$4*TillageOperations!$K24)+(TillageOperations!$L$4*TillageOperations!$L24)+(TillageOperations!$M$4*TillageOperations!$M24)+(TillageOperations!$N$4*TillageOperations!$N24)+(TillageOperations!$O$4*TillageOperations!$O24)+(TillageOperations!$P$4*TillageOperations!$P24)+(TillageOperations!$Q$4*TillageOperations!$Q24)+(TillageOperations!$R$4*TillageOperations!$R24)+(TillageOperations!$S$4*TillageOperations!$S24)+(TillageOperations!$T$4*TillageOperations!$T24)+(TillageOperations!$U$4*TillageOperations!$U24))</f>
        <v>0</v>
      </c>
      <c r="AJ65" s="59">
        <v>1</v>
      </c>
      <c r="AK65" s="54">
        <f>AI65/AH65</f>
        <v>0</v>
      </c>
      <c r="AL65" s="55">
        <f>(GeneralInputPrices!$D$29*1.1)/AH65</f>
        <v>4.5097708333333344</v>
      </c>
      <c r="AM65" s="55">
        <f>(GeneralInputPrices!$D$27*$AB$47*1.15)/AH65</f>
        <v>8.4333333333333336</v>
      </c>
      <c r="AN65" s="55">
        <f>IF(AI65=0,0,(AF65+AF47)/AH65)</f>
        <v>0</v>
      </c>
      <c r="AO65" s="55">
        <f>(IF(AI65=0,0,(((AG65+AG47)/AH65))))</f>
        <v>0</v>
      </c>
    </row>
    <row r="66" spans="1:41" ht="15.6">
      <c r="A66" s="2"/>
      <c r="B66" s="2"/>
      <c r="C66" s="2"/>
      <c r="D66" s="2"/>
      <c r="E66" s="2"/>
      <c r="F66" s="2"/>
      <c r="G66" s="2"/>
      <c r="M66" s="2"/>
      <c r="U66" s="158">
        <v>75</v>
      </c>
      <c r="V66" s="177" t="str">
        <f>MachineryAssumptions!B26</f>
        <v>Boom Sprayer</v>
      </c>
      <c r="W66" s="177">
        <f>MachineryAssumptions!C26</f>
        <v>9500</v>
      </c>
      <c r="X66" s="180">
        <f>MachineryAssumptions!D26</f>
        <v>20</v>
      </c>
      <c r="Y66" s="173">
        <f>MachineryAssumptions!E26</f>
        <v>0.41</v>
      </c>
      <c r="Z66" s="173">
        <f>MachineryAssumptions!F26</f>
        <v>1.3</v>
      </c>
      <c r="AA66" s="184">
        <f>MachineryAssumptions!G26</f>
        <v>0.2626</v>
      </c>
      <c r="AB66" s="173">
        <f>MachineryAssumptions!H26</f>
        <v>0</v>
      </c>
      <c r="AC66" s="173">
        <f>MachineryAssumptions!I26</f>
        <v>60</v>
      </c>
      <c r="AD66" s="173">
        <f>MachineryAssumptions!J26</f>
        <v>3.5</v>
      </c>
      <c r="AE66" s="173">
        <f>MachineryAssumptions!K26</f>
        <v>65</v>
      </c>
      <c r="AF66" s="52">
        <f>IF(AK66=0,0,(W66*(((Y66*(((AK66*X66)/1000))^Z66))/X66))/AK66)</f>
        <v>3.1895508390838097</v>
      </c>
      <c r="AG66" s="52">
        <f>IF(AK66=0,0,(((((W66-(W66*AA66))*(GeneralInputPrices!$D$36))/(1-((1+GeneralInputPrices!$D$36)^(-X66))))+((W66*AA66)*(1+GeneralInputPrices!$D$36)^X66)*GeneralInputPrices!$D$36)/AK66))</f>
        <v>42.465541397003101</v>
      </c>
      <c r="AH66" s="58">
        <f>(AC66*AD66*((AE66/100)))/8.25</f>
        <v>16.545454545454547</v>
      </c>
      <c r="AI66" s="54">
        <f>((TillageOperations!$C$4*TillageOperations!$C25)+(TillageOperations!$D$4*TillageOperations!$D25)+(TillageOperations!$E$4*TillageOperations!$E25)+(TillageOperations!$F$4*TillageOperations!$F25)+(TillageOperations!$G$4*TillageOperations!$G25)+(TillageOperations!$H$4*TillageOperations!$H25)+(TillageOperations!$I$4*TillageOperations!$I25)+(TillageOperations!$J$4*TillageOperations!$J25)+(TillageOperations!$K$4*TillageOperations!$K25)+(TillageOperations!$L$4*TillageOperations!$L25)+(TillageOperations!$M$4*TillageOperations!$M25)+(TillageOperations!$N$4*TillageOperations!$N25)+(TillageOperations!$O$4*TillageOperations!$O25)+(TillageOperations!$P$4*TillageOperations!$P25)+(TillageOperations!$Q$4*TillageOperations!$Q25)+(TillageOperations!$R$4*TillageOperations!$R25)+(TillageOperations!$S$4*TillageOperations!$S25)+(TillageOperations!$T$4*TillageOperations!$T25)+(TillageOperations!$U$4*TillageOperations!$U25))</f>
        <v>425</v>
      </c>
      <c r="AJ66" s="53">
        <v>2</v>
      </c>
      <c r="AK66" s="54">
        <f>AI66/AH66</f>
        <v>25.686813186813186</v>
      </c>
      <c r="AL66" s="55">
        <f>(GeneralInputPrices!$D$29*1.1)/AH66</f>
        <v>1.1893901098901098</v>
      </c>
      <c r="AM66" s="55">
        <f>(GeneralInputPrices!$D$27*$AB$48*1.15)/AH66</f>
        <v>1.3901098901098901</v>
      </c>
      <c r="AN66" s="55">
        <f>IF(AI66=0,0,(AF66+AF48)/AH66)</f>
        <v>0.20952081473692147</v>
      </c>
      <c r="AO66" s="55">
        <f>(IF(AI66=0,0,(AG66+AG48)/AH66))</f>
        <v>9.6826493425933542</v>
      </c>
    </row>
    <row r="67" spans="1:41" ht="15.6">
      <c r="A67" s="2"/>
      <c r="B67" s="2"/>
      <c r="C67" s="2"/>
      <c r="D67" s="2"/>
      <c r="E67" s="2"/>
      <c r="F67" s="2"/>
      <c r="G67" s="2"/>
      <c r="M67" s="2"/>
      <c r="U67" s="158">
        <v>62</v>
      </c>
      <c r="V67" s="177" t="str">
        <f>MachineryAssumptions!B28</f>
        <v>Cotton Picker</v>
      </c>
      <c r="W67" s="177">
        <f>MachineryAssumptions!C28</f>
        <v>75000</v>
      </c>
      <c r="X67" s="180">
        <f>MachineryAssumptions!D28</f>
        <v>10</v>
      </c>
      <c r="Y67" s="173">
        <f>MachineryAssumptions!E28</f>
        <v>0.14000000000000001</v>
      </c>
      <c r="Z67" s="173">
        <f>MachineryAssumptions!F28</f>
        <v>2.2999999999999998</v>
      </c>
      <c r="AA67" s="184">
        <f>MachineryAssumptions!G28</f>
        <v>0.25240000000000001</v>
      </c>
      <c r="AB67" s="173">
        <f>MachineryAssumptions!H28</f>
        <v>12</v>
      </c>
      <c r="AC67" s="173">
        <f>MachineryAssumptions!I28</f>
        <v>10</v>
      </c>
      <c r="AD67" s="173">
        <f>MachineryAssumptions!J28</f>
        <v>3.16</v>
      </c>
      <c r="AE67" s="173">
        <f>MachineryAssumptions!K28</f>
        <v>70</v>
      </c>
      <c r="AF67" s="52">
        <f t="shared" si="10"/>
        <v>0</v>
      </c>
      <c r="AG67" s="52">
        <f>IF(AK67=0,0,(((((W67-(W67*AA67))*(GeneralInputPrices!$D$36))/(1-((1+GeneralInputPrices!$D$36)^(-X67))))+((W67*AA67)*(1+GeneralInputPrices!$D$36)^X67)*GeneralInputPrices!$D$36)/AK67))</f>
        <v>0</v>
      </c>
      <c r="AH67" s="58">
        <f t="shared" si="11"/>
        <v>2.6812121212121212</v>
      </c>
      <c r="AI67" s="54">
        <f>((TillageOperations!$C$4*TillageOperations!$C27)+(TillageOperations!$D$4*TillageOperations!$D27)+(TillageOperations!$E$4*TillageOperations!$E27)+(TillageOperations!$F$4*TillageOperations!$F27)+(TillageOperations!$G$4*TillageOperations!$G27)+(TillageOperations!$H$4*TillageOperations!$H27)+(TillageOperations!$I$4*TillageOperations!$I27)+(TillageOperations!$J$4*TillageOperations!$J27)+(TillageOperations!$K$4*TillageOperations!$K27)+(TillageOperations!$L$4*TillageOperations!$L27)+(TillageOperations!$M$4*TillageOperations!$M27)+(TillageOperations!$N$4*TillageOperations!$N27)+(TillageOperations!$O$4*TillageOperations!$O27)+(TillageOperations!$P$4*TillageOperations!$P27)+(TillageOperations!$Q$4*TillageOperations!$Q27)+(TillageOperations!$R$4*TillageOperations!$R27)+(TillageOperations!$S$4*TillageOperations!$S27)+(TillageOperations!$T$4*TillageOperations!$T27)+(TillageOperations!$U$4*TillageOperations!$U27))</f>
        <v>0</v>
      </c>
      <c r="AJ67" s="59" t="s">
        <v>58</v>
      </c>
      <c r="AK67" s="54">
        <f t="shared" si="12"/>
        <v>0</v>
      </c>
      <c r="AL67" s="55">
        <f>(GeneralInputPrices!$D$29*1.1)/AH67</f>
        <v>7.3395908679927677</v>
      </c>
      <c r="AM67" s="55">
        <f>(GeneralInputPrices!$D$27*$AB$67*1.15)/AH67</f>
        <v>20.587703435804702</v>
      </c>
      <c r="AN67" s="55">
        <f>IF(AI67=0,0,(AF67)/AH67)</f>
        <v>0</v>
      </c>
      <c r="AO67" s="55">
        <f>(IF(AI67=0,0,(AG67)/AH67))</f>
        <v>0</v>
      </c>
    </row>
    <row r="68" spans="1:41" ht="15.6">
      <c r="A68" s="2"/>
      <c r="B68" s="2"/>
      <c r="C68" s="2"/>
      <c r="D68" s="2"/>
      <c r="E68" s="2"/>
      <c r="F68" s="2"/>
      <c r="G68" s="2"/>
      <c r="M68" s="2"/>
      <c r="U68" s="158">
        <v>63</v>
      </c>
      <c r="V68" s="177" t="str">
        <f>MachineryAssumptions!B29</f>
        <v>Module Unit</v>
      </c>
      <c r="W68" s="177">
        <f>MachineryAssumptions!C29</f>
        <v>30000</v>
      </c>
      <c r="X68" s="180">
        <f>MachineryAssumptions!D29</f>
        <v>15</v>
      </c>
      <c r="Y68" s="173">
        <f>MachineryAssumptions!E29</f>
        <v>0.18</v>
      </c>
      <c r="Z68" s="173">
        <f>MachineryAssumptions!F29</f>
        <v>1</v>
      </c>
      <c r="AA68" s="184">
        <f>MachineryAssumptions!G29</f>
        <v>0.21759999999999999</v>
      </c>
      <c r="AB68" s="173">
        <f>MachineryAssumptions!H29</f>
        <v>0</v>
      </c>
      <c r="AC68" s="173">
        <f>MachineryAssumptions!I29</f>
        <v>10</v>
      </c>
      <c r="AD68" s="173">
        <f>MachineryAssumptions!J29</f>
        <v>3.16</v>
      </c>
      <c r="AE68" s="173">
        <f>MachineryAssumptions!K29</f>
        <v>85</v>
      </c>
      <c r="AF68" s="52">
        <f t="shared" ref="AF68" si="13">IF(AK68=0,0,(W68*(((Y68*(((AK68*X68)/1000))^Z68))/X68))/AK68)</f>
        <v>0</v>
      </c>
      <c r="AG68" s="52">
        <f>IF(AK68=0,0,(((((W68-(W68*AA68))*(GeneralInputPrices!$D$36))/(1-((1+GeneralInputPrices!$D$36)^(-X68))))+((W68*AA68)*(1+GeneralInputPrices!$D$36)^X68)*GeneralInputPrices!$D$36)/AK68))</f>
        <v>0</v>
      </c>
      <c r="AH68" s="58">
        <f t="shared" si="11"/>
        <v>3.2557575757575759</v>
      </c>
      <c r="AI68" s="54">
        <f>((TillageOperations!$C$4*TillageOperations!$C28)+(TillageOperations!$D$4*TillageOperations!$D28)+(TillageOperations!$E$4*TillageOperations!$E28)+(TillageOperations!$F$4*TillageOperations!$F28)+(TillageOperations!$G$4*TillageOperations!$G28)+(TillageOperations!$H$4*TillageOperations!$H28)+(TillageOperations!$I$4*TillageOperations!$I28)+(TillageOperations!$J$4*TillageOperations!$J28)+(TillageOperations!$K$4*TillageOperations!$K28)+(TillageOperations!$L$4*TillageOperations!$L28)+(TillageOperations!$M$4*TillageOperations!$M28)+(TillageOperations!$N$4*TillageOperations!$N28)+(TillageOperations!$O$4*TillageOperations!$O28)+(TillageOperations!$P$4*TillageOperations!$P28)+(TillageOperations!$Q$4*TillageOperations!$Q28)+(TillageOperations!$R$4*TillageOperations!$R28)+(TillageOperations!$S$4*TillageOperations!$S28)+(TillageOperations!$T$4*TillageOperations!$T28)+(TillageOperations!$U$4*TillageOperations!$U28))</f>
        <v>0</v>
      </c>
      <c r="AJ68" s="53">
        <v>2</v>
      </c>
      <c r="AK68" s="54">
        <f t="shared" ref="AK68" si="14">AI68/AH68</f>
        <v>0</v>
      </c>
      <c r="AL68" s="55">
        <f>(GeneralInputPrices!$D$29*1.1)/AH68</f>
        <v>6.0443689501116911</v>
      </c>
      <c r="AM68" s="55">
        <f>(GeneralInputPrices!$D$27*$AB$48*1.15)/AH68</f>
        <v>7.0644080416976918</v>
      </c>
      <c r="AN68" s="55">
        <f>IF(AI68=0,0,(AF68+AF48)/AH68)</f>
        <v>0</v>
      </c>
      <c r="AO68" s="55">
        <f>(IF(AI68=0,0,(AG68+AG48)/AH68))</f>
        <v>0</v>
      </c>
    </row>
    <row r="69" spans="1:41" ht="15.6">
      <c r="A69" s="2"/>
      <c r="B69" s="2"/>
      <c r="C69" s="2"/>
      <c r="D69" s="2"/>
      <c r="E69" s="2"/>
      <c r="F69" s="2"/>
      <c r="G69" s="2"/>
      <c r="M69" s="2"/>
      <c r="U69" s="158">
        <v>64</v>
      </c>
      <c r="V69" s="177" t="str">
        <f>MachineryAssumptions!B30</f>
        <v>Haul Cotton</v>
      </c>
      <c r="W69" s="177">
        <f>MachineryAssumptions!C30</f>
        <v>5500</v>
      </c>
      <c r="X69" s="180">
        <f>MachineryAssumptions!D30</f>
        <v>15</v>
      </c>
      <c r="Y69" s="173">
        <f>MachineryAssumptions!E30</f>
        <v>0.16</v>
      </c>
      <c r="Z69" s="173">
        <f>MachineryAssumptions!F30</f>
        <v>1.6</v>
      </c>
      <c r="AA69" s="184">
        <f>MachineryAssumptions!G30</f>
        <v>0.2626</v>
      </c>
      <c r="AB69" s="173">
        <f>MachineryAssumptions!H30</f>
        <v>0</v>
      </c>
      <c r="AC69" s="173">
        <f>MachineryAssumptions!I30</f>
        <v>10</v>
      </c>
      <c r="AD69" s="173">
        <f>MachineryAssumptions!J30</f>
        <v>3.16</v>
      </c>
      <c r="AE69" s="173">
        <f>MachineryAssumptions!K30</f>
        <v>85</v>
      </c>
      <c r="AF69" s="52">
        <f t="shared" si="10"/>
        <v>0</v>
      </c>
      <c r="AG69" s="52">
        <f>IF(AK69=0,0,(((((W69-(W69*AA69))*(GeneralInputPrices!$D$36))/(1-((1+GeneralInputPrices!$D$36)^(-X69))))+((W69*AA69)*(1+GeneralInputPrices!$D$36)^X69)*GeneralInputPrices!$D$36)/AK69))</f>
        <v>0</v>
      </c>
      <c r="AH69" s="58">
        <f t="shared" si="11"/>
        <v>3.2557575757575759</v>
      </c>
      <c r="AI69" s="54">
        <f>((TillageOperations!$C$4*TillageOperations!$C29)+(TillageOperations!$D$4*TillageOperations!$D29)+(TillageOperations!$E$4*TillageOperations!$E29)+(TillageOperations!$F$4*TillageOperations!$F29)+(TillageOperations!$G$4*TillageOperations!$G29)+(TillageOperations!$H$4*TillageOperations!$H29)+(TillageOperations!$I$4*TillageOperations!$I29)+(TillageOperations!$J$4*TillageOperations!$J29)+(TillageOperations!$K$4*TillageOperations!$K29)+(TillageOperations!$L$4*TillageOperations!$L29)+(TillageOperations!$M$4*TillageOperations!$M29)+(TillageOperations!$N$4*TillageOperations!$N29)+(TillageOperations!$O$4*TillageOperations!$O29)+(TillageOperations!$P$4*TillageOperations!$P29)+(TillageOperations!$Q$4*TillageOperations!$Q29)+(TillageOperations!$R$4*TillageOperations!$R29)+(TillageOperations!$S$4*TillageOperations!$S29)+(TillageOperations!$T$4*TillageOperations!$T29)+(TillageOperations!$U$4*TillageOperations!$U29))</f>
        <v>0</v>
      </c>
      <c r="AJ69" s="53">
        <v>2</v>
      </c>
      <c r="AK69" s="54">
        <f t="shared" si="12"/>
        <v>0</v>
      </c>
      <c r="AL69" s="55">
        <f>(GeneralInputPrices!$D$29*1.1)/AH69</f>
        <v>6.0443689501116911</v>
      </c>
      <c r="AM69" s="55">
        <f>(GeneralInputPrices!$D$27*$AB$48*1.15)/AH69</f>
        <v>7.0644080416976918</v>
      </c>
      <c r="AN69" s="55">
        <f>IF(AI69=0,0,(AF69+AF48)/AH69)</f>
        <v>0</v>
      </c>
      <c r="AO69" s="55">
        <f>(IF(AI69=0,0,(AG69+AG48)/AH69))</f>
        <v>0</v>
      </c>
    </row>
    <row r="70" spans="1:41" ht="15.6">
      <c r="A70" s="2"/>
      <c r="B70" s="2"/>
      <c r="C70" s="2"/>
      <c r="D70" s="2"/>
      <c r="E70" s="2"/>
      <c r="F70" s="2"/>
      <c r="G70" s="2"/>
      <c r="M70" s="2"/>
      <c r="U70" s="158">
        <v>66</v>
      </c>
      <c r="V70" s="177" t="str">
        <f>MachineryAssumptions!B31</f>
        <v>Combine</v>
      </c>
      <c r="W70" s="177">
        <f>MachineryAssumptions!C31</f>
        <v>180000</v>
      </c>
      <c r="X70" s="180">
        <f>MachineryAssumptions!D31</f>
        <v>10</v>
      </c>
      <c r="Y70" s="173">
        <f>MachineryAssumptions!E31</f>
        <v>0.04</v>
      </c>
      <c r="Z70" s="173">
        <f>MachineryAssumptions!F31</f>
        <v>2.1</v>
      </c>
      <c r="AA70" s="184">
        <f>MachineryAssumptions!G31</f>
        <v>0.25240000000000001</v>
      </c>
      <c r="AB70" s="173">
        <f>MachineryAssumptions!H31</f>
        <v>13</v>
      </c>
      <c r="AC70" s="173">
        <f>MachineryAssumptions!I31</f>
        <v>30</v>
      </c>
      <c r="AD70" s="173">
        <f>MachineryAssumptions!J31</f>
        <v>4</v>
      </c>
      <c r="AE70" s="173">
        <f>MachineryAssumptions!K31</f>
        <v>85</v>
      </c>
      <c r="AF70" s="52">
        <f t="shared" si="10"/>
        <v>0.70741137007519361</v>
      </c>
      <c r="AG70" s="52">
        <f>IF(AK70=0,0,(((((W70-(W70*AA70))*(GeneralInputPrices!$D$36))/(1-((1+GeneralInputPrices!$D$36)^(-X70))))+((W70*AA70)*(1+GeneralInputPrices!$D$36)^X70)*GeneralInputPrices!$D$36)/AK70))</f>
        <v>1909.3729853620935</v>
      </c>
      <c r="AH70" s="58">
        <f>(AC70*AD70*((AE70/100)))/8.25</f>
        <v>12.363636363636363</v>
      </c>
      <c r="AI70" s="54">
        <f>((TillageOperations!$C$4*TillageOperations!$C30)+(TillageOperations!$D$4*TillageOperations!$D30)+(TillageOperations!$E$4*TillageOperations!$E30)+(TillageOperations!$F$4*TillageOperations!$F30)+(TillageOperations!$G$4*TillageOperations!$G30)+(TillageOperations!$H$4*TillageOperations!$H30)+(TillageOperations!$I$4*TillageOperations!$I30)+(TillageOperations!$J$4*TillageOperations!$J30)+(TillageOperations!$K$4*TillageOperations!$K30)+(TillageOperations!$L$4*TillageOperations!$L30)+(TillageOperations!$M$4*TillageOperations!$M30)+(TillageOperations!$N$4*TillageOperations!$N30)+(TillageOperations!$O$4*TillageOperations!$O30)+(TillageOperations!$P$4*TillageOperations!$P30)+(TillageOperations!$Q$4*TillageOperations!$Q30)+(TillageOperations!$R$4*TillageOperations!$R30)+(TillageOperations!$S$4*TillageOperations!$S30)+(TillageOperations!$T$4*TillageOperations!$T30)+(TillageOperations!$U$4*TillageOperations!$U30))</f>
        <v>150</v>
      </c>
      <c r="AJ70" s="59" t="s">
        <v>58</v>
      </c>
      <c r="AK70" s="54">
        <f t="shared" si="12"/>
        <v>12.132352941176471</v>
      </c>
      <c r="AL70" s="55">
        <f>(GeneralInputPrices!$D$29*1.1)/AH70</f>
        <v>1.591683823529412</v>
      </c>
      <c r="AM70" s="55">
        <f>(GeneralInputPrices!$D$27*$AB$70*1.15)/AH70</f>
        <v>4.8367647058823531</v>
      </c>
      <c r="AN70" s="55">
        <f>IF(AI70=0,0,AF70/AH70)</f>
        <v>5.7217096109023015E-2</v>
      </c>
      <c r="AO70" s="55">
        <f>(IF(AI70=0,0,AG70/AH70))</f>
        <v>154.43457969840463</v>
      </c>
    </row>
    <row r="71" spans="1:41" ht="15.6">
      <c r="A71" s="2"/>
      <c r="B71" s="2"/>
      <c r="C71" s="2"/>
      <c r="D71" s="2"/>
      <c r="E71" s="2"/>
      <c r="F71" s="2"/>
      <c r="G71" s="2"/>
      <c r="M71" s="2"/>
      <c r="U71" s="158">
        <v>67</v>
      </c>
      <c r="V71" s="177" t="str">
        <f>MachineryAssumptions!B32</f>
        <v>Grain Cart</v>
      </c>
      <c r="W71" s="177">
        <f>MachineryAssumptions!C32</f>
        <v>18000</v>
      </c>
      <c r="X71" s="180">
        <f>MachineryAssumptions!D32</f>
        <v>15</v>
      </c>
      <c r="Y71" s="173">
        <f>MachineryAssumptions!E32</f>
        <v>0.19</v>
      </c>
      <c r="Z71" s="173">
        <f>MachineryAssumptions!F32</f>
        <v>1.3</v>
      </c>
      <c r="AA71" s="184">
        <f>MachineryAssumptions!G32</f>
        <v>0.34970000000000001</v>
      </c>
      <c r="AB71" s="173">
        <f>MachineryAssumptions!H32</f>
        <v>0</v>
      </c>
      <c r="AC71" s="173">
        <f>MachineryAssumptions!I32</f>
        <v>10</v>
      </c>
      <c r="AD71" s="173">
        <f>MachineryAssumptions!J32</f>
        <v>4</v>
      </c>
      <c r="AE71" s="173">
        <f>MachineryAssumptions!K32</f>
        <v>85</v>
      </c>
      <c r="AF71" s="52">
        <f t="shared" si="10"/>
        <v>2.051336910505607</v>
      </c>
      <c r="AG71" s="52">
        <f>IF(AK71=0,0,(((((W71-(W71*AA71))*(GeneralInputPrices!$D$36))/(1-((1+GeneralInputPrices!$D$36)^(-X71))))+((W71*AA71)*(1+GeneralInputPrices!$D$36)^X71)*GeneralInputPrices!$D$36)/AK71))</f>
        <v>173.94341061223665</v>
      </c>
      <c r="AH71" s="56">
        <f>AH70</f>
        <v>12.363636363636363</v>
      </c>
      <c r="AI71" s="54">
        <f>((TillageOperations!$C$4*TillageOperations!$C31)+(TillageOperations!$D$4*TillageOperations!$D31)+(TillageOperations!$E$4*TillageOperations!$E31)+(TillageOperations!$F$4*TillageOperations!$F31)+(TillageOperations!$G$4*TillageOperations!$G31)+(TillageOperations!$H$4*TillageOperations!$H31)+(TillageOperations!$I$4*TillageOperations!$I31)+(TillageOperations!$J$4*TillageOperations!$J31)+(TillageOperations!$K$4*TillageOperations!$K31)+(TillageOperations!$L$4*TillageOperations!$L31)+(TillageOperations!$M$4*TillageOperations!$M31)+(TillageOperations!$N$4*TillageOperations!$N31)+(TillageOperations!$O$4*TillageOperations!$O31)+(TillageOperations!$P$4*TillageOperations!$P31)+(TillageOperations!$Q$4*TillageOperations!$Q31)+(TillageOperations!$R$4*TillageOperations!$R31)+(TillageOperations!$S$4*TillageOperations!$S31)+(TillageOperations!$T$4*TillageOperations!$T31)+(TillageOperations!$U$4*TillageOperations!$U31))</f>
        <v>150</v>
      </c>
      <c r="AJ71" s="53">
        <v>1</v>
      </c>
      <c r="AK71" s="54">
        <f t="shared" si="12"/>
        <v>12.132352941176471</v>
      </c>
      <c r="AL71" s="55">
        <f>(GeneralInputPrices!$D$29*1.1)/AH71</f>
        <v>1.591683823529412</v>
      </c>
      <c r="AM71" s="55">
        <f>(GeneralInputPrices!$D$27*$AB$47*1.15)/AH71</f>
        <v>2.9764705882352938</v>
      </c>
      <c r="AN71" s="55">
        <f>IF(AI71=0,0,(AF71+AF47)/AH71)</f>
        <v>0.23983917856227385</v>
      </c>
      <c r="AO71" s="55">
        <f>(IF(AI71=0,0,(AG71+AG47)/AH71))</f>
        <v>25.28843211678571</v>
      </c>
    </row>
    <row r="72" spans="1:41" ht="15.6">
      <c r="A72" s="2"/>
      <c r="B72" s="2"/>
      <c r="C72" s="2"/>
      <c r="D72" s="2"/>
      <c r="E72" s="2"/>
      <c r="F72" s="2"/>
      <c r="G72" s="2"/>
      <c r="M72" s="2"/>
      <c r="U72" s="158">
        <v>68</v>
      </c>
      <c r="V72" s="177" t="str">
        <f>MachineryAssumptions!B33</f>
        <v>Swather</v>
      </c>
      <c r="W72" s="177">
        <f>MachineryAssumptions!C33</f>
        <v>75000</v>
      </c>
      <c r="X72" s="180">
        <f>MachineryAssumptions!D33</f>
        <v>15</v>
      </c>
      <c r="Y72" s="173">
        <f>MachineryAssumptions!E33</f>
        <v>0.06</v>
      </c>
      <c r="Z72" s="173">
        <f>MachineryAssumptions!F33</f>
        <v>2</v>
      </c>
      <c r="AA72" s="184">
        <f>MachineryAssumptions!G33</f>
        <v>0.19139999999999999</v>
      </c>
      <c r="AB72" s="173">
        <f>MachineryAssumptions!H33</f>
        <v>4</v>
      </c>
      <c r="AC72" s="173">
        <f>MachineryAssumptions!I33</f>
        <v>16</v>
      </c>
      <c r="AD72" s="173">
        <f>MachineryAssumptions!J33</f>
        <v>6.25</v>
      </c>
      <c r="AE72" s="173">
        <f>MachineryAssumptions!K33</f>
        <v>75</v>
      </c>
      <c r="AF72" s="52">
        <f t="shared" si="10"/>
        <v>0</v>
      </c>
      <c r="AG72" s="52">
        <f>IF(AK72=0,0,(((((W72-(W72*AA72))*(GeneralInputPrices!$D$36))/(1-((1+GeneralInputPrices!$D$36)^(-X72))))+((W72*AA72)*(1+GeneralInputPrices!$D$36)^X72)*GeneralInputPrices!$D$36)/AK72))</f>
        <v>0</v>
      </c>
      <c r="AH72" s="58">
        <f t="shared" ref="AH72:AH76" si="15">(AC72*AD72*((AE72/100)))/8.25</f>
        <v>9.0909090909090917</v>
      </c>
      <c r="AI72" s="54">
        <f>((TillageOperations!$C$4*TillageOperations!$C32)+(TillageOperations!$D$4*TillageOperations!$D32)+(TillageOperations!$E$4*TillageOperations!$E32)+(TillageOperations!$F$4*TillageOperations!$F32)+(TillageOperations!$G$4*TillageOperations!$G32)+(TillageOperations!$H$4*TillageOperations!$H32)+(TillageOperations!$I$4*TillageOperations!$I32)+(TillageOperations!$J$4*TillageOperations!$J32)+(TillageOperations!$K$4*TillageOperations!$K32)+(TillageOperations!$L$4*TillageOperations!$L32)+(TillageOperations!$M$4*TillageOperations!$M32)+(TillageOperations!$N$4*TillageOperations!$N32)+(TillageOperations!$O$4*TillageOperations!$O32)+(TillageOperations!$P$4*TillageOperations!$P32)+(TillageOperations!$Q$4*TillageOperations!$Q32)+(TillageOperations!$R$4*TillageOperations!$R32)+(TillageOperations!$S$4*TillageOperations!$S32)+(TillageOperations!$T$4*TillageOperations!$T32)+(TillageOperations!$U$4*TillageOperations!$U32))</f>
        <v>0</v>
      </c>
      <c r="AJ72" s="59" t="s">
        <v>58</v>
      </c>
      <c r="AK72" s="54">
        <f t="shared" si="12"/>
        <v>0</v>
      </c>
      <c r="AL72" s="55">
        <f>(GeneralInputPrices!$D$29*1.1)/AH72</f>
        <v>2.1646900000000002</v>
      </c>
      <c r="AM72" s="55">
        <f>(GeneralInputPrices!$D$27*$AB72*1.15)/AH72</f>
        <v>2.0239999999999996</v>
      </c>
      <c r="AN72" s="55">
        <f>IF(AI72=0,0,AF72/AH72)</f>
        <v>0</v>
      </c>
      <c r="AO72" s="55">
        <f>(IF(AI72=0,0,AG72/AH72))</f>
        <v>0</v>
      </c>
    </row>
    <row r="73" spans="1:41" ht="15.6">
      <c r="A73" s="2"/>
      <c r="B73" s="2"/>
      <c r="C73" s="2"/>
      <c r="D73" s="2"/>
      <c r="E73" s="2"/>
      <c r="F73" s="2"/>
      <c r="G73" s="2"/>
      <c r="M73" s="2"/>
      <c r="U73" s="158">
        <v>69</v>
      </c>
      <c r="V73" s="177" t="str">
        <f>MachineryAssumptions!B34</f>
        <v>Baler</v>
      </c>
      <c r="W73" s="177">
        <f>MachineryAssumptions!C34</f>
        <v>120000</v>
      </c>
      <c r="X73" s="180">
        <f>MachineryAssumptions!D34</f>
        <v>10</v>
      </c>
      <c r="Y73" s="173">
        <f>MachineryAssumptions!E34</f>
        <v>0.1</v>
      </c>
      <c r="Z73" s="173">
        <f>MachineryAssumptions!F34</f>
        <v>1.8</v>
      </c>
      <c r="AA73" s="184">
        <f>MachineryAssumptions!G34</f>
        <v>0.28239999999999998</v>
      </c>
      <c r="AB73" s="173">
        <f>MachineryAssumptions!H34</f>
        <v>0</v>
      </c>
      <c r="AC73" s="173">
        <f>MachineryAssumptions!I34</f>
        <v>16</v>
      </c>
      <c r="AD73" s="173">
        <f>MachineryAssumptions!J34</f>
        <v>4</v>
      </c>
      <c r="AE73" s="173">
        <f>MachineryAssumptions!K34</f>
        <v>75</v>
      </c>
      <c r="AF73" s="52">
        <f t="shared" si="10"/>
        <v>0</v>
      </c>
      <c r="AG73" s="52">
        <f>IF(AK73=0,0,(((((W73-(W73*AA73))*(GeneralInputPrices!$D$36))/(1-((1+GeneralInputPrices!$D$36)^(-X73))))+((W73*AA73)*(1+GeneralInputPrices!$D$36)^X73)*GeneralInputPrices!$D$36)/AK73))</f>
        <v>0</v>
      </c>
      <c r="AH73" s="58">
        <f t="shared" si="15"/>
        <v>5.8181818181818183</v>
      </c>
      <c r="AI73" s="54">
        <f>((TillageOperations!$C$4*TillageOperations!$C33)+(TillageOperations!$D$4*TillageOperations!$D33)+(TillageOperations!$E$4*TillageOperations!$E33)+(TillageOperations!$F$4*TillageOperations!$F33)+(TillageOperations!$G$4*TillageOperations!$G33)+(TillageOperations!$H$4*TillageOperations!$H33)+(TillageOperations!$I$4*TillageOperations!$I33)+(TillageOperations!$J$4*TillageOperations!$J33)+(TillageOperations!$K$4*TillageOperations!$K33)+(TillageOperations!$L$4*TillageOperations!$L33)+(TillageOperations!$M$4*TillageOperations!$M33)+(TillageOperations!$N$4*TillageOperations!$N33)+(TillageOperations!$O$4*TillageOperations!$O33)+(TillageOperations!$P$4*TillageOperations!$P33)+(TillageOperations!$Q$4*TillageOperations!$Q33)+(TillageOperations!$R$4*TillageOperations!$R33)+(TillageOperations!$S$4*TillageOperations!$S33)+(TillageOperations!$T$4*TillageOperations!$T33)+(TillageOperations!$U$4*TillageOperations!$U33))</f>
        <v>0</v>
      </c>
      <c r="AJ73" s="53">
        <v>2</v>
      </c>
      <c r="AK73" s="54">
        <f t="shared" si="12"/>
        <v>0</v>
      </c>
      <c r="AL73" s="55">
        <f>(GeneralInputPrices!$D$29*1.1)/AH73</f>
        <v>3.3823281250000004</v>
      </c>
      <c r="AM73" s="55">
        <f>(GeneralInputPrices!$D$27*$AB$48*1.15)/AH73</f>
        <v>3.953125</v>
      </c>
      <c r="AN73" s="55">
        <f>IF(AI73=0,0,(AF73+AF48)/AH73)</f>
        <v>0</v>
      </c>
      <c r="AO73" s="55">
        <f>(IF(AI73=0,0,(AG73+AG48)/AH73))</f>
        <v>0</v>
      </c>
    </row>
    <row r="74" spans="1:41" ht="15.6">
      <c r="A74" s="2"/>
      <c r="B74" s="2"/>
      <c r="C74" s="2"/>
      <c r="D74" s="2"/>
      <c r="E74" s="2"/>
      <c r="F74" s="2"/>
      <c r="G74" s="2"/>
      <c r="H74" s="2"/>
      <c r="I74" s="2"/>
      <c r="J74" s="2"/>
      <c r="K74" s="2"/>
      <c r="L74" s="2"/>
      <c r="M74" s="2"/>
      <c r="U74" s="158">
        <v>70</v>
      </c>
      <c r="V74" s="178" t="str">
        <f>MachineryAssumptions!B35</f>
        <v>Swather</v>
      </c>
      <c r="W74" s="178">
        <f>MachineryAssumptions!C35</f>
        <v>75000</v>
      </c>
      <c r="X74" s="181">
        <f>MachineryAssumptions!D35</f>
        <v>7</v>
      </c>
      <c r="Y74" s="174">
        <f>MachineryAssumptions!E35</f>
        <v>0.06</v>
      </c>
      <c r="Z74" s="174">
        <f>MachineryAssumptions!F35</f>
        <v>2</v>
      </c>
      <c r="AA74" s="185">
        <f>MachineryAssumptions!G35</f>
        <v>0.19139999999999999</v>
      </c>
      <c r="AB74" s="175">
        <f>MachineryAssumptions!H35</f>
        <v>4</v>
      </c>
      <c r="AC74" s="174">
        <f>MachineryAssumptions!I35</f>
        <v>16</v>
      </c>
      <c r="AD74" s="174">
        <f>MachineryAssumptions!J35</f>
        <v>0.65</v>
      </c>
      <c r="AE74" s="174">
        <f>MachineryAssumptions!K35</f>
        <v>75</v>
      </c>
      <c r="AF74" s="82">
        <f t="shared" si="10"/>
        <v>0</v>
      </c>
      <c r="AG74" s="82">
        <f>IF(AK74=0,0,(((((W74-(W74*AA74))*(GeneralInputPrices!$D$36))/(1-((1+GeneralInputPrices!$D$36)^(-X74))))+((W74*AA74)*(1+GeneralInputPrices!$D$36)^X74)*GeneralInputPrices!$D$36)/AK74))</f>
        <v>0</v>
      </c>
      <c r="AH74" s="83">
        <f t="shared" si="15"/>
        <v>0.94545454545454555</v>
      </c>
      <c r="AI74" s="54">
        <f>((TillageOperations!$C$4*TillageOperations!$C34)+(TillageOperations!$D$4*TillageOperations!$D34)+(TillageOperations!$E$4*TillageOperations!$E34)+(TillageOperations!$F$4*TillageOperations!$F34)+(TillageOperations!$G$4*TillageOperations!$G34)+(TillageOperations!$H$4*TillageOperations!$H34)+(TillageOperations!$I$4*TillageOperations!$I34)+(TillageOperations!$J$4*TillageOperations!$J34)+(TillageOperations!$K$4*TillageOperations!$K34)+(TillageOperations!$L$4*TillageOperations!$L34)+(TillageOperations!$M$4*TillageOperations!$M34)+(TillageOperations!$N$4*TillageOperations!$N34)+(TillageOperations!$O$4*TillageOperations!$O34)+(TillageOperations!$P$4*TillageOperations!$P34)+(TillageOperations!$Q$4*TillageOperations!$Q34)+(TillageOperations!$R$4*TillageOperations!$R34)+(TillageOperations!$S$4*TillageOperations!$S34)+(TillageOperations!$T$4*TillageOperations!$T34)+(TillageOperations!$U$4*TillageOperations!$U34))</f>
        <v>0</v>
      </c>
      <c r="AJ74" s="85" t="s">
        <v>58</v>
      </c>
      <c r="AK74" s="84">
        <f t="shared" si="12"/>
        <v>0</v>
      </c>
      <c r="AL74" s="86">
        <f>(GeneralInputPrices!$D$29*1.1)/AH74</f>
        <v>20.814326923076923</v>
      </c>
      <c r="AM74" s="86">
        <f>(GeneralInputPrices!$D$27*$AB74*1.15)/AH74</f>
        <v>19.46153846153846</v>
      </c>
      <c r="AN74" s="86">
        <f>IF(AI74=0,0,AF74/AH74)</f>
        <v>0</v>
      </c>
      <c r="AO74" s="87">
        <f>(IF(AI74=0,0,AG74/AH74))</f>
        <v>0</v>
      </c>
    </row>
    <row r="75" spans="1:41" ht="15.6">
      <c r="A75" s="2"/>
      <c r="B75" s="2"/>
      <c r="C75" s="2"/>
      <c r="D75" s="2"/>
      <c r="E75" s="2"/>
      <c r="F75" s="2"/>
      <c r="G75" s="2"/>
      <c r="H75" s="2"/>
      <c r="I75" s="2"/>
      <c r="J75" s="2"/>
      <c r="K75" s="2"/>
      <c r="L75" s="2"/>
      <c r="M75" s="2"/>
      <c r="U75" s="158">
        <v>71</v>
      </c>
      <c r="V75" s="179" t="str">
        <f>MachineryAssumptions!B36</f>
        <v>Baler</v>
      </c>
      <c r="W75" s="179">
        <f>MachineryAssumptions!C36</f>
        <v>120000</v>
      </c>
      <c r="X75" s="182">
        <f>MachineryAssumptions!D36</f>
        <v>5</v>
      </c>
      <c r="Y75" s="175">
        <f>MachineryAssumptions!E36</f>
        <v>0.1</v>
      </c>
      <c r="Z75" s="175">
        <f>MachineryAssumptions!F36</f>
        <v>1.8</v>
      </c>
      <c r="AA75" s="186">
        <f>MachineryAssumptions!G36</f>
        <v>0.28239999999999998</v>
      </c>
      <c r="AB75" s="175">
        <f>MachineryAssumptions!H36</f>
        <v>0</v>
      </c>
      <c r="AC75" s="175">
        <f>MachineryAssumptions!I36</f>
        <v>16</v>
      </c>
      <c r="AD75" s="175">
        <f>MachineryAssumptions!J36</f>
        <v>0.65</v>
      </c>
      <c r="AE75" s="175">
        <f>MachineryAssumptions!K36</f>
        <v>75</v>
      </c>
      <c r="AF75" s="88">
        <f t="shared" si="10"/>
        <v>0</v>
      </c>
      <c r="AG75" s="88">
        <f>IF(AK75=0,0,(((((W75-(W75*AA75))*(GeneralInputPrices!$D$36))/(1-((1+GeneralInputPrices!$D$36)^(-X75))))+((W75*AA75)*(1+GeneralInputPrices!$D$36)^X75)*GeneralInputPrices!$D$36)/AK75))</f>
        <v>0</v>
      </c>
      <c r="AH75" s="89">
        <f t="shared" si="15"/>
        <v>0.94545454545454555</v>
      </c>
      <c r="AI75" s="54">
        <f>((TillageOperations!$C$4*TillageOperations!$C35)+(TillageOperations!$D$4*TillageOperations!$D35)+(TillageOperations!$E$4*TillageOperations!$E35)+(TillageOperations!$F$4*TillageOperations!$F35)+(TillageOperations!$G$4*TillageOperations!$G35)+(TillageOperations!$H$4*TillageOperations!$H35)+(TillageOperations!$I$4*TillageOperations!$I35)+(TillageOperations!$J$4*TillageOperations!$J35)+(TillageOperations!$K$4*TillageOperations!$K35)+(TillageOperations!$L$4*TillageOperations!$L35)+(TillageOperations!$M$4*TillageOperations!$M35)+(TillageOperations!$N$4*TillageOperations!$N35)+(TillageOperations!$O$4*TillageOperations!$O35)+(TillageOperations!$P$4*TillageOperations!$P35)+(TillageOperations!$Q$4*TillageOperations!$Q35)+(TillageOperations!$R$4*TillageOperations!$R35)+(TillageOperations!$S$4*TillageOperations!$S35)+(TillageOperations!$T$4*TillageOperations!$T35)+(TillageOperations!$U$4*TillageOperations!$U35))</f>
        <v>0</v>
      </c>
      <c r="AJ75" s="91">
        <v>2</v>
      </c>
      <c r="AK75" s="90">
        <f t="shared" si="12"/>
        <v>0</v>
      </c>
      <c r="AL75" s="92">
        <f>(GeneralInputPrices!$D$29*1.1)/AH75</f>
        <v>20.814326923076923</v>
      </c>
      <c r="AM75" s="92">
        <f>(GeneralInputPrices!$D$27*$AB$48*1.15)/AH75</f>
        <v>24.326923076923073</v>
      </c>
      <c r="AN75" s="92">
        <f>IF(AI75=0,0,(AF75+AF48)/AH75)</f>
        <v>0</v>
      </c>
      <c r="AO75" s="93">
        <f>(IF(AI75=0,0,(AG75+AG48)/AH75))</f>
        <v>0</v>
      </c>
    </row>
    <row r="76" spans="1:41" ht="15.6">
      <c r="A76" s="2"/>
      <c r="B76" s="2"/>
      <c r="C76" s="2"/>
      <c r="D76" s="2"/>
      <c r="E76" s="2"/>
      <c r="F76" s="2"/>
      <c r="G76" s="2"/>
      <c r="H76" s="2"/>
      <c r="I76" s="2"/>
      <c r="J76" s="2"/>
      <c r="K76" s="2"/>
      <c r="L76" s="2"/>
      <c r="M76" s="2"/>
      <c r="U76" s="158">
        <v>72</v>
      </c>
      <c r="V76" s="177" t="str">
        <f>MachineryAssumptions!B37</f>
        <v>Bale Wagon</v>
      </c>
      <c r="W76" s="177">
        <f>MachineryAssumptions!C37</f>
        <v>8500</v>
      </c>
      <c r="X76" s="180">
        <f>MachineryAssumptions!D37</f>
        <v>10</v>
      </c>
      <c r="Y76" s="173">
        <f>MachineryAssumptions!E37</f>
        <v>0.16</v>
      </c>
      <c r="Z76" s="173">
        <f>MachineryAssumptions!F37</f>
        <v>1.6</v>
      </c>
      <c r="AA76" s="184">
        <f>MachineryAssumptions!G37</f>
        <v>0.25240000000000001</v>
      </c>
      <c r="AB76" s="173">
        <f>MachineryAssumptions!H37</f>
        <v>4</v>
      </c>
      <c r="AC76" s="173">
        <f>MachineryAssumptions!I37</f>
        <v>16</v>
      </c>
      <c r="AD76" s="173">
        <f>MachineryAssumptions!J37</f>
        <v>4</v>
      </c>
      <c r="AE76" s="173">
        <f>MachineryAssumptions!K37</f>
        <v>75</v>
      </c>
      <c r="AF76" s="52">
        <f t="shared" si="10"/>
        <v>0</v>
      </c>
      <c r="AG76" s="52">
        <f>IF(AK76=0,0,(((((W76-(W76*AA76))*(GeneralInputPrices!$D$36))/(1-((1+GeneralInputPrices!$D$36)^(-X76))))+((W76*AA76)*(1+GeneralInputPrices!$D$36)^X76)*GeneralInputPrices!$D$36)/AK76))</f>
        <v>0</v>
      </c>
      <c r="AH76" s="58">
        <f t="shared" si="15"/>
        <v>5.8181818181818183</v>
      </c>
      <c r="AI76" s="54">
        <f>((TillageOperations!$C$4*TillageOperations!$C36)+(TillageOperations!$D$4*TillageOperations!$D36)+(TillageOperations!$E$4*TillageOperations!$E36)+(TillageOperations!$F$4*TillageOperations!$F36)+(TillageOperations!$G$4*TillageOperations!$G36)+(TillageOperations!$H$4*TillageOperations!$H36)+(TillageOperations!$I$4*TillageOperations!$I36)+(TillageOperations!$J$4*TillageOperations!$J36)+(TillageOperations!$K$4*TillageOperations!$K36)+(TillageOperations!$L$4*TillageOperations!$L36)+(TillageOperations!$M$4*TillageOperations!$M36)+(TillageOperations!$N$4*TillageOperations!$N36)+(TillageOperations!$O$4*TillageOperations!$O36)+(TillageOperations!$P$4*TillageOperations!$P36)+(TillageOperations!$Q$4*TillageOperations!$Q36)+(TillageOperations!$R$4*TillageOperations!$R36)+(TillageOperations!$S$4*TillageOperations!$S36)+(TillageOperations!$T$4*TillageOperations!$T36)+(TillageOperations!$U$4*TillageOperations!$U36))</f>
        <v>0</v>
      </c>
      <c r="AJ76" s="59" t="s">
        <v>58</v>
      </c>
      <c r="AK76" s="54">
        <f t="shared" si="12"/>
        <v>0</v>
      </c>
      <c r="AL76" s="55">
        <f>(GeneralInputPrices!$D$29*1.1)/AH76</f>
        <v>3.3823281250000004</v>
      </c>
      <c r="AM76" s="55">
        <f>(GeneralInputPrices!$D$27*$AB76*1.15)/AH76</f>
        <v>3.1624999999999996</v>
      </c>
      <c r="AN76" s="55">
        <f>IF(AI76=0,0,AF76/AH76)</f>
        <v>0</v>
      </c>
      <c r="AO76" s="55">
        <f>(IF(AI76=0,0,AG76/AH76))</f>
        <v>0</v>
      </c>
    </row>
  </sheetData>
  <sheetProtection algorithmName="SHA-512" hashValue="upD2VETLAjnPCzA8oqXCzsYkYo552zomfeW3zukGT32aVK71gXEylRlDadlYmex7IkZ8QrhKk+KAWWGe4MijVA==" saltValue="2NPHIOtwhDwJ3Z3VpeSqkw==" spinCount="100000" sheet="1" objects="1" scenarios="1"/>
  <mergeCells count="13">
    <mergeCell ref="B5:F5"/>
    <mergeCell ref="E6:E7"/>
    <mergeCell ref="F6:F7"/>
    <mergeCell ref="D6:D7"/>
    <mergeCell ref="C6:C7"/>
    <mergeCell ref="B6:B7"/>
    <mergeCell ref="AM43:AO43"/>
    <mergeCell ref="Y45:Z45"/>
    <mergeCell ref="AG43:AG44"/>
    <mergeCell ref="P7:S7"/>
    <mergeCell ref="H4:L4"/>
    <mergeCell ref="I5:J5"/>
    <mergeCell ref="I7:L7"/>
  </mergeCells>
  <pageMargins left="0.7" right="0.7" top="0.75" bottom="0.75" header="0.3" footer="0.3"/>
  <pageSetup orientation="portrait" horizontalDpi="0" verticalDpi="0"/>
  <ignoredErrors>
    <ignoredError sqref="N32:N36 Q12:R14 Q33:R36 Q30:R30 Q21:R23 S29 Q20:S20 Q31:S32 S28 R29 Q25:S27 S21:S23 S30 Q16:R19 Q24:R24" formula="1"/>
  </ignoredErrors>
</worksheet>
</file>

<file path=xl/worksheets/sheet3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pageSetUpPr fitToPage="1"/>
  </sheetPr>
  <dimension ref="A1:W3106"/>
  <sheetViews>
    <sheetView zoomScale="180" zoomScaleNormal="180" workbookViewId="0">
      <selection activeCell="H7" sqref="H7"/>
    </sheetView>
  </sheetViews>
  <sheetFormatPr defaultColWidth="11.44140625" defaultRowHeight="14.4"/>
  <cols>
    <col min="1" max="1" width="3.44140625" customWidth="1"/>
    <col min="2" max="2" width="30.6640625" customWidth="1"/>
    <col min="3" max="3" width="11.44140625" customWidth="1"/>
    <col min="4" max="4" width="14" customWidth="1"/>
    <col min="5" max="6" width="13.6640625" bestFit="1" customWidth="1"/>
    <col min="7" max="7" width="13.109375" customWidth="1"/>
    <col min="8" max="28" width="11.44140625" customWidth="1"/>
  </cols>
  <sheetData>
    <row r="1" spans="2:9" ht="21" customHeight="1">
      <c r="C1" s="577" t="s">
        <v>531</v>
      </c>
      <c r="D1" s="454"/>
    </row>
    <row r="2" spans="2:9">
      <c r="B2" s="455" t="s">
        <v>71</v>
      </c>
      <c r="C2" s="578"/>
      <c r="D2" s="34" t="s">
        <v>10</v>
      </c>
      <c r="E2" s="34" t="s">
        <v>10</v>
      </c>
      <c r="F2" s="34" t="s">
        <v>10</v>
      </c>
      <c r="G2" s="75"/>
    </row>
    <row r="3" spans="2:9">
      <c r="B3" t="str">
        <f>'AcresYieldsPrices&amp;Water'!B4</f>
        <v>Guayule</v>
      </c>
      <c r="C3" s="311" t="s">
        <v>10</v>
      </c>
      <c r="D3" s="456"/>
      <c r="E3" s="456"/>
      <c r="F3" s="456"/>
    </row>
    <row r="4" spans="2:9">
      <c r="B4" t="str">
        <f>'AcresYieldsPrices&amp;Water'!B5</f>
        <v>Guar</v>
      </c>
      <c r="C4" s="311" t="s">
        <v>10</v>
      </c>
      <c r="E4" s="576" t="s">
        <v>532</v>
      </c>
      <c r="F4" s="576"/>
      <c r="G4" s="576"/>
    </row>
    <row r="5" spans="2:9">
      <c r="B5" t="str">
        <f>'AcresYieldsPrices&amp;Water'!B6</f>
        <v>Hemp for CBD Oil</v>
      </c>
      <c r="C5" s="316">
        <f>IF(C674=0,0,$F$833)</f>
        <v>0</v>
      </c>
      <c r="E5" t="s">
        <v>200</v>
      </c>
      <c r="F5" t="s">
        <v>201</v>
      </c>
      <c r="G5" t="s">
        <v>346</v>
      </c>
      <c r="H5" t="s">
        <v>541</v>
      </c>
      <c r="I5" t="s">
        <v>540</v>
      </c>
    </row>
    <row r="6" spans="2:9">
      <c r="B6" t="str">
        <f>'AcresYieldsPrices&amp;Water'!B7</f>
        <v>Hemp for Grain</v>
      </c>
      <c r="C6" s="316">
        <f>IF(C836=0,0,$F$995)</f>
        <v>0</v>
      </c>
      <c r="E6" s="37">
        <f>$F$344</f>
        <v>280210.06329357065</v>
      </c>
      <c r="F6" s="37">
        <f>$F$670</f>
        <v>68954.382098586255</v>
      </c>
      <c r="G6" s="37">
        <f>$F$507</f>
        <v>78088.861883602833</v>
      </c>
      <c r="H6">
        <f>((E6+F6+G6+F6+G6+F6)/6)/'AcresYieldsPrices&amp;Water'!D4</f>
        <v>714.72325928503915</v>
      </c>
      <c r="I6" t="s">
        <v>537</v>
      </c>
    </row>
    <row r="7" spans="2:9">
      <c r="B7" t="str">
        <f>'AcresYieldsPrices&amp;Water'!B8</f>
        <v>Hemp for Fiber</v>
      </c>
      <c r="C7" s="316">
        <f>IF(C998=0,0,$F$1157)</f>
        <v>0</v>
      </c>
      <c r="E7" s="145">
        <f>$G$344</f>
        <v>308231.06962292775</v>
      </c>
      <c r="F7" s="37">
        <f>$G$670</f>
        <v>75849.820308444891</v>
      </c>
      <c r="G7" s="37">
        <f>$G$507</f>
        <v>85897.748071963128</v>
      </c>
      <c r="H7" s="37">
        <f>((E7+F7+G7+F7+G7+F7)/6)/'AcresYieldsPrices&amp;Water'!D4</f>
        <v>786.19558521354304</v>
      </c>
      <c r="I7" t="s">
        <v>538</v>
      </c>
    </row>
    <row r="8" spans="2:9">
      <c r="B8" t="str">
        <f>'AcresYieldsPrices&amp;Water'!B9</f>
        <v>Irr. Water Reduction: Set-aside</v>
      </c>
      <c r="C8" s="316">
        <f>IF(C1160=0,0,$F$1318)</f>
        <v>0</v>
      </c>
      <c r="E8" s="145">
        <f>$H$344</f>
        <v>252189.05696421358</v>
      </c>
      <c r="F8" s="37">
        <f>$H$670</f>
        <v>62058.943888727634</v>
      </c>
      <c r="G8" s="37">
        <f>$H$507</f>
        <v>70279.975695242552</v>
      </c>
      <c r="H8">
        <f>((E8+F8+G8+F8+G8+F8)/6)/'AcresYieldsPrices&amp;Water'!D4</f>
        <v>643.25093335653503</v>
      </c>
      <c r="I8" t="s">
        <v>539</v>
      </c>
    </row>
    <row r="9" spans="2:9">
      <c r="B9" t="str">
        <f>'AcresYieldsPrices&amp;Water'!B10</f>
        <v>Cotton</v>
      </c>
      <c r="C9" s="316">
        <f>IF(C1321=0,0,$F$1482)</f>
        <v>0</v>
      </c>
      <c r="D9">
        <v>49600</v>
      </c>
    </row>
    <row r="10" spans="2:9">
      <c r="B10" t="str">
        <f>'AcresYieldsPrices&amp;Water'!B11</f>
        <v>Corn Silage</v>
      </c>
      <c r="C10" s="316">
        <f>IF(C1485=0,0,$F$1644)</f>
        <v>0</v>
      </c>
      <c r="E10">
        <v>28314.392532017453</v>
      </c>
      <c r="F10">
        <v>42566.160964072689</v>
      </c>
      <c r="G10">
        <v>30307.124788252637</v>
      </c>
      <c r="H10">
        <v>1444.1808333382719</v>
      </c>
    </row>
    <row r="11" spans="2:9">
      <c r="B11" t="str">
        <f>'AcresYieldsPrices&amp;Water'!B12</f>
        <v>Sorghum</v>
      </c>
      <c r="C11" s="316">
        <f>IF(C1647=0,0,$F$1806)</f>
        <v>0</v>
      </c>
    </row>
    <row r="12" spans="2:9">
      <c r="B12" t="str">
        <f>'AcresYieldsPrices&amp;Water'!B13</f>
        <v>Spring Barley</v>
      </c>
      <c r="C12" s="316">
        <f>IF(C1809=0,0,$F$1968)</f>
        <v>0</v>
      </c>
    </row>
    <row r="13" spans="2:9">
      <c r="B13" t="str">
        <f>'AcresYieldsPrices&amp;Water'!B14</f>
        <v>Durum Wheat</v>
      </c>
      <c r="C13" s="316">
        <f>IF(C1971=0,0,$F$2130)</f>
        <v>0</v>
      </c>
    </row>
    <row r="14" spans="2:9">
      <c r="B14" t="str">
        <f>'AcresYieldsPrices&amp;Water'!B15</f>
        <v>Alt Crop #1</v>
      </c>
      <c r="C14" s="316">
        <f>IF(C2133=0,0,$F$2292)</f>
        <v>0</v>
      </c>
    </row>
    <row r="15" spans="2:9">
      <c r="B15" t="str">
        <f>'AcresYieldsPrices&amp;Water'!B16</f>
        <v>Alt Crop #2</v>
      </c>
      <c r="C15" s="316">
        <f>IF(C2295=0,0,$F$2454)</f>
        <v>0</v>
      </c>
    </row>
    <row r="16" spans="2:9">
      <c r="B16" t="str">
        <f>'AcresYieldsPrices&amp;Water'!B17</f>
        <v>Alt Crop #3</v>
      </c>
      <c r="C16" s="316">
        <f>IF(C2457=0,0,$F$2616)</f>
        <v>0</v>
      </c>
    </row>
    <row r="17" spans="1:23">
      <c r="B17" t="str">
        <f>'AcresYieldsPrices&amp;Water'!B18</f>
        <v>Alt Crop #4</v>
      </c>
      <c r="C17" s="316">
        <f>IF(C2619=0,0,$F$2778)</f>
        <v>0</v>
      </c>
    </row>
    <row r="18" spans="1:23">
      <c r="B18" t="str">
        <f>'AcresYieldsPrices&amp;Water'!B19</f>
        <v>Alfalfa Hay Estab.</v>
      </c>
      <c r="C18" s="316">
        <f>IF(C2781=0,0,$F$2940)</f>
        <v>0</v>
      </c>
    </row>
    <row r="19" spans="1:23">
      <c r="B19" s="455" t="str">
        <f>'AcresYieldsPrices&amp;Water'!B20</f>
        <v>Alfalfa Hay Prod.</v>
      </c>
      <c r="C19" s="317">
        <f>IF(C2943=0,0,$F$3102)</f>
        <v>0</v>
      </c>
      <c r="F19" s="135" t="s">
        <v>275</v>
      </c>
      <c r="G19" s="135"/>
    </row>
    <row r="20" spans="1:23">
      <c r="B20" t="s">
        <v>409</v>
      </c>
      <c r="C20" s="318">
        <f>SUM(C5:C19)/'AcresYieldsPrices&amp;Water'!D21</f>
        <v>0</v>
      </c>
    </row>
    <row r="21" spans="1:23">
      <c r="B21" s="249" t="s">
        <v>276</v>
      </c>
      <c r="C21" s="249" t="s">
        <v>4</v>
      </c>
      <c r="D21" s="250" t="s">
        <v>277</v>
      </c>
      <c r="E21" s="249" t="s">
        <v>278</v>
      </c>
      <c r="F21" s="249" t="s">
        <v>279</v>
      </c>
      <c r="G21" s="249"/>
    </row>
    <row r="22" spans="1:23" ht="15.6">
      <c r="B22" s="135" t="str">
        <f>B27</f>
        <v>Guar</v>
      </c>
      <c r="D22" s="454"/>
      <c r="M22" s="35"/>
      <c r="N22" s="145"/>
      <c r="O22" s="37"/>
      <c r="P22" s="37"/>
      <c r="Q22" s="37"/>
      <c r="R22" s="37"/>
    </row>
    <row r="23" spans="1:23" ht="15.6">
      <c r="B23" t="s">
        <v>16</v>
      </c>
      <c r="C23" s="457">
        <f>IF('AcresYieldsPrices&amp;Water'!D5=0,0,'AcresYieldsPrices&amp;Water'!D5)</f>
        <v>150</v>
      </c>
      <c r="D23" s="454" t="s">
        <v>17</v>
      </c>
      <c r="I23" s="452"/>
      <c r="J23" s="452"/>
      <c r="K23" s="452"/>
      <c r="L23" s="452"/>
      <c r="M23" s="452"/>
      <c r="N23" s="452"/>
      <c r="O23" s="452"/>
      <c r="P23" s="452"/>
      <c r="Q23" s="452"/>
      <c r="R23" s="452"/>
      <c r="S23" s="452"/>
      <c r="T23" s="452"/>
      <c r="U23" s="452"/>
      <c r="V23" s="452"/>
      <c r="W23" s="452"/>
    </row>
    <row r="24" spans="1:23">
      <c r="D24" s="454"/>
    </row>
    <row r="25" spans="1:23">
      <c r="B25" t="s">
        <v>22</v>
      </c>
      <c r="D25" s="454"/>
      <c r="I25" s="60"/>
      <c r="J25" s="60"/>
      <c r="K25" s="60"/>
      <c r="L25" s="60"/>
      <c r="M25" s="60"/>
      <c r="N25" s="60"/>
      <c r="O25" s="60"/>
      <c r="P25" s="60"/>
      <c r="Q25" s="60"/>
      <c r="R25" s="60"/>
      <c r="S25" s="60"/>
      <c r="T25" s="60"/>
      <c r="U25" s="60"/>
      <c r="V25" s="60"/>
      <c r="W25" s="60"/>
    </row>
    <row r="26" spans="1:23">
      <c r="B26" s="455" t="s">
        <v>23</v>
      </c>
      <c r="C26" s="458" t="s">
        <v>1</v>
      </c>
      <c r="D26" s="459" t="s">
        <v>24</v>
      </c>
      <c r="E26" s="460" t="s">
        <v>25</v>
      </c>
      <c r="F26" s="460" t="s">
        <v>0</v>
      </c>
      <c r="G26" s="277"/>
      <c r="I26" s="60"/>
      <c r="J26" s="60"/>
      <c r="K26" s="60"/>
      <c r="L26" s="60"/>
      <c r="M26" s="60"/>
      <c r="N26" s="60"/>
      <c r="O26" s="60"/>
      <c r="P26" s="60"/>
      <c r="Q26" s="60"/>
      <c r="R26" s="60"/>
      <c r="S26" s="60"/>
      <c r="T26" s="60"/>
      <c r="U26" s="60"/>
      <c r="V26" s="60"/>
      <c r="W26" s="60"/>
    </row>
    <row r="27" spans="1:23">
      <c r="B27" t="str">
        <f>'AcresYieldsPrices&amp;Water'!J6</f>
        <v>Guar</v>
      </c>
      <c r="C27" s="137" t="str">
        <f>'AcresYieldsPrices&amp;Water'!L6</f>
        <v>pound</v>
      </c>
      <c r="D27" s="461">
        <f>'AcresYieldsPrices&amp;Water'!M6</f>
        <v>0.25</v>
      </c>
      <c r="E27" s="462">
        <f>'AcresYieldsPrices&amp;Water'!N6*$C$23</f>
        <v>210000</v>
      </c>
      <c r="F27" s="136">
        <f>D27*E27</f>
        <v>52500</v>
      </c>
      <c r="G27" s="136"/>
      <c r="I27" s="60"/>
      <c r="J27" s="60"/>
      <c r="K27" s="60"/>
      <c r="L27" s="60"/>
      <c r="M27" s="60"/>
      <c r="N27" s="60"/>
      <c r="O27" s="60"/>
      <c r="P27" s="60"/>
      <c r="Q27" s="60"/>
      <c r="R27" s="60"/>
      <c r="S27" s="60"/>
      <c r="T27" s="60"/>
      <c r="U27" s="60"/>
      <c r="V27" s="60"/>
      <c r="W27" s="60"/>
    </row>
    <row r="28" spans="1:23">
      <c r="B28" t="s">
        <v>27</v>
      </c>
      <c r="D28" s="454"/>
      <c r="F28" s="37">
        <f>SUM(F27:F27)</f>
        <v>52500</v>
      </c>
      <c r="G28" s="163">
        <f>F28/C$23</f>
        <v>350</v>
      </c>
      <c r="I28" s="60"/>
      <c r="J28" s="60"/>
      <c r="K28" s="60"/>
      <c r="L28" s="60"/>
      <c r="M28" s="60"/>
      <c r="N28" s="60"/>
      <c r="O28" s="60"/>
      <c r="P28" s="60"/>
      <c r="Q28" s="60"/>
      <c r="R28" s="60"/>
      <c r="S28" s="60"/>
      <c r="T28" s="60"/>
      <c r="U28" s="60"/>
      <c r="V28" s="60"/>
      <c r="W28" s="60"/>
    </row>
    <row r="29" spans="1:23">
      <c r="D29" s="454"/>
      <c r="I29" s="60"/>
      <c r="J29" s="60"/>
      <c r="K29" s="60"/>
      <c r="L29" s="60"/>
      <c r="M29" s="60"/>
      <c r="N29" s="60"/>
      <c r="O29" s="60"/>
      <c r="P29" s="60"/>
      <c r="Q29" s="60"/>
      <c r="R29" s="60"/>
      <c r="S29" s="60"/>
      <c r="T29" s="60"/>
      <c r="U29" s="60"/>
      <c r="V29" s="60"/>
      <c r="W29" s="60"/>
    </row>
    <row r="30" spans="1:23">
      <c r="B30" s="455" t="s">
        <v>62</v>
      </c>
      <c r="C30" s="458" t="s">
        <v>1</v>
      </c>
      <c r="D30" s="459" t="s">
        <v>24</v>
      </c>
      <c r="E30" s="460" t="s">
        <v>25</v>
      </c>
      <c r="F30" s="460" t="s">
        <v>0</v>
      </c>
      <c r="G30" s="277"/>
    </row>
    <row r="31" spans="1:23">
      <c r="A31" s="34"/>
      <c r="B31" t="str">
        <f>'Inputs&amp;PricesbyCrop'!B$70</f>
        <v xml:space="preserve">   - Seed</v>
      </c>
      <c r="C31" s="137" t="str">
        <f>'Inputs&amp;PricesbyCrop'!C$91</f>
        <v>pounds</v>
      </c>
      <c r="D31" s="454">
        <f>'Inputs&amp;PricesbyCrop'!$G$5</f>
        <v>0.34</v>
      </c>
      <c r="E31" s="462">
        <f>'Inputs&amp;PricesbyCrop'!$G$6*$C$23</f>
        <v>1500</v>
      </c>
      <c r="F31" s="37">
        <f t="shared" ref="F31:F55" si="0">D31*E31</f>
        <v>510.00000000000006</v>
      </c>
      <c r="G31" s="37"/>
    </row>
    <row r="32" spans="1:23">
      <c r="B32" t="str">
        <f>GeneralInputPrices!B$3</f>
        <v xml:space="preserve">   - Inoculant</v>
      </c>
      <c r="C32" s="137" t="str">
        <f>GeneralInputPrices!C$3</f>
        <v>pounds</v>
      </c>
      <c r="D32" s="454">
        <f>GeneralInputPrices!$D$3</f>
        <v>3</v>
      </c>
      <c r="E32" s="462">
        <f>'Inputs&amp;PricesbyCrop'!$G$22*$C$23</f>
        <v>300</v>
      </c>
      <c r="F32" s="37">
        <f t="shared" si="0"/>
        <v>900</v>
      </c>
      <c r="G32" s="37"/>
    </row>
    <row r="33" spans="2:7">
      <c r="B33" t="str">
        <f>GeneralInputPrices!B$5</f>
        <v xml:space="preserve">   - Nitrogen</v>
      </c>
      <c r="C33" s="137" t="str">
        <f>GeneralInputPrices!$C$5</f>
        <v>pounds</v>
      </c>
      <c r="D33" s="166">
        <f>GeneralInputPrices!$D$5</f>
        <v>0.46</v>
      </c>
      <c r="E33" s="166">
        <f>'Inputs&amp;PricesbyCrop'!$G$23*$C$23</f>
        <v>0</v>
      </c>
      <c r="F33" s="166">
        <f t="shared" si="0"/>
        <v>0</v>
      </c>
      <c r="G33" s="166"/>
    </row>
    <row r="34" spans="2:7">
      <c r="B34" t="str">
        <f>GeneralInputPrices!B$6</f>
        <v xml:space="preserve">   - Phosphorus</v>
      </c>
      <c r="C34" s="137" t="str">
        <f>GeneralInputPrices!$C$6</f>
        <v>pounds</v>
      </c>
      <c r="D34" s="166">
        <f>GeneralInputPrices!$D$6</f>
        <v>0.36</v>
      </c>
      <c r="E34" s="166">
        <f>'Inputs&amp;PricesbyCrop'!$G$24*$C$23</f>
        <v>4500</v>
      </c>
      <c r="F34" s="166">
        <f t="shared" si="0"/>
        <v>1620</v>
      </c>
      <c r="G34" s="166"/>
    </row>
    <row r="35" spans="2:7">
      <c r="B35" t="str">
        <f>GeneralInputPrices!B$7</f>
        <v xml:space="preserve">   - Anhydrous Ammonia</v>
      </c>
      <c r="C35" s="137" t="str">
        <f>GeneralInputPrices!$C$7</f>
        <v>pounds</v>
      </c>
      <c r="D35" s="166">
        <f>GeneralInputPrices!$D$7</f>
        <v>0.21</v>
      </c>
      <c r="E35" s="166">
        <f>'Inputs&amp;PricesbyCrop'!$G$25*$C$23</f>
        <v>0</v>
      </c>
      <c r="F35" s="166">
        <f t="shared" si="0"/>
        <v>0</v>
      </c>
      <c r="G35" s="166"/>
    </row>
    <row r="36" spans="2:7">
      <c r="B36" t="str">
        <f>GeneralInputPrices!$B$8</f>
        <v xml:space="preserve">   - Trace Elements</v>
      </c>
      <c r="C36" s="137" t="str">
        <f>GeneralInputPrices!$C$8</f>
        <v>pounds</v>
      </c>
      <c r="D36" s="166">
        <f>GeneralInputPrices!$D$8</f>
        <v>0.24</v>
      </c>
      <c r="E36" s="166">
        <f>'Inputs&amp;PricesbyCrop'!$G$26*$C$23</f>
        <v>0</v>
      </c>
      <c r="F36" s="166">
        <f t="shared" si="0"/>
        <v>0</v>
      </c>
      <c r="G36" s="166"/>
    </row>
    <row r="37" spans="2:7">
      <c r="B37" t="str">
        <f>'Inputs&amp;PricesbyCrop'!$B$32</f>
        <v xml:space="preserve">   - Nitrogen</v>
      </c>
      <c r="C37" s="137" t="str">
        <f>'Inputs&amp;PricesbyCrop'!$C$32</f>
        <v>acre</v>
      </c>
      <c r="D37" s="166">
        <f>'Inputs&amp;PricesbyCrop'!$G$32</f>
        <v>0</v>
      </c>
      <c r="E37" s="166">
        <f>$C$23</f>
        <v>150</v>
      </c>
      <c r="F37" s="166">
        <f t="shared" si="0"/>
        <v>0</v>
      </c>
      <c r="G37" s="166"/>
    </row>
    <row r="38" spans="2:7">
      <c r="B38" t="str">
        <f>'Inputs&amp;PricesbyCrop'!$B$33</f>
        <v xml:space="preserve">   - Phosphorus</v>
      </c>
      <c r="C38" s="137" t="str">
        <f>'Inputs&amp;PricesbyCrop'!$C$33</f>
        <v>acre</v>
      </c>
      <c r="D38" s="166">
        <f>'Inputs&amp;PricesbyCrop'!$G$33</f>
        <v>0</v>
      </c>
      <c r="E38" s="166">
        <f>$C$23</f>
        <v>150</v>
      </c>
      <c r="F38" s="166">
        <f t="shared" si="0"/>
        <v>0</v>
      </c>
      <c r="G38" s="166"/>
    </row>
    <row r="39" spans="2:7">
      <c r="B39" t="str">
        <f>'Inputs&amp;PricesbyCrop'!$B$34</f>
        <v xml:space="preserve">   - Fertilizer - Anhydrous Applicator</v>
      </c>
      <c r="C39" s="137" t="str">
        <f>'Inputs&amp;PricesbyCrop'!$C$34</f>
        <v>acre</v>
      </c>
      <c r="D39" s="166">
        <f>'Inputs&amp;PricesbyCrop'!$G$34</f>
        <v>0</v>
      </c>
      <c r="E39" s="166">
        <f>$C$23</f>
        <v>150</v>
      </c>
      <c r="F39" s="166">
        <f t="shared" si="0"/>
        <v>0</v>
      </c>
      <c r="G39" s="166"/>
    </row>
    <row r="40" spans="2:7">
      <c r="B40" t="str">
        <f>GeneralInputPrices!$B$10</f>
        <v xml:space="preserve">   - Prowl</v>
      </c>
      <c r="C40" s="137" t="str">
        <f>GeneralInputPrices!$C$10</f>
        <v>pints</v>
      </c>
      <c r="D40" s="166">
        <f>GeneralInputPrices!$D$10</f>
        <v>6.0625</v>
      </c>
      <c r="E40" s="166">
        <f>'Inputs&amp;PricesbyCrop'!$G$27*$C$23</f>
        <v>0</v>
      </c>
      <c r="F40" s="166">
        <f t="shared" si="0"/>
        <v>0</v>
      </c>
      <c r="G40" s="166"/>
    </row>
    <row r="41" spans="2:7">
      <c r="B41" t="str">
        <f>GeneralInputPrices!$B$11</f>
        <v xml:space="preserve">   - Aim</v>
      </c>
      <c r="C41" s="137" t="str">
        <f>GeneralInputPrices!$C$11</f>
        <v>ounces</v>
      </c>
      <c r="D41" s="166">
        <f>GeneralInputPrices!$D$11</f>
        <v>5.9375</v>
      </c>
      <c r="E41" s="166">
        <f>'Inputs&amp;PricesbyCrop'!$G$28*$C$23</f>
        <v>0</v>
      </c>
      <c r="F41" s="166">
        <f t="shared" si="0"/>
        <v>0</v>
      </c>
      <c r="G41" s="166"/>
    </row>
    <row r="42" spans="2:7">
      <c r="B42" t="str">
        <f>GeneralInputPrices!$B$12</f>
        <v xml:space="preserve">   - Fusilade</v>
      </c>
      <c r="C42" s="137" t="str">
        <f>GeneralInputPrices!$C$12</f>
        <v>ounces</v>
      </c>
      <c r="D42" s="166">
        <f>GeneralInputPrices!$D$12</f>
        <v>1.25</v>
      </c>
      <c r="E42" s="166">
        <f>'Inputs&amp;PricesbyCrop'!$G$29*$C$23</f>
        <v>0</v>
      </c>
      <c r="F42" s="166">
        <f t="shared" si="0"/>
        <v>0</v>
      </c>
      <c r="G42" s="166"/>
    </row>
    <row r="43" spans="2:7">
      <c r="B43" t="str">
        <f>'Inputs&amp;PricesbyCrop'!$B$35</f>
        <v xml:space="preserve">   - Herbicides</v>
      </c>
      <c r="C43" s="137" t="str">
        <f>'Inputs&amp;PricesbyCrop'!$C$35</f>
        <v>acre</v>
      </c>
      <c r="D43" s="166">
        <f>'Inputs&amp;PricesbyCrop'!$G$35</f>
        <v>0</v>
      </c>
      <c r="E43" s="166">
        <f>$C$23</f>
        <v>150</v>
      </c>
      <c r="F43" s="166">
        <f t="shared" si="0"/>
        <v>0</v>
      </c>
      <c r="G43" s="166"/>
    </row>
    <row r="44" spans="2:7">
      <c r="B44" t="str">
        <f>'Inputs&amp;PricesbyCrop'!$B$36</f>
        <v xml:space="preserve">   - Herbicide - #2</v>
      </c>
      <c r="C44" s="137" t="str">
        <f>'Inputs&amp;PricesbyCrop'!$C$36</f>
        <v>acre</v>
      </c>
      <c r="D44" s="166">
        <f>'Inputs&amp;PricesbyCrop'!$G$36</f>
        <v>0</v>
      </c>
      <c r="E44" s="166">
        <f>$C$23</f>
        <v>150</v>
      </c>
      <c r="F44" s="166">
        <f t="shared" si="0"/>
        <v>0</v>
      </c>
      <c r="G44" s="166"/>
    </row>
    <row r="45" spans="2:7">
      <c r="B45" t="str">
        <f>'Inputs&amp;PricesbyCrop'!$B$37</f>
        <v xml:space="preserve">   - Insecticides</v>
      </c>
      <c r="C45" s="137" t="str">
        <f>'Inputs&amp;PricesbyCrop'!$C$37</f>
        <v>acre</v>
      </c>
      <c r="D45" s="166">
        <f>'Inputs&amp;PricesbyCrop'!$G$37</f>
        <v>0</v>
      </c>
      <c r="E45" s="166">
        <f>$C$23</f>
        <v>150</v>
      </c>
      <c r="F45" s="166">
        <f t="shared" si="0"/>
        <v>0</v>
      </c>
      <c r="G45" s="166"/>
    </row>
    <row r="46" spans="2:7">
      <c r="B46" t="str">
        <f>'Inputs&amp;PricesbyCrop'!$B$38</f>
        <v xml:space="preserve">   - Insecticide - #2</v>
      </c>
      <c r="C46" s="137" t="str">
        <f>'Inputs&amp;PricesbyCrop'!$C$38</f>
        <v>acre</v>
      </c>
      <c r="D46" s="166">
        <f>'Inputs&amp;PricesbyCrop'!$G$38</f>
        <v>0</v>
      </c>
      <c r="E46" s="166">
        <f>$C$23</f>
        <v>150</v>
      </c>
      <c r="F46" s="166">
        <f t="shared" si="0"/>
        <v>0</v>
      </c>
      <c r="G46" s="166"/>
    </row>
    <row r="47" spans="2:7">
      <c r="B47" t="str">
        <f>'Inputs&amp;PricesbyCrop'!$B$7</f>
        <v>Flood - Irrigation Water</v>
      </c>
      <c r="C47" s="137" t="str">
        <f>'Inputs&amp;PricesbyCrop'!$C$7</f>
        <v>ac ft</v>
      </c>
      <c r="D47" s="166">
        <f>GeneralInputPrices!$D$13</f>
        <v>55</v>
      </c>
      <c r="E47" s="102">
        <f>('AcresYieldsPrices&amp;Water'!$E$5*'Inputs&amp;PricesbyCrop'!$G$7)*$C23</f>
        <v>150</v>
      </c>
      <c r="F47" s="166">
        <f t="shared" si="0"/>
        <v>8250</v>
      </c>
      <c r="G47" s="166"/>
    </row>
    <row r="48" spans="2:7">
      <c r="B48" t="str">
        <f>'Inputs&amp;PricesbyCrop'!$B$8</f>
        <v>Flood - Irrigation Labor</v>
      </c>
      <c r="C48" s="137" t="str">
        <f>'Inputs&amp;PricesbyCrop'!$C$8</f>
        <v>hour</v>
      </c>
      <c r="D48" s="166">
        <f>GeneralInputPrices!$D$28</f>
        <v>14.55</v>
      </c>
      <c r="E48" s="166">
        <f>('AcresYieldsPrices&amp;Water'!$E$5*'Inputs&amp;PricesbyCrop'!$G$8)*$C23</f>
        <v>150</v>
      </c>
      <c r="F48" s="166">
        <f t="shared" si="0"/>
        <v>2182.5</v>
      </c>
      <c r="G48" s="166"/>
    </row>
    <row r="49" spans="2:7">
      <c r="B49" t="str">
        <f>GeneralInputPrices!$B$18</f>
        <v xml:space="preserve">   - Annual Repairs &amp; Maintenance</v>
      </c>
      <c r="C49" s="453" t="str">
        <f>GeneralInputPrices!$C$18</f>
        <v>acre</v>
      </c>
      <c r="D49" s="166">
        <f>GeneralInputPrices!$D$18</f>
        <v>3</v>
      </c>
      <c r="E49" s="166">
        <f>'AcresYieldsPrices&amp;Water'!$E$5*$C23</f>
        <v>150</v>
      </c>
      <c r="F49" s="166">
        <f t="shared" si="0"/>
        <v>450</v>
      </c>
      <c r="G49" s="166"/>
    </row>
    <row r="50" spans="2:7">
      <c r="B50" t="str">
        <f>'Inputs&amp;PricesbyCrop'!$B$9</f>
        <v>Drip-tape - Irrigation Water</v>
      </c>
      <c r="C50" s="137" t="str">
        <f>'Inputs&amp;PricesbyCrop'!$C$9</f>
        <v>ac ft</v>
      </c>
      <c r="D50" s="166">
        <f>GeneralInputPrices!$D$13</f>
        <v>55</v>
      </c>
      <c r="E50" s="166">
        <f>('AcresYieldsPrices&amp;Water'!$F$5*'Inputs&amp;PricesbyCrop'!$G$9)*$C23</f>
        <v>0</v>
      </c>
      <c r="F50" s="166">
        <f t="shared" si="0"/>
        <v>0</v>
      </c>
      <c r="G50" s="166"/>
    </row>
    <row r="51" spans="2:7">
      <c r="B51" t="str">
        <f>'Inputs&amp;PricesbyCrop'!$B$10</f>
        <v>Drip-tape - Irrigation Labor</v>
      </c>
      <c r="C51" s="137" t="str">
        <f>'Inputs&amp;PricesbyCrop'!$C$10</f>
        <v>hour</v>
      </c>
      <c r="D51" s="166">
        <f>GeneralInputPrices!$D$28</f>
        <v>14.55</v>
      </c>
      <c r="E51" s="166">
        <f>('AcresYieldsPrices&amp;Water'!$F$5*'Inputs&amp;PricesbyCrop'!$G$10)*$C23</f>
        <v>0</v>
      </c>
      <c r="F51" s="166">
        <f t="shared" si="0"/>
        <v>0</v>
      </c>
      <c r="G51" s="166"/>
    </row>
    <row r="52" spans="2:7">
      <c r="B52" t="str">
        <f>GeneralInputPrices!$B$22</f>
        <v xml:space="preserve">   - Annual Repairs &amp; Maintenance</v>
      </c>
      <c r="C52" s="453" t="str">
        <f>GeneralInputPrices!$C$22</f>
        <v>acre</v>
      </c>
      <c r="D52" s="166">
        <f>GeneralInputPrices!$D$22</f>
        <v>7.5</v>
      </c>
      <c r="E52" s="166">
        <f>'AcresYieldsPrices&amp;Water'!$F$5*C23</f>
        <v>0</v>
      </c>
      <c r="F52" s="166">
        <f t="shared" si="0"/>
        <v>0</v>
      </c>
      <c r="G52" s="166"/>
    </row>
    <row r="53" spans="2:7">
      <c r="B53" t="str">
        <f>'Inputs&amp;PricesbyCrop'!$B$11</f>
        <v>Sprinkler - Irrigation Water</v>
      </c>
      <c r="C53" s="137" t="str">
        <f>'Inputs&amp;PricesbyCrop'!$C$11</f>
        <v>ac ft</v>
      </c>
      <c r="D53" s="166">
        <f>GeneralInputPrices!$D$13</f>
        <v>55</v>
      </c>
      <c r="E53" s="166">
        <f>('AcresYieldsPrices&amp;Water'!$G$5*'Inputs&amp;PricesbyCrop'!$G$11)*$C23</f>
        <v>0</v>
      </c>
      <c r="F53" s="166">
        <f t="shared" si="0"/>
        <v>0</v>
      </c>
      <c r="G53" s="166"/>
    </row>
    <row r="54" spans="2:7">
      <c r="B54" t="str">
        <f>'Inputs&amp;PricesbyCrop'!$B$12</f>
        <v>Sprinkler - Irrigation Labor</v>
      </c>
      <c r="C54" s="137" t="str">
        <f>'Inputs&amp;PricesbyCrop'!$C$12</f>
        <v>hour</v>
      </c>
      <c r="D54" s="166">
        <f>GeneralInputPrices!$D$28</f>
        <v>14.55</v>
      </c>
      <c r="E54" s="166">
        <f>('AcresYieldsPrices&amp;Water'!$G$5*'Inputs&amp;PricesbyCrop'!$G$12)*$C23</f>
        <v>0</v>
      </c>
      <c r="F54" s="166">
        <f t="shared" si="0"/>
        <v>0</v>
      </c>
      <c r="G54" s="166"/>
    </row>
    <row r="55" spans="2:7">
      <c r="B55" t="str">
        <f>GeneralInputPrices!$B$26</f>
        <v xml:space="preserve">   - Annual Repairs &amp; Maintenance</v>
      </c>
      <c r="C55" s="453" t="str">
        <f>GeneralInputPrices!$C$26</f>
        <v>acre</v>
      </c>
      <c r="D55" s="166">
        <f>GeneralInputPrices!$D$26</f>
        <v>15</v>
      </c>
      <c r="E55" s="166">
        <f>'AcresYieldsPrices&amp;Water'!$G$5*$C23</f>
        <v>0</v>
      </c>
      <c r="F55" s="166">
        <f t="shared" si="0"/>
        <v>0</v>
      </c>
      <c r="G55" s="166"/>
    </row>
    <row r="56" spans="2:7">
      <c r="B56" t="str">
        <f>CustomOperations!$B$37</f>
        <v>Harvest, Custom</v>
      </c>
      <c r="C56" s="137" t="str">
        <f>CustomOperations!$C$37</f>
        <v>acre</v>
      </c>
      <c r="D56" s="166">
        <f>CustomOperations!$G$37</f>
        <v>25</v>
      </c>
      <c r="E56" s="166">
        <f>CustomOperations!$G$38*$C$23</f>
        <v>150</v>
      </c>
      <c r="F56" s="166">
        <f t="shared" ref="F56:F70" si="1">D56*E56</f>
        <v>3750</v>
      </c>
      <c r="G56" s="166"/>
    </row>
    <row r="57" spans="2:7">
      <c r="B57" t="str">
        <f>CustomOperations!$B$39</f>
        <v>Hauling, Custom</v>
      </c>
      <c r="C57" s="137" t="str">
        <f>CustomOperations!$C$39</f>
        <v>mile</v>
      </c>
      <c r="D57" s="166">
        <f>CustomOperations!$G$39</f>
        <v>0</v>
      </c>
      <c r="E57" s="166">
        <f>CustomOperations!$G$40*$C$23</f>
        <v>0</v>
      </c>
      <c r="F57" s="166">
        <f t="shared" si="1"/>
        <v>0</v>
      </c>
      <c r="G57" s="166"/>
    </row>
    <row r="58" spans="2:7">
      <c r="B58" t="str">
        <f>CustomOperations!$B$41</f>
        <v>Gin Cotton/Drying/Swathing, Custom</v>
      </c>
      <c r="C58" s="137" t="str">
        <f>CustomOperations!$C$41</f>
        <v>bale</v>
      </c>
      <c r="D58" s="166">
        <f>CustomOperations!$G$41</f>
        <v>0</v>
      </c>
      <c r="E58" s="166">
        <f>CustomOperations!$G$42*$C$23</f>
        <v>0</v>
      </c>
      <c r="F58" s="166">
        <f t="shared" si="1"/>
        <v>0</v>
      </c>
      <c r="G58" s="166"/>
    </row>
    <row r="59" spans="2:7">
      <c r="B59" t="str">
        <f>CustomOperations!$B$24</f>
        <v>Drill, Custom</v>
      </c>
      <c r="C59" s="137" t="str">
        <f>CustomOperations!$C$24</f>
        <v>acre</v>
      </c>
      <c r="D59" s="166">
        <f>CustomOperations!$G$24</f>
        <v>0</v>
      </c>
      <c r="E59" s="166">
        <f>CustomOperations!$G$25*$C$23</f>
        <v>0</v>
      </c>
      <c r="F59" s="166">
        <f t="shared" si="1"/>
        <v>0</v>
      </c>
      <c r="G59" s="166"/>
    </row>
    <row r="60" spans="2:7">
      <c r="B60" t="str">
        <f>CustomOperations!$B$26</f>
        <v>Row Planter, Custom</v>
      </c>
      <c r="C60" s="137" t="str">
        <f>CustomOperations!$C$26</f>
        <v>acre</v>
      </c>
      <c r="D60" s="166">
        <f>CustomOperations!$G$26</f>
        <v>0</v>
      </c>
      <c r="E60" s="166">
        <f>CustomOperations!$G$27*$C$23</f>
        <v>0</v>
      </c>
      <c r="F60" s="166">
        <f t="shared" si="1"/>
        <v>0</v>
      </c>
      <c r="G60" s="166"/>
    </row>
    <row r="61" spans="2:7">
      <c r="B61" t="str">
        <f>CustomOperations!$B$28</f>
        <v>Row Cultivator, Custom</v>
      </c>
      <c r="C61" s="137" t="str">
        <f>CustomOperations!$C$28</f>
        <v>acre</v>
      </c>
      <c r="D61" s="166">
        <f>CustomOperations!$G$28</f>
        <v>0</v>
      </c>
      <c r="E61" s="166">
        <f>CustomOperations!$G$29*$C$23</f>
        <v>0</v>
      </c>
      <c r="F61" s="166">
        <f t="shared" si="1"/>
        <v>0</v>
      </c>
      <c r="G61" s="166"/>
    </row>
    <row r="62" spans="2:7">
      <c r="B62" t="str">
        <f>CustomOperations!$B$5</f>
        <v>V Ripper, Custom</v>
      </c>
      <c r="C62" s="137" t="str">
        <f>CustomOperations!$C$5</f>
        <v>acre</v>
      </c>
      <c r="D62" s="166">
        <f>CustomOperations!$G$5</f>
        <v>44.25</v>
      </c>
      <c r="E62" s="166">
        <f>CustomOperations!$G$6*$C$23</f>
        <v>0</v>
      </c>
      <c r="F62" s="166">
        <f t="shared" si="1"/>
        <v>0</v>
      </c>
      <c r="G62" s="166"/>
    </row>
    <row r="63" spans="2:7">
      <c r="B63" t="str">
        <f>CustomOperations!$B$7</f>
        <v>Disk, Custom</v>
      </c>
      <c r="C63" s="137" t="str">
        <f>CustomOperations!$C$7</f>
        <v>acre</v>
      </c>
      <c r="D63" s="166">
        <f>CustomOperations!$G$7</f>
        <v>0</v>
      </c>
      <c r="E63" s="166">
        <f>CustomOperations!$G$8*$C$23</f>
        <v>0</v>
      </c>
      <c r="F63" s="166">
        <f t="shared" si="1"/>
        <v>0</v>
      </c>
      <c r="G63" s="166"/>
    </row>
    <row r="64" spans="2:7">
      <c r="B64" t="str">
        <f>CustomOperations!$B$9</f>
        <v>Drag, Custom</v>
      </c>
      <c r="C64" s="137" t="str">
        <f>CustomOperations!$C$9</f>
        <v>acre</v>
      </c>
      <c r="D64" s="166">
        <f>CustomOperations!$G$9</f>
        <v>0</v>
      </c>
      <c r="E64" s="166">
        <f>CustomOperations!$G$10*$C$23</f>
        <v>0</v>
      </c>
      <c r="F64" s="166">
        <f t="shared" si="1"/>
        <v>0</v>
      </c>
      <c r="G64" s="166"/>
    </row>
    <row r="65" spans="2:7">
      <c r="B65" t="str">
        <f>CustomOperations!$B$11</f>
        <v>Chisel, Custom</v>
      </c>
      <c r="C65" s="137" t="str">
        <f>CustomOperations!$C$11</f>
        <v>acre</v>
      </c>
      <c r="D65" s="166">
        <f>CustomOperations!$G$11</f>
        <v>0</v>
      </c>
      <c r="E65" s="166">
        <f>CustomOperations!$G$12*$C$23</f>
        <v>0</v>
      </c>
      <c r="F65" s="166">
        <f t="shared" si="1"/>
        <v>0</v>
      </c>
      <c r="G65" s="166"/>
    </row>
    <row r="66" spans="2:7">
      <c r="B66" t="str">
        <f>CustomOperations!$B$13</f>
        <v>Moldboard Plow, Custom</v>
      </c>
      <c r="C66" s="137" t="str">
        <f>CustomOperations!$C$13</f>
        <v>acre</v>
      </c>
      <c r="D66" s="166">
        <f>CustomOperations!$G$13</f>
        <v>0</v>
      </c>
      <c r="E66" s="166">
        <f>CustomOperations!$G$14*$C$23</f>
        <v>0</v>
      </c>
      <c r="F66" s="166">
        <f t="shared" si="1"/>
        <v>0</v>
      </c>
      <c r="G66" s="166"/>
    </row>
    <row r="67" spans="2:7">
      <c r="B67" t="str">
        <f>CustomOperations!$B$15</f>
        <v>Landplane, Custom</v>
      </c>
      <c r="C67" s="137" t="str">
        <f>CustomOperations!$C$15</f>
        <v>acre</v>
      </c>
      <c r="D67" s="166">
        <f>CustomOperations!$G$15</f>
        <v>17.940000000000001</v>
      </c>
      <c r="E67" s="166">
        <f>CustomOperations!$G$16*$C$23</f>
        <v>0</v>
      </c>
      <c r="F67" s="166">
        <f t="shared" si="1"/>
        <v>0</v>
      </c>
      <c r="G67" s="166"/>
    </row>
    <row r="68" spans="2:7">
      <c r="B68" t="str">
        <f>CustomOperations!$B$17</f>
        <v>Float, Custom</v>
      </c>
      <c r="C68" s="137" t="str">
        <f>CustomOperations!$C$17</f>
        <v>acre</v>
      </c>
      <c r="D68" s="166">
        <f>CustomOperations!$G$17</f>
        <v>17.940000000000001</v>
      </c>
      <c r="E68" s="166">
        <f>CustomOperations!$G$18*$C$23</f>
        <v>0</v>
      </c>
      <c r="F68" s="166">
        <f t="shared" si="1"/>
        <v>0</v>
      </c>
      <c r="G68" s="166"/>
    </row>
    <row r="69" spans="2:7">
      <c r="B69" t="str">
        <f>CustomOperations!$B$19</f>
        <v>Lister, Custom</v>
      </c>
      <c r="C69" s="137" t="str">
        <f>CustomOperations!$C$19</f>
        <v>acre</v>
      </c>
      <c r="D69" s="166">
        <f>CustomOperations!$G$19</f>
        <v>20.38</v>
      </c>
      <c r="E69" s="166">
        <f>CustomOperations!$G$20*$C$23</f>
        <v>0</v>
      </c>
      <c r="F69" s="166">
        <f t="shared" si="1"/>
        <v>0</v>
      </c>
      <c r="G69" s="166"/>
    </row>
    <row r="70" spans="2:7">
      <c r="B70" t="str">
        <f>CustomOperations!$B$21</f>
        <v>Bed Shape, Custom</v>
      </c>
      <c r="C70" s="137" t="str">
        <f>CustomOperations!$C$21</f>
        <v>acre</v>
      </c>
      <c r="D70" s="166">
        <f>CustomOperations!$G$21</f>
        <v>13.69</v>
      </c>
      <c r="E70" s="166">
        <f>CustomOperations!$G$22*$C$23</f>
        <v>0</v>
      </c>
      <c r="F70" s="166">
        <f t="shared" si="1"/>
        <v>0</v>
      </c>
      <c r="G70" s="166"/>
    </row>
    <row r="71" spans="2:7">
      <c r="B71" t="str">
        <f>CustomOperations!$B$32</f>
        <v>Fertilizer Spreader, Custom</v>
      </c>
      <c r="C71" s="137" t="str">
        <f>CustomOperations!$C$32</f>
        <v>acre</v>
      </c>
      <c r="D71" s="166">
        <f>CustomOperations!$G$32</f>
        <v>10.08</v>
      </c>
      <c r="E71" s="166">
        <f>CustomOperations!$G$33*$C$23</f>
        <v>0</v>
      </c>
      <c r="F71" s="166">
        <f>D71*E71</f>
        <v>0</v>
      </c>
      <c r="G71" s="166"/>
    </row>
    <row r="72" spans="2:7">
      <c r="B72" t="str">
        <f>CustomOperations!$B$34</f>
        <v>Laser Landplaning, Custom</v>
      </c>
      <c r="C72" s="137" t="str">
        <f>CustomOperations!$C$34</f>
        <v>acre</v>
      </c>
      <c r="D72" s="166">
        <f>CustomOperations!$G$34</f>
        <v>0</v>
      </c>
      <c r="E72" s="166">
        <f>CustomOperations!$G$35*$C$23</f>
        <v>0</v>
      </c>
      <c r="F72" s="166">
        <f>D72*E72</f>
        <v>0</v>
      </c>
      <c r="G72" s="166"/>
    </row>
    <row r="73" spans="2:7">
      <c r="B73" t="str">
        <f>CustomOperations!$B$30</f>
        <v>Boom Sprayer, Custom</v>
      </c>
      <c r="C73" s="137" t="str">
        <f>CustomOperations!$C$30</f>
        <v>acre</v>
      </c>
      <c r="D73" s="166">
        <f>CustomOperations!$G$30</f>
        <v>10.050000000000001</v>
      </c>
      <c r="E73" s="166">
        <f>CustomOperations!$G$31*$C$23</f>
        <v>0</v>
      </c>
      <c r="F73" s="166">
        <f t="shared" ref="F73:F95" si="2">D73*E73</f>
        <v>0</v>
      </c>
      <c r="G73" s="166"/>
    </row>
    <row r="74" spans="2:7">
      <c r="B74" s="463" t="str">
        <f>TillageOperations!$B$7&amp;" (Repairs, maint., fuel &amp; lube)"</f>
        <v>V-Ripper (Repairs, maint., fuel &amp; lube)</v>
      </c>
      <c r="C74" s="464" t="s">
        <v>157</v>
      </c>
      <c r="D74" s="166">
        <f>PubMachineryTables!$AM$49+PubMachineryTables!$AN$49</f>
        <v>30.16333889180672</v>
      </c>
      <c r="E74" s="166">
        <f>TillageOperations!$F$7*$C$23</f>
        <v>0</v>
      </c>
      <c r="F74" s="166">
        <f t="shared" si="2"/>
        <v>0</v>
      </c>
      <c r="G74" s="166"/>
    </row>
    <row r="75" spans="2:7">
      <c r="B75" s="463" t="str">
        <f>TillageOperations!$B$7&amp;" (Labor)"</f>
        <v>V-Ripper (Labor)</v>
      </c>
      <c r="C75" s="464" t="s">
        <v>157</v>
      </c>
      <c r="D75" s="166">
        <f>PubMachineryTables!$AL$49</f>
        <v>13.529312500000001</v>
      </c>
      <c r="E75" s="166">
        <f>TillageOperations!$F$7*$C$23</f>
        <v>0</v>
      </c>
      <c r="F75" s="166">
        <f t="shared" si="2"/>
        <v>0</v>
      </c>
      <c r="G75" s="166"/>
    </row>
    <row r="76" spans="2:7">
      <c r="B76" s="463" t="str">
        <f>TillageOperations!$B$8&amp;" (Repairs, maint., fuel &amp; lube)"</f>
        <v>Offset Disk (Repairs, maint., fuel &amp; lube)</v>
      </c>
      <c r="C76" s="464" t="s">
        <v>157</v>
      </c>
      <c r="D76" s="166">
        <f>PubMachineryTables!$AN$50+PubMachineryTables!$AM$50</f>
        <v>10.332318567950058</v>
      </c>
      <c r="E76" s="166">
        <f>TillageOperations!$F$8*$C$23</f>
        <v>300</v>
      </c>
      <c r="F76" s="166">
        <f t="shared" si="2"/>
        <v>3099.6955703850172</v>
      </c>
      <c r="G76" s="166"/>
    </row>
    <row r="77" spans="2:7">
      <c r="B77" s="463" t="str">
        <f>TillageOperations!$B$8&amp;" (Labor)"</f>
        <v>Offset Disk (Labor)</v>
      </c>
      <c r="C77" s="464" t="s">
        <v>157</v>
      </c>
      <c r="D77" s="166">
        <f>PubMachineryTables!$AL$50</f>
        <v>4.7161002178649252</v>
      </c>
      <c r="E77" s="166">
        <f>TillageOperations!$F$8*$C$23</f>
        <v>300</v>
      </c>
      <c r="F77" s="166">
        <f t="shared" si="2"/>
        <v>1414.8300653594777</v>
      </c>
      <c r="G77" s="166"/>
    </row>
    <row r="78" spans="2:7">
      <c r="B78" s="463" t="str">
        <f>TillageOperations!$B$9&amp;" (Repairs, maint., fuel &amp; lube)"</f>
        <v>Drag (Repairs, maint., fuel &amp; lube)</v>
      </c>
      <c r="C78" s="464" t="s">
        <v>157</v>
      </c>
      <c r="D78" s="166">
        <f>PubMachineryTables!$AN$51+PubMachineryTables!$AM$51</f>
        <v>2.4803921568627447</v>
      </c>
      <c r="E78" s="166">
        <f>TillageOperations!$F$9*$C$23</f>
        <v>0</v>
      </c>
      <c r="F78" s="166">
        <f t="shared" si="2"/>
        <v>0</v>
      </c>
      <c r="G78" s="166"/>
    </row>
    <row r="79" spans="2:7">
      <c r="B79" s="463" t="str">
        <f>TillageOperations!$B$9&amp;" (Labor)"</f>
        <v>Drag (Labor)</v>
      </c>
      <c r="C79" s="464" t="s">
        <v>157</v>
      </c>
      <c r="D79" s="166">
        <f>PubMachineryTables!$AL$51</f>
        <v>2.1222450980392158</v>
      </c>
      <c r="E79" s="166">
        <f>TillageOperations!$F$9*$C$23</f>
        <v>0</v>
      </c>
      <c r="F79" s="166">
        <f t="shared" si="2"/>
        <v>0</v>
      </c>
      <c r="G79" s="166"/>
    </row>
    <row r="80" spans="2:7">
      <c r="B80" s="463" t="str">
        <f>TillageOperations!$B$10&amp;" (Repairs, maint., fuel &amp; lube)"</f>
        <v>Chisel (Repairs, maint., fuel &amp; lube)</v>
      </c>
      <c r="C80" s="464" t="s">
        <v>157</v>
      </c>
      <c r="D80" s="166">
        <f>PubMachineryTables!$AN$52+PubMachineryTables!$AM$52</f>
        <v>8.5884820270019766</v>
      </c>
      <c r="E80" s="166">
        <f>TillageOperations!$F$10*$C$23</f>
        <v>150</v>
      </c>
      <c r="F80" s="166">
        <f t="shared" si="2"/>
        <v>1288.2723040502965</v>
      </c>
      <c r="G80" s="166"/>
    </row>
    <row r="81" spans="2:7">
      <c r="B81" s="463" t="str">
        <f>TillageOperations!$B$10&amp;" (Labor)"</f>
        <v>Chisel (Labor)</v>
      </c>
      <c r="C81" s="464" t="s">
        <v>157</v>
      </c>
      <c r="D81" s="166">
        <f>PubMachineryTables!$AL$52</f>
        <v>3.9792095588235301</v>
      </c>
      <c r="E81" s="166">
        <f>TillageOperations!$F$10*$C$23</f>
        <v>150</v>
      </c>
      <c r="F81" s="166">
        <f t="shared" si="2"/>
        <v>596.88143382352951</v>
      </c>
      <c r="G81" s="166"/>
    </row>
    <row r="82" spans="2:7">
      <c r="B82" s="463" t="str">
        <f>TillageOperations!$B$11&amp;" (Repairs, maint., fuel &amp; lube)"</f>
        <v>Moldboard Plow (Repairs, maint., fuel &amp; lube)</v>
      </c>
      <c r="C82" s="464" t="s">
        <v>157</v>
      </c>
      <c r="D82" s="166">
        <f>PubMachineryTables!$AN$53+PubMachineryTables!$AM$53</f>
        <v>14.457142857142856</v>
      </c>
      <c r="E82" s="166">
        <f>TillageOperations!$F$11*$C$23</f>
        <v>0</v>
      </c>
      <c r="F82" s="166">
        <f t="shared" si="2"/>
        <v>0</v>
      </c>
      <c r="G82" s="166"/>
    </row>
    <row r="83" spans="2:7">
      <c r="B83" s="463" t="str">
        <f>TillageOperations!$B$11&amp;" (Labor)"</f>
        <v>Moldboard Plow (Labor)</v>
      </c>
      <c r="C83" s="464" t="s">
        <v>157</v>
      </c>
      <c r="D83" s="166">
        <f>PubMachineryTables!$AL$53</f>
        <v>7.7310357142857153</v>
      </c>
      <c r="E83" s="166">
        <f>TillageOperations!$F$11*$C$23</f>
        <v>0</v>
      </c>
      <c r="F83" s="166">
        <f t="shared" si="2"/>
        <v>0</v>
      </c>
      <c r="G83" s="166"/>
    </row>
    <row r="84" spans="2:7">
      <c r="B84" s="463" t="str">
        <f>TillageOperations!$B$12&amp;" (Repairs, maint., fuel &amp; lube)"</f>
        <v>Cultivator (Repairs, maint., fuel &amp; lube)</v>
      </c>
      <c r="C84" s="464" t="s">
        <v>157</v>
      </c>
      <c r="D84" s="166">
        <f>PubMachineryTables!$AN$54+PubMachineryTables!$AM$54</f>
        <v>5.7828571428571429</v>
      </c>
      <c r="E84" s="166">
        <f>TillageOperations!$F$12*$C$23</f>
        <v>0</v>
      </c>
      <c r="F84" s="166">
        <f t="shared" si="2"/>
        <v>0</v>
      </c>
      <c r="G84" s="166"/>
    </row>
    <row r="85" spans="2:7">
      <c r="B85" s="463" t="str">
        <f>TillageOperations!$B$12&amp;" (Labor)"</f>
        <v>Cultivator (Labor)</v>
      </c>
      <c r="C85" s="464" t="s">
        <v>157</v>
      </c>
      <c r="D85" s="166">
        <f>PubMachineryTables!$AL$54</f>
        <v>3.0924142857142862</v>
      </c>
      <c r="E85" s="166">
        <f>TillageOperations!$F$12*$C$23</f>
        <v>0</v>
      </c>
      <c r="F85" s="166">
        <f t="shared" si="2"/>
        <v>0</v>
      </c>
      <c r="G85" s="166"/>
    </row>
    <row r="86" spans="2:7">
      <c r="B86" s="463" t="str">
        <f>TillageOperations!$B$13&amp;" (Repairs, maint., fuel &amp; lube)"</f>
        <v>Landplane (Repairs, maint., fuel &amp; lube)</v>
      </c>
      <c r="C86" s="464" t="s">
        <v>157</v>
      </c>
      <c r="D86" s="166">
        <f>PubMachineryTables!$AN$55+PubMachineryTables!$AM$55</f>
        <v>8.0445253976590632</v>
      </c>
      <c r="E86" s="166">
        <f>TillageOperations!$F$13*$C$23</f>
        <v>0</v>
      </c>
      <c r="F86" s="166">
        <f t="shared" si="2"/>
        <v>0</v>
      </c>
      <c r="G86" s="166"/>
    </row>
    <row r="87" spans="2:7">
      <c r="B87" s="463" t="str">
        <f>TillageOperations!$B$13&amp;" (Labor)"</f>
        <v>Landplane (Labor)</v>
      </c>
      <c r="C87" s="464" t="s">
        <v>157</v>
      </c>
      <c r="D87" s="166">
        <f>PubMachineryTables!$AL$55</f>
        <v>3.8655178571428577</v>
      </c>
      <c r="E87" s="166">
        <f>TillageOperations!$F$13*$C$23</f>
        <v>0</v>
      </c>
      <c r="F87" s="166">
        <f t="shared" si="2"/>
        <v>0</v>
      </c>
      <c r="G87" s="166"/>
    </row>
    <row r="88" spans="2:7">
      <c r="B88" s="463" t="str">
        <f>TillageOperations!$B$14&amp;" (Repairs, maint., fuel &amp; lube)"</f>
        <v>Float (Repairs, maint., fuel &amp; lube)</v>
      </c>
      <c r="C88" s="464" t="s">
        <v>157</v>
      </c>
      <c r="D88" s="166">
        <f>PubMachineryTables!$AN$56+PubMachineryTables!$AM$56</f>
        <v>5.1632653061224492</v>
      </c>
      <c r="E88" s="166">
        <f>TillageOperations!$F$14*$C$23</f>
        <v>0</v>
      </c>
      <c r="F88" s="166">
        <f t="shared" si="2"/>
        <v>0</v>
      </c>
      <c r="G88" s="166"/>
    </row>
    <row r="89" spans="2:7">
      <c r="B89" s="463" t="str">
        <f>TillageOperations!$B$14&amp;" (Labor)"</f>
        <v>Float (Labor)</v>
      </c>
      <c r="C89" s="464" t="s">
        <v>157</v>
      </c>
      <c r="D89" s="166">
        <f>PubMachineryTables!$AL$56</f>
        <v>4.4177346938775521</v>
      </c>
      <c r="E89" s="166">
        <f>TillageOperations!$F$14*$C$23</f>
        <v>0</v>
      </c>
      <c r="F89" s="166">
        <f t="shared" si="2"/>
        <v>0</v>
      </c>
      <c r="G89" s="166"/>
    </row>
    <row r="90" spans="2:7">
      <c r="B90" s="463" t="str">
        <f>TillageOperations!$B$15&amp;" (Repairs, maint., fuel &amp; lube)"</f>
        <v>Lister (Repairs, maint., fuel &amp; lube)</v>
      </c>
      <c r="C90" s="464" t="s">
        <v>157</v>
      </c>
      <c r="D90" s="166">
        <f>PubMachineryTables!$AN$57+PubMachineryTables!$AM$57</f>
        <v>11.879642797844287</v>
      </c>
      <c r="E90" s="166">
        <f>TillageOperations!$F$15*$C$23</f>
        <v>0</v>
      </c>
      <c r="F90" s="166">
        <f t="shared" si="2"/>
        <v>0</v>
      </c>
      <c r="G90" s="166"/>
    </row>
    <row r="91" spans="2:7">
      <c r="B91" s="463" t="str">
        <f>TillageOperations!$B$15&amp;" (Labor)"</f>
        <v>Lister (Labor)</v>
      </c>
      <c r="C91" s="464" t="s">
        <v>157</v>
      </c>
      <c r="D91" s="166">
        <f>PubMachineryTables!$AL$57</f>
        <v>6.1848285714285725</v>
      </c>
      <c r="E91" s="166">
        <f>TillageOperations!$F$15*$C$23</f>
        <v>0</v>
      </c>
      <c r="F91" s="166">
        <f t="shared" si="2"/>
        <v>0</v>
      </c>
      <c r="G91" s="166"/>
    </row>
    <row r="92" spans="2:7">
      <c r="B92" s="463" t="str">
        <f>TillageOperations!$B$16&amp;" (Repairs, maint., fuel &amp; lube)"</f>
        <v>Bed Shaper (Repairs, maint., fuel &amp; lube)</v>
      </c>
      <c r="C92" s="464" t="s">
        <v>157</v>
      </c>
      <c r="D92" s="166">
        <f>PubMachineryTables!$AN$58+PubMachineryTables!$AM$58</f>
        <v>5.9574634784635725</v>
      </c>
      <c r="E92" s="166">
        <f>TillageOperations!$F$16*$C$23</f>
        <v>0</v>
      </c>
      <c r="F92" s="166">
        <f t="shared" si="2"/>
        <v>0</v>
      </c>
      <c r="G92" s="166"/>
    </row>
    <row r="93" spans="2:7">
      <c r="B93" s="463" t="str">
        <f>TillageOperations!$B$16&amp;" (Labor)"</f>
        <v>Bed Shaper (Labor)</v>
      </c>
      <c r="C93" s="464" t="s">
        <v>157</v>
      </c>
      <c r="D93" s="166">
        <f>PubMachineryTables!$AL$58</f>
        <v>3.0924142857142862</v>
      </c>
      <c r="E93" s="166">
        <f>TillageOperations!$F$16*$C$23</f>
        <v>0</v>
      </c>
      <c r="F93" s="166">
        <f t="shared" si="2"/>
        <v>0</v>
      </c>
      <c r="G93" s="166"/>
    </row>
    <row r="94" spans="2:7">
      <c r="B94" s="463" t="str">
        <f>TillageOperations!$B$19&amp;" (Repairs, maint., fuel &amp; lube)"</f>
        <v>Row Planter (Repairs, maint., fuel &amp; lube)</v>
      </c>
      <c r="C94" s="464" t="s">
        <v>157</v>
      </c>
      <c r="D94" s="166">
        <f>PubMachineryTables!$AN$60+PubMachineryTables!$AM$60</f>
        <v>8.8400048303091552</v>
      </c>
      <c r="E94" s="166">
        <f>TillageOperations!$F$19*$C$23</f>
        <v>0</v>
      </c>
      <c r="F94" s="166">
        <f t="shared" si="2"/>
        <v>0</v>
      </c>
      <c r="G94" s="166"/>
    </row>
    <row r="95" spans="2:7">
      <c r="B95" s="463" t="str">
        <f>TillageOperations!$B$19&amp;" (Labor)"</f>
        <v>Row Planter (Labor)</v>
      </c>
      <c r="C95" s="464" t="s">
        <v>157</v>
      </c>
      <c r="D95" s="166">
        <f>PubMachineryTables!$AL$60</f>
        <v>4.5097708333333344</v>
      </c>
      <c r="E95" s="166">
        <f>TillageOperations!$F$19*$C$23</f>
        <v>0</v>
      </c>
      <c r="F95" s="166">
        <f t="shared" si="2"/>
        <v>0</v>
      </c>
      <c r="G95" s="166"/>
    </row>
    <row r="96" spans="2:7">
      <c r="B96" s="463" t="str">
        <f>TillageOperations!$B$20&amp;" (Repairs, maint., fuel &amp; lube)"</f>
        <v>Row Cultivator (Repairs, maint., fuel &amp; lube)</v>
      </c>
      <c r="C96" s="464" t="s">
        <v>157</v>
      </c>
      <c r="D96" s="166">
        <f>PubMachineryTables!$AN$61+PubMachineryTables!$AM$61</f>
        <v>3.5823141032725374</v>
      </c>
      <c r="E96" s="166">
        <f>TillageOperations!$F$20*$C$23</f>
        <v>0</v>
      </c>
      <c r="F96" s="166">
        <f>D96*E96</f>
        <v>0</v>
      </c>
      <c r="G96" s="166"/>
    </row>
    <row r="97" spans="2:7">
      <c r="B97" s="463" t="str">
        <f>TillageOperations!$B$20&amp;" (Labor)"</f>
        <v>Row Cultivator (Labor)</v>
      </c>
      <c r="C97" s="464" t="s">
        <v>157</v>
      </c>
      <c r="D97" s="166">
        <f>PubMachineryTables!$AL$61</f>
        <v>3.0065138888888892</v>
      </c>
      <c r="E97" s="166">
        <f>TillageOperations!$F$20*$C$23</f>
        <v>0</v>
      </c>
      <c r="F97" s="166">
        <f>D97*E97</f>
        <v>0</v>
      </c>
      <c r="G97" s="166"/>
    </row>
    <row r="98" spans="2:7">
      <c r="B98" s="463" t="str">
        <f>TillageOperations!$B$21&amp;" (Repairs, maint., fuel &amp; lube)"</f>
        <v>Drill (Repairs, maint., fuel &amp; lube)</v>
      </c>
      <c r="C98" s="464" t="s">
        <v>157</v>
      </c>
      <c r="D98" s="166">
        <f>PubMachineryTables!$AN$62+PubMachineryTables!$AM$62</f>
        <v>7.6986395922631168</v>
      </c>
      <c r="E98" s="166">
        <f>TillageOperations!$F$21*$C$23</f>
        <v>150</v>
      </c>
      <c r="F98" s="166">
        <f>D98*E98</f>
        <v>1154.7959388394675</v>
      </c>
      <c r="G98" s="166"/>
    </row>
    <row r="99" spans="2:7">
      <c r="B99" s="463" t="str">
        <f>TillageOperations!$B$21&amp;" (Labor)"</f>
        <v>Drill (Labor)</v>
      </c>
      <c r="C99" s="464" t="s">
        <v>157</v>
      </c>
      <c r="D99" s="166">
        <f>PubMachineryTables!$AL$62</f>
        <v>5.4117250000000006</v>
      </c>
      <c r="E99" s="166">
        <f>TillageOperations!$F$21*$C$23</f>
        <v>150</v>
      </c>
      <c r="F99" s="166">
        <f>D99*E99</f>
        <v>811.75875000000008</v>
      </c>
      <c r="G99" s="166"/>
    </row>
    <row r="100" spans="2:7">
      <c r="B100" s="75" t="str">
        <f>TillageOperations!$B$27&amp;" (Repairs, maint., fuel &amp; lube)"</f>
        <v>Cotton Picker (Repairs, maint., fuel &amp; lube)</v>
      </c>
      <c r="C100" s="464" t="s">
        <v>157</v>
      </c>
      <c r="D100" s="166">
        <f>PubMachineryTables!$AN$67+PubMachineryTables!$AM$67</f>
        <v>20.587703435804702</v>
      </c>
      <c r="E100" s="166">
        <f>TillageOperations!$F$27*$C$23</f>
        <v>0</v>
      </c>
      <c r="F100" s="166">
        <f t="shared" ref="F100:F107" si="3">D100*E100</f>
        <v>0</v>
      </c>
      <c r="G100" s="166"/>
    </row>
    <row r="101" spans="2:7">
      <c r="B101" t="str">
        <f>TillageOperations!$B$27&amp;" (Labor)"</f>
        <v>Cotton Picker (Labor)</v>
      </c>
      <c r="C101" s="464" t="s">
        <v>157</v>
      </c>
      <c r="D101" s="166">
        <f>PubMachineryTables!$AL$67</f>
        <v>7.3395908679927677</v>
      </c>
      <c r="E101" s="166">
        <f>TillageOperations!$F$27*$C$23</f>
        <v>0</v>
      </c>
      <c r="F101" s="166">
        <f t="shared" si="3"/>
        <v>0</v>
      </c>
      <c r="G101" s="166"/>
    </row>
    <row r="102" spans="2:7">
      <c r="B102" s="75" t="str">
        <f>TillageOperations!$B$28&amp;" (Repairs, maint., fuel &amp; lube)"</f>
        <v>Module Unit (Repairs, maint., fuel &amp; lube)</v>
      </c>
      <c r="C102" s="464" t="s">
        <v>157</v>
      </c>
      <c r="D102" s="166">
        <f>PubMachineryTables!$AN$68+PubMachineryTables!$AM$68</f>
        <v>7.0644080416976918</v>
      </c>
      <c r="E102" s="166">
        <f>TillageOperations!$F$28*$C$23</f>
        <v>0</v>
      </c>
      <c r="F102" s="166">
        <f t="shared" ref="F102:F103" si="4">D102*E102</f>
        <v>0</v>
      </c>
      <c r="G102" s="166"/>
    </row>
    <row r="103" spans="2:7">
      <c r="B103" t="str">
        <f>TillageOperations!$B$28&amp;" (Labor)"</f>
        <v>Module Unit (Labor)</v>
      </c>
      <c r="C103" s="464" t="s">
        <v>157</v>
      </c>
      <c r="D103" s="166">
        <f>PubMachineryTables!$AL$68</f>
        <v>6.0443689501116911</v>
      </c>
      <c r="E103" s="166">
        <f>TillageOperations!$F$28*$C$23</f>
        <v>0</v>
      </c>
      <c r="F103" s="166">
        <f t="shared" si="4"/>
        <v>0</v>
      </c>
      <c r="G103" s="166"/>
    </row>
    <row r="104" spans="2:7">
      <c r="B104" t="str">
        <f>TillageOperations!$B$29&amp;" (Repairs, maint., fuel &amp; lube)"</f>
        <v>Haul Cotton (Repairs, maint., fuel &amp; lube)</v>
      </c>
      <c r="C104" s="464" t="s">
        <v>157</v>
      </c>
      <c r="D104" s="166">
        <f>PubMachineryTables!$AN$69+PubMachineryTables!$AM$69</f>
        <v>7.0644080416976918</v>
      </c>
      <c r="E104" s="166">
        <f>TillageOperations!$F$29*$C$23</f>
        <v>0</v>
      </c>
      <c r="F104" s="166">
        <f t="shared" si="3"/>
        <v>0</v>
      </c>
      <c r="G104" s="166"/>
    </row>
    <row r="105" spans="2:7">
      <c r="B105" t="str">
        <f>TillageOperations!$B$29&amp;" (Labor)"</f>
        <v>Haul Cotton (Labor)</v>
      </c>
      <c r="C105" s="464" t="s">
        <v>157</v>
      </c>
      <c r="D105" s="166">
        <f>PubMachineryTables!$AL$69</f>
        <v>6.0443689501116911</v>
      </c>
      <c r="E105" s="166">
        <f>TillageOperations!$F$29*$C$23</f>
        <v>0</v>
      </c>
      <c r="F105" s="166">
        <f t="shared" si="3"/>
        <v>0</v>
      </c>
      <c r="G105" s="166"/>
    </row>
    <row r="106" spans="2:7">
      <c r="B106" t="str">
        <f>TillageOperations!$B$17&amp;" (Repairs, maint., fuel &amp; lube)"</f>
        <v>Cotton Shredder/Root Puller (Repairs, maint., fuel &amp; lube)</v>
      </c>
      <c r="C106" s="464" t="s">
        <v>157</v>
      </c>
      <c r="D106" s="166">
        <f>PubMachineryTables!$AN$59+PubMachineryTables!$AM$59</f>
        <v>3.4657534246575339</v>
      </c>
      <c r="E106" s="166">
        <f>TillageOperations!$F$17*$C$23</f>
        <v>0</v>
      </c>
      <c r="F106" s="166">
        <f t="shared" si="3"/>
        <v>0</v>
      </c>
      <c r="G106" s="166"/>
    </row>
    <row r="107" spans="2:7">
      <c r="B107" t="str">
        <f>TillageOperations!$B$17&amp;" (Labor)"</f>
        <v>Cotton Shredder/Root Puller (Labor)</v>
      </c>
      <c r="C107" s="464" t="s">
        <v>157</v>
      </c>
      <c r="D107" s="166">
        <f>PubMachineryTables!$AL$59</f>
        <v>2.965328767123288</v>
      </c>
      <c r="E107" s="166">
        <f>TillageOperations!$F$17*$C$23</f>
        <v>0</v>
      </c>
      <c r="F107" s="166">
        <f t="shared" si="3"/>
        <v>0</v>
      </c>
      <c r="G107" s="166"/>
    </row>
    <row r="108" spans="2:7">
      <c r="B108" t="str">
        <f>TillageOperations!$B$30&amp;" (Repairs, maint., fuel &amp; lube)"</f>
        <v>Combine (Repairs, maint., fuel &amp; lube)</v>
      </c>
      <c r="C108" s="464" t="s">
        <v>157</v>
      </c>
      <c r="D108" s="166">
        <f>PubMachineryTables!$AN$70+PubMachineryTables!$AM$70</f>
        <v>4.8939818019913757</v>
      </c>
      <c r="E108" s="166">
        <f>TillageOperations!$F$30*$C$23</f>
        <v>150</v>
      </c>
      <c r="F108" s="166">
        <f>D108*E108</f>
        <v>734.09727029870635</v>
      </c>
      <c r="G108" s="166"/>
    </row>
    <row r="109" spans="2:7">
      <c r="B109" t="str">
        <f>TillageOperations!$B$30&amp;" (Labor)"</f>
        <v>Combine (Labor)</v>
      </c>
      <c r="C109" s="464" t="s">
        <v>157</v>
      </c>
      <c r="D109" s="166">
        <f>PubMachineryTables!$AL$70</f>
        <v>1.591683823529412</v>
      </c>
      <c r="E109" s="166">
        <f>TillageOperations!$F$30*$C$23</f>
        <v>150</v>
      </c>
      <c r="F109" s="166">
        <f>D109*E109</f>
        <v>238.75257352941179</v>
      </c>
      <c r="G109" s="166"/>
    </row>
    <row r="110" spans="2:7">
      <c r="B110" t="str">
        <f>TillageOperations!$B$31&amp;" (Repairs, maint., fuel &amp; lube)"</f>
        <v>Grain Cart (Repairs, maint., fuel &amp; lube)</v>
      </c>
      <c r="C110" s="464" t="s">
        <v>157</v>
      </c>
      <c r="D110" s="166">
        <f>PubMachineryTables!$AN$71+PubMachineryTables!$AM$71</f>
        <v>3.2163097667975675</v>
      </c>
      <c r="E110" s="166">
        <f>TillageOperations!$F$31*$C$23</f>
        <v>150</v>
      </c>
      <c r="F110" s="166">
        <f>D110*E110</f>
        <v>482.44646501963513</v>
      </c>
      <c r="G110" s="166"/>
    </row>
    <row r="111" spans="2:7">
      <c r="B111" t="str">
        <f>TillageOperations!$B$31&amp;" (Labor)"</f>
        <v>Grain Cart (Labor)</v>
      </c>
      <c r="C111" s="464" t="s">
        <v>157</v>
      </c>
      <c r="D111" s="166">
        <f>PubMachineryTables!$AL$71</f>
        <v>1.591683823529412</v>
      </c>
      <c r="E111" s="166">
        <f>TillageOperations!$F$31*$C$23</f>
        <v>150</v>
      </c>
      <c r="F111" s="166">
        <f>D111*E111</f>
        <v>238.75257352941179</v>
      </c>
      <c r="G111" s="166"/>
    </row>
    <row r="112" spans="2:7">
      <c r="B112" t="str">
        <f>TillageOperations!$B$32&amp;" (Repairs, maint., fuel &amp; lube)"</f>
        <v>Swather (Repairs, maint., fuel &amp; lube)</v>
      </c>
      <c r="C112" s="464" t="s">
        <v>157</v>
      </c>
      <c r="D112" s="166">
        <f>PubMachineryTables!$AN$72+PubMachineryTables!$AM$72</f>
        <v>2.0239999999999996</v>
      </c>
      <c r="E112" s="166">
        <f>TillageOperations!$F$32*$C$23</f>
        <v>0</v>
      </c>
      <c r="F112" s="166">
        <f t="shared" ref="F112:F131" si="5">D112*E112</f>
        <v>0</v>
      </c>
      <c r="G112" s="166"/>
    </row>
    <row r="113" spans="2:7">
      <c r="B113" t="str">
        <f>TillageOperations!$B$32&amp;" (Labor)"</f>
        <v>Swather (Labor)</v>
      </c>
      <c r="C113" s="464" t="s">
        <v>157</v>
      </c>
      <c r="D113" s="166">
        <f>PubMachineryTables!$AL$72</f>
        <v>2.1646900000000002</v>
      </c>
      <c r="E113" s="166">
        <f>TillageOperations!$F$32*$C$23</f>
        <v>0</v>
      </c>
      <c r="F113" s="166">
        <f t="shared" si="5"/>
        <v>0</v>
      </c>
      <c r="G113" s="166"/>
    </row>
    <row r="114" spans="2:7">
      <c r="B114" t="str">
        <f>TillageOperations!$B$33&amp;" (Repairs, maint., fuel &amp; lube)"</f>
        <v>Baler (Repairs, maint., fuel &amp; lube)</v>
      </c>
      <c r="C114" s="464" t="s">
        <v>157</v>
      </c>
      <c r="D114" s="166">
        <f>PubMachineryTables!$AN$73+PubMachineryTables!$AM$73</f>
        <v>3.953125</v>
      </c>
      <c r="E114" s="166">
        <f>TillageOperations!$F$33*$C$23</f>
        <v>0</v>
      </c>
      <c r="F114" s="166">
        <f t="shared" si="5"/>
        <v>0</v>
      </c>
      <c r="G114" s="166"/>
    </row>
    <row r="115" spans="2:7">
      <c r="B115" t="str">
        <f>TillageOperations!$B$33&amp;" (Labor)"</f>
        <v>Baler (Labor)</v>
      </c>
      <c r="C115" s="464" t="s">
        <v>157</v>
      </c>
      <c r="D115" s="166">
        <f>PubMachineryTables!$AL$73</f>
        <v>3.3823281250000004</v>
      </c>
      <c r="E115" s="166">
        <f>TillageOperations!$F$33*$C$23</f>
        <v>0</v>
      </c>
      <c r="F115" s="166">
        <f t="shared" si="5"/>
        <v>0</v>
      </c>
      <c r="G115" s="166"/>
    </row>
    <row r="116" spans="2:7">
      <c r="B116" t="str">
        <f>TillageOperations!$B$34&amp;" (Repairs, maint., fuel &amp; lube)"</f>
        <v>Swather (Repairs, maint., fuel &amp; lube)</v>
      </c>
      <c r="C116" s="464" t="s">
        <v>157</v>
      </c>
      <c r="D116" s="166">
        <f>PubMachineryTables!$AN$74+PubMachineryTables!$AM$74</f>
        <v>19.46153846153846</v>
      </c>
      <c r="E116" s="166">
        <f>TillageOperations!$F$34*$C$23</f>
        <v>0</v>
      </c>
      <c r="F116" s="166">
        <f t="shared" si="5"/>
        <v>0</v>
      </c>
      <c r="G116" s="166"/>
    </row>
    <row r="117" spans="2:7">
      <c r="B117" t="str">
        <f>TillageOperations!$B$34&amp;" (Labor)"</f>
        <v>Swather (Labor)</v>
      </c>
      <c r="C117" s="464" t="s">
        <v>157</v>
      </c>
      <c r="D117" s="166">
        <f>PubMachineryTables!$AL$74</f>
        <v>20.814326923076923</v>
      </c>
      <c r="E117" s="166">
        <f>TillageOperations!$F$34*$C$23</f>
        <v>0</v>
      </c>
      <c r="F117" s="166">
        <f t="shared" si="5"/>
        <v>0</v>
      </c>
      <c r="G117" s="166"/>
    </row>
    <row r="118" spans="2:7">
      <c r="B118" t="str">
        <f>TillageOperations!$B$35&amp;" (Repairs, maint., fuel &amp; lube)"</f>
        <v>Baler (Repairs, maint., fuel &amp; lube)</v>
      </c>
      <c r="C118" s="464" t="s">
        <v>157</v>
      </c>
      <c r="D118" s="166">
        <f>PubMachineryTables!$AN$75+PubMachineryTables!$AM$75</f>
        <v>24.326923076923073</v>
      </c>
      <c r="E118" s="166">
        <f>TillageOperations!$F$35*$C$23</f>
        <v>0</v>
      </c>
      <c r="F118" s="166">
        <f t="shared" si="5"/>
        <v>0</v>
      </c>
      <c r="G118" s="166"/>
    </row>
    <row r="119" spans="2:7">
      <c r="B119" t="str">
        <f>TillageOperations!$B$35&amp;" (Labor)"</f>
        <v>Baler (Labor)</v>
      </c>
      <c r="C119" s="464" t="s">
        <v>157</v>
      </c>
      <c r="D119" s="166">
        <f>PubMachineryTables!$AL$75</f>
        <v>20.814326923076923</v>
      </c>
      <c r="E119" s="166">
        <f>TillageOperations!$F$35*$C$23</f>
        <v>0</v>
      </c>
      <c r="F119" s="166">
        <f t="shared" si="5"/>
        <v>0</v>
      </c>
      <c r="G119" s="166"/>
    </row>
    <row r="120" spans="2:7">
      <c r="B120" t="str">
        <f>'Inputs&amp;PricesbyCrop'!$B$31</f>
        <v xml:space="preserve">   - Baling Twine</v>
      </c>
      <c r="C120" s="137" t="str">
        <f>'Inputs&amp;PricesbyCrop'!$C$31</f>
        <v>acre</v>
      </c>
      <c r="D120" s="166">
        <f>'Inputs&amp;PricesbyCrop'!$G$31</f>
        <v>0</v>
      </c>
      <c r="E120" s="166">
        <f>$C$23</f>
        <v>150</v>
      </c>
      <c r="F120" s="166">
        <f t="shared" si="5"/>
        <v>0</v>
      </c>
      <c r="G120" s="166"/>
    </row>
    <row r="121" spans="2:7">
      <c r="B121" t="str">
        <f>TillageOperations!$B$36&amp;" (Repairs, maint., fuel &amp; lube)"</f>
        <v>Bale Wagon (Repairs, maint., fuel &amp; lube)</v>
      </c>
      <c r="C121" s="464" t="s">
        <v>157</v>
      </c>
      <c r="D121" s="166">
        <f>PubMachineryTables!$AN$76+PubMachineryTables!$AM$76</f>
        <v>3.1624999999999996</v>
      </c>
      <c r="E121" s="166">
        <f>TillageOperations!$F$36*$C$23</f>
        <v>0</v>
      </c>
      <c r="F121" s="166">
        <f t="shared" si="5"/>
        <v>0</v>
      </c>
      <c r="G121" s="166"/>
    </row>
    <row r="122" spans="2:7">
      <c r="B122" t="str">
        <f>TillageOperations!$B$36&amp;" (Labor)"</f>
        <v>Bale Wagon (Labor)</v>
      </c>
      <c r="C122" s="464" t="s">
        <v>157</v>
      </c>
      <c r="D122" s="166">
        <f>PubMachineryTables!$AL$76</f>
        <v>3.3823281250000004</v>
      </c>
      <c r="E122" s="166">
        <f>TillageOperations!$F$36*$C$23</f>
        <v>0</v>
      </c>
      <c r="F122" s="166">
        <f t="shared" si="5"/>
        <v>0</v>
      </c>
      <c r="G122" s="166"/>
    </row>
    <row r="123" spans="2:7">
      <c r="B123" t="str">
        <f>TillageOperations!$B$23&amp;" (Repairs, maint., fuel &amp; lube)"</f>
        <v>Fertilizer Spreader (Repairs, maint., fuel &amp; lube)</v>
      </c>
      <c r="C123" s="464" t="s">
        <v>157</v>
      </c>
      <c r="D123" s="166">
        <f>PubMachineryTables!$AM$64+PubMachineryTables!$AN$64</f>
        <v>2.6573732562743069</v>
      </c>
      <c r="E123" s="166">
        <f>TillageOperations!$F$23*$C$23</f>
        <v>0</v>
      </c>
      <c r="F123" s="168">
        <f t="shared" si="5"/>
        <v>0</v>
      </c>
      <c r="G123" s="168"/>
    </row>
    <row r="124" spans="2:7">
      <c r="B124" t="str">
        <f>TillageOperations!$B$23&amp;" (Labor)"</f>
        <v>Fertilizer Spreader (Labor)</v>
      </c>
      <c r="C124" s="464" t="s">
        <v>157</v>
      </c>
      <c r="D124" s="166">
        <f>PubMachineryTables!$AL$64</f>
        <v>1.879071180555556</v>
      </c>
      <c r="E124" s="166">
        <f>TillageOperations!$F$23*$C$23</f>
        <v>0</v>
      </c>
      <c r="F124" s="168">
        <f t="shared" si="5"/>
        <v>0</v>
      </c>
      <c r="G124" s="168"/>
    </row>
    <row r="125" spans="2:7">
      <c r="B125" t="str">
        <f>TillageOperations!$B$24&amp;" (Repairs, maint., fuel &amp; lube)"</f>
        <v>Fertilizer Injection System (Repairs, maint., fuel &amp; lube)</v>
      </c>
      <c r="C125" s="464" t="s">
        <v>157</v>
      </c>
      <c r="D125" s="166">
        <f>PubMachineryTables!$AM$65+PubMachineryTables!$AN$65</f>
        <v>8.4333333333333336</v>
      </c>
      <c r="E125" s="166">
        <f>TillageOperations!$F$24*$C$23</f>
        <v>0</v>
      </c>
      <c r="F125" s="168">
        <f t="shared" si="5"/>
        <v>0</v>
      </c>
      <c r="G125" s="168"/>
    </row>
    <row r="126" spans="2:7">
      <c r="B126" t="str">
        <f>TillageOperations!$B$24&amp;" (Labor)"</f>
        <v>Fertilizer Injection System (Labor)</v>
      </c>
      <c r="C126" s="464" t="s">
        <v>157</v>
      </c>
      <c r="D126" s="166">
        <f>PubMachineryTables!$AL$65</f>
        <v>4.5097708333333344</v>
      </c>
      <c r="E126" s="166">
        <f>TillageOperations!$F$24*$C$23</f>
        <v>0</v>
      </c>
      <c r="F126" s="168">
        <f t="shared" si="5"/>
        <v>0</v>
      </c>
      <c r="G126" s="168"/>
    </row>
    <row r="127" spans="2:7">
      <c r="B127" t="str">
        <f>TillageOperations!$B$25&amp;" (Repairs, maint., fuel &amp; lube)"</f>
        <v>Boom Sprayer (Repairs, maint., fuel &amp; lube)</v>
      </c>
      <c r="C127" s="464" t="s">
        <v>157</v>
      </c>
      <c r="D127" s="166">
        <f>PubMachineryTables!AN$66+PubMachineryTables!$AM$66</f>
        <v>1.5996307048468115</v>
      </c>
      <c r="E127" s="166">
        <f>TillageOperations!$F$25*$C$23</f>
        <v>300</v>
      </c>
      <c r="F127" s="166">
        <f t="shared" si="5"/>
        <v>479.88921145404345</v>
      </c>
      <c r="G127" s="166"/>
    </row>
    <row r="128" spans="2:7">
      <c r="B128" t="str">
        <f>TillageOperations!$B$25&amp;" (Labor)"</f>
        <v>Boom Sprayer (Labor)</v>
      </c>
      <c r="C128" s="464" t="s">
        <v>157</v>
      </c>
      <c r="D128" s="166">
        <f>PubMachineryTables!$AL$66</f>
        <v>1.1893901098901098</v>
      </c>
      <c r="E128" s="166">
        <f>TillageOperations!$F$25*$C$23</f>
        <v>300</v>
      </c>
      <c r="F128" s="166">
        <f t="shared" si="5"/>
        <v>356.81703296703296</v>
      </c>
      <c r="G128" s="166"/>
    </row>
    <row r="129" spans="2:7">
      <c r="B129" t="str">
        <f>TillageOperations!$B$22&amp;" (Repairs, maint., fuel &amp; lube)"</f>
        <v>Transplanter (Repairs, maint., fuel &amp; lube)</v>
      </c>
      <c r="C129" s="464" t="s">
        <v>157</v>
      </c>
      <c r="D129" s="166">
        <f>PubMachineryTables!AN$63+PubMachineryTables!$AM$63</f>
        <v>61.668749999999996</v>
      </c>
      <c r="E129" s="166">
        <f>TillageOperations!$F$22*$C$23</f>
        <v>0</v>
      </c>
      <c r="F129" s="166">
        <f>D129*E129</f>
        <v>0</v>
      </c>
      <c r="G129" s="166"/>
    </row>
    <row r="130" spans="2:7">
      <c r="B130" t="str">
        <f>TillageOperations!$B$22&amp;" (Labor)"</f>
        <v>Transplanter (Labor)</v>
      </c>
      <c r="C130" s="464" t="s">
        <v>157</v>
      </c>
      <c r="D130" s="166">
        <f>PubMachineryTables!$AL$63</f>
        <v>20.293968750000001</v>
      </c>
      <c r="E130" s="166">
        <f>TillageOperations!$F$22*$C$23</f>
        <v>0</v>
      </c>
      <c r="F130" s="166">
        <f t="shared" si="5"/>
        <v>0</v>
      </c>
      <c r="G130" s="166"/>
    </row>
    <row r="131" spans="2:7">
      <c r="B131" t="str">
        <f>'Inputs&amp;PricesbyCrop'!$B$14</f>
        <v>Additional Land Prep. Labor</v>
      </c>
      <c r="C131" s="137" t="str">
        <f>'Inputs&amp;PricesbyCrop'!$C$14</f>
        <v>hour</v>
      </c>
      <c r="D131" s="166">
        <f>GeneralInputPrices!$D$30</f>
        <v>14.55</v>
      </c>
      <c r="E131" s="166">
        <f>'Inputs&amp;PricesbyCrop'!$G$14*BASEBUDGETS!$C$23</f>
        <v>0</v>
      </c>
      <c r="F131" s="166">
        <f t="shared" si="5"/>
        <v>0</v>
      </c>
      <c r="G131" s="166"/>
    </row>
    <row r="132" spans="2:7">
      <c r="B132" t="str">
        <f>'Inputs&amp;PricesbyCrop'!$B$15</f>
        <v>Additional Land Prep. Labor</v>
      </c>
      <c r="C132" s="137" t="str">
        <f>'Inputs&amp;PricesbyCrop'!$C$15</f>
        <v>hour</v>
      </c>
      <c r="D132" s="166">
        <f>GeneralInputPrices!$D$30</f>
        <v>14.55</v>
      </c>
      <c r="E132" s="166">
        <f>'Inputs&amp;PricesbyCrop'!$G$15*BASEBUDGETS!$C$23</f>
        <v>0</v>
      </c>
      <c r="F132" s="166">
        <f t="shared" ref="F132:F133" si="6">D132*E132</f>
        <v>0</v>
      </c>
      <c r="G132" s="166"/>
    </row>
    <row r="133" spans="2:7">
      <c r="B133" t="str">
        <f>'Inputs&amp;PricesbyCrop'!$B$17</f>
        <v>Additional Crop Prod. Labor</v>
      </c>
      <c r="C133" s="137" t="str">
        <f>'Inputs&amp;PricesbyCrop'!$C$17</f>
        <v>hour</v>
      </c>
      <c r="D133" s="166">
        <f>GeneralInputPrices!$D$31</f>
        <v>14.55</v>
      </c>
      <c r="E133" s="166">
        <f>'Inputs&amp;PricesbyCrop'!$G$17*BASEBUDGETS!$C$23</f>
        <v>0</v>
      </c>
      <c r="F133" s="166">
        <f t="shared" si="6"/>
        <v>0</v>
      </c>
      <c r="G133" s="166"/>
    </row>
    <row r="134" spans="2:7">
      <c r="B134" t="str">
        <f>'Inputs&amp;PricesbyCrop'!$B$18</f>
        <v>Additional Crop Prod. Labor</v>
      </c>
      <c r="C134" s="137" t="str">
        <f>'Inputs&amp;PricesbyCrop'!$C$18</f>
        <v>hour</v>
      </c>
      <c r="D134" s="166">
        <f>GeneralInputPrices!$D$31</f>
        <v>14.55</v>
      </c>
      <c r="E134" s="166">
        <f>'Inputs&amp;PricesbyCrop'!$G$18*BASEBUDGETS!$C$23</f>
        <v>0</v>
      </c>
      <c r="F134" s="166">
        <f t="shared" ref="F134:F135" si="7">D134*E134</f>
        <v>0</v>
      </c>
      <c r="G134" s="166"/>
    </row>
    <row r="135" spans="2:7">
      <c r="B135" t="str">
        <f>'Inputs&amp;PricesbyCrop'!$B$20</f>
        <v>Additional Harvest Labor</v>
      </c>
      <c r="C135" s="137" t="str">
        <f>'Inputs&amp;PricesbyCrop'!$C$20</f>
        <v>hour</v>
      </c>
      <c r="D135" s="166">
        <f>GeneralInputPrices!$D$32</f>
        <v>17.89</v>
      </c>
      <c r="E135" s="166">
        <f>'Inputs&amp;PricesbyCrop'!$G$20*BASEBUDGETS!$C$23</f>
        <v>0</v>
      </c>
      <c r="F135" s="166">
        <f t="shared" si="7"/>
        <v>0</v>
      </c>
      <c r="G135" s="166"/>
    </row>
    <row r="136" spans="2:7">
      <c r="B136" t="str">
        <f>'Inputs&amp;PricesbyCrop'!$B$21</f>
        <v>Additional Harvest Labor</v>
      </c>
      <c r="C136" s="137" t="str">
        <f>'Inputs&amp;PricesbyCrop'!$C$21</f>
        <v>hour</v>
      </c>
      <c r="D136" s="166">
        <f>GeneralInputPrices!$D$32</f>
        <v>17.89</v>
      </c>
      <c r="E136" s="166">
        <f>'Inputs&amp;PricesbyCrop'!$G$21*BASEBUDGETS!$C$23</f>
        <v>0</v>
      </c>
      <c r="F136" s="166">
        <f t="shared" ref="F136" si="8">D136*E136</f>
        <v>0</v>
      </c>
      <c r="G136" s="166"/>
    </row>
    <row r="137" spans="2:7">
      <c r="B137" t="s">
        <v>59</v>
      </c>
      <c r="C137" s="137" t="str">
        <f>GeneralInputPrices!$C$34</f>
        <v>percent</v>
      </c>
      <c r="D137" s="138">
        <f>GeneralInputPrices!$D$34</f>
        <v>0.05</v>
      </c>
      <c r="E137" s="75" t="s">
        <v>10</v>
      </c>
      <c r="F137" s="37">
        <f>SUM(F31:F136)*D137</f>
        <v>1427.9744594628014</v>
      </c>
      <c r="G137" s="37"/>
    </row>
    <row r="138" spans="2:7">
      <c r="B138" t="s">
        <v>60</v>
      </c>
      <c r="C138" s="137" t="str">
        <f>GeneralInputPrices!$C$34</f>
        <v>percent</v>
      </c>
      <c r="D138" s="138">
        <f>GeneralInputPrices!$D$35</f>
        <v>0.06</v>
      </c>
      <c r="F138" s="139">
        <f>SUM(F31:F137)*((D138/12)*GeneralInputPrices!$D$39)</f>
        <v>899.62390946156484</v>
      </c>
      <c r="G138" s="139"/>
    </row>
    <row r="139" spans="2:7">
      <c r="B139" t="s">
        <v>61</v>
      </c>
      <c r="D139" s="454"/>
      <c r="F139" s="37">
        <f>SUM(F31:F138)</f>
        <v>30887.087558180392</v>
      </c>
      <c r="G139" s="37"/>
    </row>
    <row r="140" spans="2:7">
      <c r="D140" s="454"/>
    </row>
    <row r="141" spans="2:7">
      <c r="B141" s="140" t="s">
        <v>129</v>
      </c>
      <c r="C141" s="458" t="s">
        <v>1</v>
      </c>
      <c r="D141" s="459" t="s">
        <v>24</v>
      </c>
      <c r="E141" s="460" t="s">
        <v>25</v>
      </c>
      <c r="F141" s="460" t="s">
        <v>0</v>
      </c>
      <c r="G141" s="277"/>
    </row>
    <row r="142" spans="2:7">
      <c r="B142" t="str">
        <f>GeneralInputPrices!$B$15&amp;" - Upfront Costs for New System"</f>
        <v>Flood - Upfront Costs for New System</v>
      </c>
      <c r="C142" s="453" t="str">
        <f>GeneralInputPrices!$C$16</f>
        <v>acre</v>
      </c>
      <c r="D142">
        <f>IF('BreakevenInputs&amp;Resources'!T$16=0,0,(('BreakevenInputs&amp;Resources'!T$16/GeneralInputPrices!$D$17)*('AcresYieldsPrices&amp;Water'!$Q$11/'AcresYieldsPrices&amp;Water'!$Q$31))/$C23)</f>
        <v>0</v>
      </c>
      <c r="E142" s="166">
        <f>$C23</f>
        <v>150</v>
      </c>
      <c r="F142" s="166">
        <f>D142*E142</f>
        <v>0</v>
      </c>
      <c r="G142" s="163"/>
    </row>
    <row r="143" spans="2:7">
      <c r="B143" t="str">
        <f>GeneralInputPrices!$B$19&amp;" - Upfront Costs for New System"</f>
        <v>Drip-tape - Upfront Costs for New System</v>
      </c>
      <c r="C143" s="453" t="str">
        <f>GeneralInputPrices!$C$20</f>
        <v>acre</v>
      </c>
      <c r="D143">
        <f>IF('BreakevenInputs&amp;Resources'!T$17=0,0,(('BreakevenInputs&amp;Resources'!T$17/GeneralInputPrices!$D$21)*('AcresYieldsPrices&amp;Water'!$Q$11/'AcresYieldsPrices&amp;Water'!$Q$31))/$C23)</f>
        <v>0</v>
      </c>
      <c r="E143" s="166">
        <f>$C23</f>
        <v>150</v>
      </c>
      <c r="F143" s="166">
        <f>D143*E143</f>
        <v>0</v>
      </c>
      <c r="G143" s="163"/>
    </row>
    <row r="144" spans="2:7">
      <c r="B144" t="str">
        <f>GeneralInputPrices!$B$23&amp;" - Upfront Costs for New System"</f>
        <v>Sprinkler - Upfront Costs for New System</v>
      </c>
      <c r="C144" s="453" t="str">
        <f>GeneralInputPrices!$C$24</f>
        <v>acre</v>
      </c>
      <c r="D144">
        <f>IF('BreakevenInputs&amp;Resources'!T$18=0,0,(('BreakevenInputs&amp;Resources'!T$18/GeneralInputPrices!$D$25)*('AcresYieldsPrices&amp;Water'!$Q$11/'AcresYieldsPrices&amp;Water'!$Q$31))/$C23)</f>
        <v>0</v>
      </c>
      <c r="E144" s="166">
        <f>$C23</f>
        <v>150</v>
      </c>
      <c r="F144" s="166">
        <f>D144*E144</f>
        <v>0</v>
      </c>
      <c r="G144" s="163"/>
    </row>
    <row r="145" spans="2:7">
      <c r="B145" s="463" t="str">
        <f>TillageOperations!$B$7</f>
        <v>V-Ripper</v>
      </c>
      <c r="C145" s="464" t="s">
        <v>157</v>
      </c>
      <c r="D145" s="166">
        <f>PubMachineryTables!$AO$49</f>
        <v>209.18701372031111</v>
      </c>
      <c r="E145" s="166">
        <f>E74</f>
        <v>0</v>
      </c>
      <c r="F145" s="168">
        <f t="shared" ref="F145:F156" si="9">D145*E145</f>
        <v>0</v>
      </c>
      <c r="G145" s="168"/>
    </row>
    <row r="146" spans="2:7">
      <c r="B146" s="463" t="str">
        <f>TillageOperations!$B$8</f>
        <v>Offset Disk</v>
      </c>
      <c r="C146" s="464" t="s">
        <v>157</v>
      </c>
      <c r="D146" s="166">
        <f>PubMachineryTables!$AO$50</f>
        <v>42.467441655558019</v>
      </c>
      <c r="E146" s="166">
        <f>E76</f>
        <v>300</v>
      </c>
      <c r="F146" s="166">
        <f t="shared" si="9"/>
        <v>12740.232496667406</v>
      </c>
      <c r="G146" s="166"/>
    </row>
    <row r="147" spans="2:7">
      <c r="B147" s="463" t="str">
        <f>TillageOperations!$B$9</f>
        <v>Drag</v>
      </c>
      <c r="C147" s="464" t="s">
        <v>157</v>
      </c>
      <c r="D147" s="166">
        <f>PubMachineryTables!$AO$51</f>
        <v>0</v>
      </c>
      <c r="E147" s="166">
        <f>E78</f>
        <v>0</v>
      </c>
      <c r="F147" s="166">
        <f t="shared" si="9"/>
        <v>0</v>
      </c>
      <c r="G147" s="166"/>
    </row>
    <row r="148" spans="2:7">
      <c r="B148" s="463" t="str">
        <f>TillageOperations!$B$10</f>
        <v>Chisel</v>
      </c>
      <c r="C148" s="464" t="s">
        <v>157</v>
      </c>
      <c r="D148" s="166">
        <f>PubMachineryTables!$AO$52</f>
        <v>40.724752902248241</v>
      </c>
      <c r="E148" s="166">
        <f>E80</f>
        <v>150</v>
      </c>
      <c r="F148" s="166">
        <f t="shared" si="9"/>
        <v>6108.7129353372366</v>
      </c>
      <c r="G148" s="166"/>
    </row>
    <row r="149" spans="2:7">
      <c r="B149" s="463" t="str">
        <f>TillageOperations!$B$11</f>
        <v>Moldboard Plow</v>
      </c>
      <c r="C149" s="464" t="s">
        <v>157</v>
      </c>
      <c r="D149" s="166">
        <f>PubMachineryTables!$AO$53</f>
        <v>0</v>
      </c>
      <c r="E149" s="166">
        <f>E82</f>
        <v>0</v>
      </c>
      <c r="F149" s="166">
        <f t="shared" si="9"/>
        <v>0</v>
      </c>
      <c r="G149" s="166"/>
    </row>
    <row r="150" spans="2:7">
      <c r="B150" s="463" t="str">
        <f>TillageOperations!$B$12</f>
        <v>Cultivator</v>
      </c>
      <c r="C150" s="464" t="s">
        <v>157</v>
      </c>
      <c r="D150" s="166">
        <f>PubMachineryTables!$AO$54</f>
        <v>0</v>
      </c>
      <c r="E150" s="166">
        <f>E84</f>
        <v>0</v>
      </c>
      <c r="F150" s="166">
        <f t="shared" si="9"/>
        <v>0</v>
      </c>
      <c r="G150" s="166"/>
    </row>
    <row r="151" spans="2:7">
      <c r="B151" s="463" t="str">
        <f>TillageOperations!$B$13</f>
        <v>Landplane</v>
      </c>
      <c r="C151" s="464" t="s">
        <v>157</v>
      </c>
      <c r="D151" s="166">
        <f>PubMachineryTables!$AO$55</f>
        <v>107.77752986339607</v>
      </c>
      <c r="E151" s="166">
        <f>E86</f>
        <v>0</v>
      </c>
      <c r="F151" s="166">
        <f t="shared" si="9"/>
        <v>0</v>
      </c>
      <c r="G151" s="166"/>
    </row>
    <row r="152" spans="2:7">
      <c r="B152" s="463" t="str">
        <f>TillageOperations!$B$14</f>
        <v>Float</v>
      </c>
      <c r="C152" s="464" t="s">
        <v>157</v>
      </c>
      <c r="D152" s="166">
        <f>PubMachineryTables!$AO$56</f>
        <v>0</v>
      </c>
      <c r="E152" s="166">
        <f>E88</f>
        <v>0</v>
      </c>
      <c r="F152" s="166">
        <f t="shared" si="9"/>
        <v>0</v>
      </c>
      <c r="G152" s="166"/>
    </row>
    <row r="153" spans="2:7">
      <c r="B153" s="463" t="str">
        <f>TillageOperations!$B$15</f>
        <v>Lister</v>
      </c>
      <c r="C153" s="464" t="s">
        <v>157</v>
      </c>
      <c r="D153" s="166">
        <f>PubMachineryTables!$AO$57</f>
        <v>72.676050764764099</v>
      </c>
      <c r="E153" s="166">
        <f>E90</f>
        <v>0</v>
      </c>
      <c r="F153" s="166">
        <f t="shared" si="9"/>
        <v>0</v>
      </c>
      <c r="G153" s="166"/>
    </row>
    <row r="154" spans="2:7">
      <c r="B154" s="463" t="str">
        <f>TillageOperations!$B$16</f>
        <v>Bed Shaper</v>
      </c>
      <c r="C154" s="464" t="s">
        <v>157</v>
      </c>
      <c r="D154" s="166">
        <f>PubMachineryTables!$AO$58</f>
        <v>50.420091551988918</v>
      </c>
      <c r="E154" s="166">
        <f>E92</f>
        <v>0</v>
      </c>
      <c r="F154" s="166">
        <f t="shared" si="9"/>
        <v>0</v>
      </c>
      <c r="G154" s="166"/>
    </row>
    <row r="155" spans="2:7">
      <c r="B155" s="463" t="str">
        <f>TillageOperations!$B$19</f>
        <v>Row Planter</v>
      </c>
      <c r="C155" s="464" t="s">
        <v>157</v>
      </c>
      <c r="D155" s="166">
        <f>PubMachineryTables!$AO$60</f>
        <v>218.60367298033367</v>
      </c>
      <c r="E155" s="166">
        <f>E94</f>
        <v>0</v>
      </c>
      <c r="F155" s="166">
        <f t="shared" si="9"/>
        <v>0</v>
      </c>
      <c r="G155" s="166"/>
    </row>
    <row r="156" spans="2:7">
      <c r="B156" s="463" t="str">
        <f>TillageOperations!$B$20</f>
        <v>Row Cultivator</v>
      </c>
      <c r="C156" s="464" t="s">
        <v>157</v>
      </c>
      <c r="D156" s="166">
        <f>PubMachineryTables!$AO$61</f>
        <v>74.064902712939798</v>
      </c>
      <c r="E156" s="166">
        <f>E96</f>
        <v>0</v>
      </c>
      <c r="F156" s="166">
        <f t="shared" si="9"/>
        <v>0</v>
      </c>
      <c r="G156" s="166"/>
    </row>
    <row r="157" spans="2:7">
      <c r="B157" s="465" t="str">
        <f>TillageOperations!$B$21</f>
        <v>Drill</v>
      </c>
      <c r="C157" s="464" t="s">
        <v>157</v>
      </c>
      <c r="D157" s="166">
        <f>PubMachineryTables!$AO$62</f>
        <v>51.837941761576523</v>
      </c>
      <c r="E157" s="166">
        <f>E98</f>
        <v>150</v>
      </c>
      <c r="F157" s="166">
        <f t="shared" ref="F157:F161" si="10">D157*E157</f>
        <v>7775.6912642364787</v>
      </c>
      <c r="G157" s="166"/>
    </row>
    <row r="158" spans="2:7">
      <c r="B158" s="463" t="str">
        <f>TillageOperations!$B$27</f>
        <v>Cotton Picker</v>
      </c>
      <c r="C158" s="464" t="s">
        <v>157</v>
      </c>
      <c r="D158" s="166">
        <f>PubMachineryTables!$AO$67</f>
        <v>0</v>
      </c>
      <c r="E158" s="166">
        <f>E100</f>
        <v>0</v>
      </c>
      <c r="F158" s="166">
        <f t="shared" si="10"/>
        <v>0</v>
      </c>
      <c r="G158" s="166"/>
    </row>
    <row r="159" spans="2:7">
      <c r="B159" s="463" t="str">
        <f>TillageOperations!$B$28</f>
        <v>Module Unit</v>
      </c>
      <c r="C159" s="464" t="s">
        <v>157</v>
      </c>
      <c r="D159" s="166">
        <f>PubMachineryTables!$AO$68</f>
        <v>0</v>
      </c>
      <c r="E159" s="166">
        <f>E102</f>
        <v>0</v>
      </c>
      <c r="F159" s="166">
        <f t="shared" ref="F159" si="11">D159*E159</f>
        <v>0</v>
      </c>
      <c r="G159" s="166"/>
    </row>
    <row r="160" spans="2:7">
      <c r="B160" s="463" t="str">
        <f>TillageOperations!$B$29</f>
        <v>Haul Cotton</v>
      </c>
      <c r="C160" s="464" t="s">
        <v>157</v>
      </c>
      <c r="D160" s="166">
        <f>PubMachineryTables!$AO$69</f>
        <v>0</v>
      </c>
      <c r="E160" s="166">
        <f>E104</f>
        <v>0</v>
      </c>
      <c r="F160" s="166">
        <f t="shared" si="10"/>
        <v>0</v>
      </c>
      <c r="G160" s="166"/>
    </row>
    <row r="161" spans="2:7">
      <c r="B161" s="465" t="str">
        <f>TillageOperations!$B$17</f>
        <v>Cotton Shredder/Root Puller</v>
      </c>
      <c r="C161" s="464" t="s">
        <v>157</v>
      </c>
      <c r="D161" s="166">
        <f>PubMachineryTables!$AO$59</f>
        <v>0</v>
      </c>
      <c r="E161" s="166">
        <f>E106</f>
        <v>0</v>
      </c>
      <c r="F161" s="166">
        <f t="shared" si="10"/>
        <v>0</v>
      </c>
      <c r="G161" s="166"/>
    </row>
    <row r="162" spans="2:7">
      <c r="B162" s="102" t="str">
        <f>TillageOperations!$B$30</f>
        <v>Combine</v>
      </c>
      <c r="C162" s="464" t="s">
        <v>157</v>
      </c>
      <c r="D162" s="166">
        <f>PubMachineryTables!$AO$70</f>
        <v>154.43457969840463</v>
      </c>
      <c r="E162" s="166">
        <f>E108</f>
        <v>150</v>
      </c>
      <c r="F162" s="166">
        <f>D162*E162</f>
        <v>23165.186954760695</v>
      </c>
      <c r="G162" s="166"/>
    </row>
    <row r="163" spans="2:7">
      <c r="B163" s="102" t="str">
        <f>TillageOperations!$B$31</f>
        <v>Grain Cart</v>
      </c>
      <c r="C163" s="464" t="s">
        <v>157</v>
      </c>
      <c r="D163" s="166">
        <f>PubMachineryTables!$AO$71</f>
        <v>25.28843211678571</v>
      </c>
      <c r="E163" s="166">
        <f>E110</f>
        <v>150</v>
      </c>
      <c r="F163" s="166">
        <f>D163*E163</f>
        <v>3793.2648175178565</v>
      </c>
      <c r="G163" s="166"/>
    </row>
    <row r="164" spans="2:7">
      <c r="B164" s="102" t="str">
        <f>TillageOperations!$B$32</f>
        <v>Swather</v>
      </c>
      <c r="C164" s="464" t="s">
        <v>157</v>
      </c>
      <c r="D164" s="166">
        <f>PubMachineryTables!$AO$72</f>
        <v>0</v>
      </c>
      <c r="E164" s="166">
        <f>E112</f>
        <v>0</v>
      </c>
      <c r="F164" s="166">
        <f t="shared" ref="F164:F172" si="12">D164*E164</f>
        <v>0</v>
      </c>
      <c r="G164" s="166"/>
    </row>
    <row r="165" spans="2:7">
      <c r="B165" s="102" t="str">
        <f>TillageOperations!$B$33</f>
        <v>Baler</v>
      </c>
      <c r="C165" s="464" t="s">
        <v>157</v>
      </c>
      <c r="D165" s="166">
        <f>PubMachineryTables!$AO$73</f>
        <v>0</v>
      </c>
      <c r="E165" s="166">
        <f>E114</f>
        <v>0</v>
      </c>
      <c r="F165" s="166">
        <f t="shared" si="12"/>
        <v>0</v>
      </c>
      <c r="G165" s="166"/>
    </row>
    <row r="166" spans="2:7">
      <c r="B166" s="102" t="str">
        <f>TillageOperations!$B$34</f>
        <v>Swather</v>
      </c>
      <c r="C166" s="464" t="s">
        <v>157</v>
      </c>
      <c r="D166" s="166">
        <f>PubMachineryTables!$AO$74</f>
        <v>0</v>
      </c>
      <c r="E166" s="166">
        <f>E116</f>
        <v>0</v>
      </c>
      <c r="F166" s="166">
        <f t="shared" si="12"/>
        <v>0</v>
      </c>
      <c r="G166" s="166"/>
    </row>
    <row r="167" spans="2:7">
      <c r="B167" s="102" t="str">
        <f>TillageOperations!$B$35</f>
        <v>Baler</v>
      </c>
      <c r="C167" s="464" t="s">
        <v>157</v>
      </c>
      <c r="D167" s="166">
        <f>PubMachineryTables!$AO$75</f>
        <v>0</v>
      </c>
      <c r="E167" s="166">
        <f>E118</f>
        <v>0</v>
      </c>
      <c r="F167" s="166">
        <f t="shared" si="12"/>
        <v>0</v>
      </c>
      <c r="G167" s="166"/>
    </row>
    <row r="168" spans="2:7">
      <c r="B168" s="102" t="str">
        <f>TillageOperations!$B$36</f>
        <v>Bale Wagon</v>
      </c>
      <c r="C168" s="464" t="s">
        <v>157</v>
      </c>
      <c r="D168" s="166">
        <f>PubMachineryTables!$AO$76</f>
        <v>0</v>
      </c>
      <c r="E168" s="166">
        <f>E121</f>
        <v>0</v>
      </c>
      <c r="F168" s="166">
        <f t="shared" si="12"/>
        <v>0</v>
      </c>
      <c r="G168" s="166"/>
    </row>
    <row r="169" spans="2:7">
      <c r="B169" s="102" t="str">
        <f>TillageOperations!$B$23</f>
        <v>Fertilizer Spreader</v>
      </c>
      <c r="C169" s="464" t="s">
        <v>157</v>
      </c>
      <c r="D169" s="166">
        <f>PubMachineryTables!$AO$64</f>
        <v>93.913865291400512</v>
      </c>
      <c r="E169" s="166">
        <f>E123</f>
        <v>0</v>
      </c>
      <c r="F169" s="166">
        <f t="shared" si="12"/>
        <v>0</v>
      </c>
      <c r="G169" s="166"/>
    </row>
    <row r="170" spans="2:7">
      <c r="B170" s="102" t="str">
        <f>TillageOperations!$B$24</f>
        <v>Fertilizer Injection System</v>
      </c>
      <c r="C170" s="464" t="s">
        <v>157</v>
      </c>
      <c r="D170" s="166">
        <f>PubMachineryTables!$AO$65</f>
        <v>0</v>
      </c>
      <c r="E170" s="166">
        <f>E125</f>
        <v>0</v>
      </c>
      <c r="F170" s="166">
        <f t="shared" si="12"/>
        <v>0</v>
      </c>
      <c r="G170" s="166"/>
    </row>
    <row r="171" spans="2:7">
      <c r="B171" s="102" t="str">
        <f>TillageOperations!$B$25</f>
        <v>Boom Sprayer</v>
      </c>
      <c r="C171" s="464" t="s">
        <v>157</v>
      </c>
      <c r="D171" s="166">
        <f>PubMachineryTables!$AO$66</f>
        <v>9.6826493425933542</v>
      </c>
      <c r="E171" s="166">
        <f>E127</f>
        <v>300</v>
      </c>
      <c r="F171" s="166">
        <f t="shared" si="12"/>
        <v>2904.7948027780062</v>
      </c>
      <c r="G171" s="166"/>
    </row>
    <row r="172" spans="2:7">
      <c r="B172" s="102" t="str">
        <f>TillageOperations!$B$22</f>
        <v>Transplanter</v>
      </c>
      <c r="C172" s="464" t="s">
        <v>157</v>
      </c>
      <c r="D172" s="166">
        <f>PubMachineryTables!$AO$63</f>
        <v>0</v>
      </c>
      <c r="E172" s="166">
        <f>E129</f>
        <v>0</v>
      </c>
      <c r="F172" s="166">
        <f t="shared" si="12"/>
        <v>0</v>
      </c>
      <c r="G172" s="166"/>
    </row>
    <row r="173" spans="2:7">
      <c r="B173" t="str">
        <f>'Inputs&amp;PricesbyCrop'!$B$39</f>
        <v>Crop Insurance</v>
      </c>
      <c r="C173" s="464" t="s">
        <v>157</v>
      </c>
      <c r="D173" s="166">
        <f>'Inputs&amp;PricesbyCrop'!$D$39</f>
        <v>0</v>
      </c>
      <c r="E173" s="169">
        <f t="shared" ref="E173:E178" si="13">$C$23</f>
        <v>150</v>
      </c>
      <c r="F173" s="166">
        <f>D173*E173</f>
        <v>0</v>
      </c>
      <c r="G173" s="166"/>
    </row>
    <row r="174" spans="2:7">
      <c r="B174" t="str">
        <f>'Inputs&amp;PricesbyCrop'!$B$40</f>
        <v>Property Insurance</v>
      </c>
      <c r="C174" s="464" t="s">
        <v>157</v>
      </c>
      <c r="D174" s="166">
        <f>'Inputs&amp;PricesbyCrop'!$G$40</f>
        <v>0</v>
      </c>
      <c r="E174" s="169">
        <f t="shared" si="13"/>
        <v>150</v>
      </c>
      <c r="F174" s="166">
        <f>D174*E174</f>
        <v>0</v>
      </c>
      <c r="G174" s="166"/>
    </row>
    <row r="175" spans="2:7">
      <c r="B175" t="str">
        <f>'Inputs&amp;PricesbyCrop'!$B$41</f>
        <v>Property Taxes</v>
      </c>
      <c r="C175" s="464" t="s">
        <v>157</v>
      </c>
      <c r="D175" s="166">
        <f>'Inputs&amp;PricesbyCrop'!$G$41</f>
        <v>0</v>
      </c>
      <c r="E175" s="169">
        <f t="shared" si="13"/>
        <v>150</v>
      </c>
      <c r="F175" s="166">
        <f t="shared" ref="F175:F178" si="14">D175*E175</f>
        <v>0</v>
      </c>
      <c r="G175" s="166"/>
    </row>
    <row r="176" spans="2:7">
      <c r="B176" t="str">
        <f>'Inputs&amp;PricesbyCrop'!$B$42</f>
        <v>Annual Cash Rent Payment</v>
      </c>
      <c r="C176" s="464" t="s">
        <v>157</v>
      </c>
      <c r="D176" s="166">
        <f>'Inputs&amp;PricesbyCrop'!$G$42</f>
        <v>170</v>
      </c>
      <c r="E176" s="169">
        <f t="shared" si="13"/>
        <v>150</v>
      </c>
      <c r="F176" s="166">
        <f t="shared" si="14"/>
        <v>25500</v>
      </c>
      <c r="G176" s="166"/>
    </row>
    <row r="177" spans="2:8">
      <c r="B177" t="s">
        <v>484</v>
      </c>
      <c r="C177" s="464" t="s">
        <v>157</v>
      </c>
      <c r="D177" s="166">
        <f>'Sheet #4'!I103</f>
        <v>0</v>
      </c>
      <c r="E177" s="169">
        <f t="shared" si="13"/>
        <v>150</v>
      </c>
      <c r="F177" s="166">
        <f t="shared" ref="F177" si="15">D177*E177</f>
        <v>0</v>
      </c>
      <c r="G177" s="166"/>
    </row>
    <row r="178" spans="2:8">
      <c r="B178" t="str">
        <f>'Inputs&amp;PricesbyCrop'!$B$49</f>
        <v>Licenses and Fees</v>
      </c>
      <c r="C178" s="464" t="s">
        <v>157</v>
      </c>
      <c r="D178" s="166">
        <f>'Inputs&amp;PricesbyCrop'!$G$49</f>
        <v>0</v>
      </c>
      <c r="E178" s="169">
        <f t="shared" si="13"/>
        <v>150</v>
      </c>
      <c r="F178" s="170">
        <f t="shared" si="14"/>
        <v>0</v>
      </c>
      <c r="G178" s="170"/>
    </row>
    <row r="179" spans="2:8">
      <c r="B179" t="s">
        <v>131</v>
      </c>
      <c r="D179" s="454"/>
      <c r="F179" s="37">
        <f>SUM(F142:F178)</f>
        <v>81987.883271297673</v>
      </c>
      <c r="G179" s="37"/>
    </row>
    <row r="180" spans="2:8">
      <c r="C180" s="137"/>
      <c r="D180" s="166"/>
      <c r="F180" s="312" t="s">
        <v>10</v>
      </c>
      <c r="G180" s="170"/>
      <c r="H180" s="170"/>
    </row>
    <row r="181" spans="2:8">
      <c r="B181" t="s">
        <v>63</v>
      </c>
      <c r="D181" s="454"/>
      <c r="F181" s="37">
        <f>(F179+F139)*(1+'NewCrop&amp;WholeFarmNetReturns'!$J$10)</f>
        <v>112874.97082947806</v>
      </c>
      <c r="G181" s="37">
        <f>F181*(1+'NewCrop&amp;WholeFarmNetReturns'!$J$17)</f>
        <v>118518.71937095196</v>
      </c>
      <c r="H181" s="37">
        <f>F181*(1+'NewCrop&amp;WholeFarmNetReturns'!$J$24)</f>
        <v>107231.22228800415</v>
      </c>
    </row>
    <row r="182" spans="2:8">
      <c r="B182" t="s">
        <v>64</v>
      </c>
      <c r="D182" s="454"/>
      <c r="F182" s="37">
        <f>F28-F181</f>
        <v>-60374.970829478058</v>
      </c>
      <c r="G182" s="37">
        <f>F28-G181</f>
        <v>-66018.719370951963</v>
      </c>
      <c r="H182" s="37">
        <f>F28-H181</f>
        <v>-54731.222288004152</v>
      </c>
    </row>
    <row r="183" spans="2:8">
      <c r="B183" s="249" t="s">
        <v>276</v>
      </c>
      <c r="C183" s="249" t="s">
        <v>4</v>
      </c>
      <c r="D183" s="250" t="s">
        <v>277</v>
      </c>
      <c r="E183" s="249" t="s">
        <v>278</v>
      </c>
      <c r="F183" s="249" t="s">
        <v>279</v>
      </c>
      <c r="G183" s="249"/>
    </row>
    <row r="184" spans="2:8">
      <c r="B184" s="135" t="str">
        <f>'AcresYieldsPrices&amp;Water'!B4&amp;" Establishment"</f>
        <v>Guayule Establishment</v>
      </c>
      <c r="D184" s="454"/>
    </row>
    <row r="185" spans="2:8">
      <c r="B185" t="s">
        <v>16</v>
      </c>
      <c r="C185" s="102">
        <f>'AcresYieldsPrices&amp;Water'!D4</f>
        <v>150</v>
      </c>
      <c r="D185" s="454" t="s">
        <v>17</v>
      </c>
    </row>
    <row r="186" spans="2:8">
      <c r="D186" s="454"/>
    </row>
    <row r="187" spans="2:8">
      <c r="B187" t="s">
        <v>22</v>
      </c>
      <c r="D187" s="454"/>
    </row>
    <row r="188" spans="2:8">
      <c r="B188" s="455" t="s">
        <v>23</v>
      </c>
      <c r="C188" s="458" t="s">
        <v>1</v>
      </c>
      <c r="D188" s="459" t="s">
        <v>24</v>
      </c>
      <c r="E188" s="460" t="s">
        <v>25</v>
      </c>
      <c r="F188" s="460" t="s">
        <v>0</v>
      </c>
      <c r="G188" s="277"/>
    </row>
    <row r="189" spans="2:8">
      <c r="B189" t="str">
        <f>'AcresYieldsPrices&amp;Water'!J4</f>
        <v>Guayule Biomass</v>
      </c>
      <c r="C189" s="466" t="str">
        <f>'AcresYieldsPrices&amp;Water'!L4</f>
        <v>pound</v>
      </c>
      <c r="D189" s="454">
        <f>'AcresYieldsPrices&amp;Water'!$M$4</f>
        <v>0.08</v>
      </c>
      <c r="E189" s="462">
        <v>0</v>
      </c>
      <c r="F189" s="141">
        <f>D189*E189</f>
        <v>0</v>
      </c>
      <c r="G189" s="141"/>
    </row>
    <row r="190" spans="2:8">
      <c r="B190" t="str">
        <f>'AcresYieldsPrices&amp;Water'!J5</f>
        <v>Guayule Rubber Content</v>
      </c>
      <c r="C190" s="466" t="str">
        <f>'AcresYieldsPrices&amp;Water'!L5</f>
        <v>kilogram</v>
      </c>
      <c r="D190" s="454">
        <f>'AcresYieldsPrices&amp;Water'!$M$5</f>
        <v>0</v>
      </c>
      <c r="E190" s="462">
        <v>0</v>
      </c>
      <c r="F190" s="136">
        <f>D190*E190</f>
        <v>0</v>
      </c>
      <c r="G190" s="136"/>
    </row>
    <row r="191" spans="2:8">
      <c r="B191" t="s">
        <v>27</v>
      </c>
      <c r="D191" s="454"/>
      <c r="F191" s="37">
        <f>SUM(F189:F190)</f>
        <v>0</v>
      </c>
      <c r="G191" s="163">
        <f>F191/C$185</f>
        <v>0</v>
      </c>
    </row>
    <row r="192" spans="2:8">
      <c r="D192" s="454"/>
    </row>
    <row r="193" spans="2:7">
      <c r="B193" s="455" t="s">
        <v>62</v>
      </c>
      <c r="C193" s="458" t="s">
        <v>1</v>
      </c>
      <c r="D193" s="459" t="s">
        <v>24</v>
      </c>
      <c r="E193" s="460" t="s">
        <v>25</v>
      </c>
      <c r="F193" s="460" t="s">
        <v>0</v>
      </c>
      <c r="G193" s="277"/>
    </row>
    <row r="194" spans="2:7">
      <c r="B194" s="75" t="str">
        <f>'Inputs&amp;PricesbyCrop'!B73</f>
        <v xml:space="preserve">   - Seed</v>
      </c>
      <c r="C194" s="34" t="s">
        <v>10</v>
      </c>
      <c r="D194" s="467" t="s">
        <v>10</v>
      </c>
      <c r="E194" s="468" t="s">
        <v>10</v>
      </c>
      <c r="F194" s="37">
        <f>'Inputs&amp;PricesbyCrop'!$E$5*('Inputs&amp;PricesbyCrop'!$E$6*$C$185)</f>
        <v>0</v>
      </c>
      <c r="G194" s="37"/>
    </row>
    <row r="195" spans="2:7">
      <c r="B195" t="str">
        <f>GeneralInputPrices!$B$3</f>
        <v xml:space="preserve">   - Inoculant</v>
      </c>
      <c r="C195" s="137" t="str">
        <f>GeneralInputPrices!$C$3</f>
        <v>pounds</v>
      </c>
      <c r="D195" s="166">
        <f>GeneralInputPrices!$D$3</f>
        <v>3</v>
      </c>
      <c r="E195" s="166">
        <f>'Inputs&amp;PricesbyCrop'!$D$22*$C$185</f>
        <v>300</v>
      </c>
      <c r="F195" s="166">
        <f t="shared" ref="F195" si="16">D195*E195</f>
        <v>900</v>
      </c>
      <c r="G195" s="166"/>
    </row>
    <row r="196" spans="2:7">
      <c r="B196" t="str">
        <f>GeneralInputPrices!B$5</f>
        <v xml:space="preserve">   - Nitrogen</v>
      </c>
      <c r="C196" s="137" t="str">
        <f>GeneralInputPrices!$C$5</f>
        <v>pounds</v>
      </c>
      <c r="D196" s="166">
        <f>GeneralInputPrices!$D$5</f>
        <v>0.46</v>
      </c>
      <c r="E196" s="166">
        <f>'Inputs&amp;PricesbyCrop'!$D$23*$C$185</f>
        <v>9000</v>
      </c>
      <c r="F196" s="166">
        <f t="shared" ref="F196:F218" si="17">D196*E196</f>
        <v>4140</v>
      </c>
      <c r="G196" s="166"/>
    </row>
    <row r="197" spans="2:7">
      <c r="B197" t="str">
        <f>GeneralInputPrices!B$6</f>
        <v xml:space="preserve">   - Phosphorus</v>
      </c>
      <c r="C197" s="137" t="str">
        <f>GeneralInputPrices!$C$6</f>
        <v>pounds</v>
      </c>
      <c r="D197" s="166">
        <f>GeneralInputPrices!$D$6</f>
        <v>0.36</v>
      </c>
      <c r="E197" s="166">
        <f>'Inputs&amp;PricesbyCrop'!$D$24*$C$185</f>
        <v>30000</v>
      </c>
      <c r="F197" s="166">
        <f t="shared" si="17"/>
        <v>10800</v>
      </c>
      <c r="G197" s="166"/>
    </row>
    <row r="198" spans="2:7">
      <c r="B198" t="str">
        <f>GeneralInputPrices!B$7</f>
        <v xml:space="preserve">   - Anhydrous Ammonia</v>
      </c>
      <c r="C198" s="137" t="str">
        <f>GeneralInputPrices!$C$7</f>
        <v>pounds</v>
      </c>
      <c r="D198" s="166">
        <f>GeneralInputPrices!$D$7</f>
        <v>0.21</v>
      </c>
      <c r="E198" s="166">
        <f>'Inputs&amp;PricesbyCrop'!$D$25*$C$185</f>
        <v>0</v>
      </c>
      <c r="F198" s="166">
        <f t="shared" si="17"/>
        <v>0</v>
      </c>
      <c r="G198" s="166"/>
    </row>
    <row r="199" spans="2:7">
      <c r="B199" t="str">
        <f>GeneralInputPrices!$B$8</f>
        <v xml:space="preserve">   - Trace Elements</v>
      </c>
      <c r="C199" s="137" t="str">
        <f>GeneralInputPrices!$C$8</f>
        <v>pounds</v>
      </c>
      <c r="D199" s="166">
        <f>GeneralInputPrices!$D$8</f>
        <v>0.24</v>
      </c>
      <c r="E199" s="166">
        <f>'Inputs&amp;PricesbyCrop'!$D$26*$C$185</f>
        <v>0</v>
      </c>
      <c r="F199" s="166">
        <f t="shared" si="17"/>
        <v>0</v>
      </c>
      <c r="G199" s="166"/>
    </row>
    <row r="200" spans="2:7">
      <c r="B200" t="str">
        <f>'Inputs&amp;PricesbyCrop'!$B$32</f>
        <v xml:space="preserve">   - Nitrogen</v>
      </c>
      <c r="C200" s="137" t="str">
        <f>'Inputs&amp;PricesbyCrop'!$C$32</f>
        <v>acre</v>
      </c>
      <c r="D200" s="166">
        <f>'Inputs&amp;PricesbyCrop'!$D$32</f>
        <v>0</v>
      </c>
      <c r="E200" s="166">
        <f>$C$185</f>
        <v>150</v>
      </c>
      <c r="F200" s="166">
        <f t="shared" si="17"/>
        <v>0</v>
      </c>
      <c r="G200" s="166"/>
    </row>
    <row r="201" spans="2:7">
      <c r="B201" t="str">
        <f>'Inputs&amp;PricesbyCrop'!$B$33</f>
        <v xml:space="preserve">   - Phosphorus</v>
      </c>
      <c r="C201" s="137" t="str">
        <f>'Inputs&amp;PricesbyCrop'!$C$33</f>
        <v>acre</v>
      </c>
      <c r="D201" s="166">
        <f>'Inputs&amp;PricesbyCrop'!$D$33</f>
        <v>0</v>
      </c>
      <c r="E201" s="166">
        <f>$C$185</f>
        <v>150</v>
      </c>
      <c r="F201" s="166">
        <f t="shared" si="17"/>
        <v>0</v>
      </c>
      <c r="G201" s="166"/>
    </row>
    <row r="202" spans="2:7">
      <c r="B202" t="str">
        <f>'Inputs&amp;PricesbyCrop'!$B$34</f>
        <v xml:space="preserve">   - Fertilizer - Anhydrous Applicator</v>
      </c>
      <c r="C202" s="137" t="str">
        <f>'Inputs&amp;PricesbyCrop'!$C$34</f>
        <v>acre</v>
      </c>
      <c r="D202" s="166">
        <f>'Inputs&amp;PricesbyCrop'!$D$34</f>
        <v>0</v>
      </c>
      <c r="E202" s="166">
        <f>$C$185</f>
        <v>150</v>
      </c>
      <c r="F202" s="166">
        <f t="shared" si="17"/>
        <v>0</v>
      </c>
      <c r="G202" s="166"/>
    </row>
    <row r="203" spans="2:7">
      <c r="B203" t="str">
        <f>GeneralInputPrices!$B$10</f>
        <v xml:space="preserve">   - Prowl</v>
      </c>
      <c r="C203" s="137" t="str">
        <f>GeneralInputPrices!$C$10</f>
        <v>pints</v>
      </c>
      <c r="D203" s="166">
        <f>GeneralInputPrices!$D$10</f>
        <v>6.0625</v>
      </c>
      <c r="E203" s="166">
        <f>'Inputs&amp;PricesbyCrop'!$D$27*$C$185</f>
        <v>1350</v>
      </c>
      <c r="F203" s="166">
        <f t="shared" si="17"/>
        <v>8184.375</v>
      </c>
      <c r="G203" s="166"/>
    </row>
    <row r="204" spans="2:7">
      <c r="B204" t="str">
        <f>GeneralInputPrices!$B$11</f>
        <v xml:space="preserve">   - Aim</v>
      </c>
      <c r="C204" s="137" t="str">
        <f>GeneralInputPrices!$C$11</f>
        <v>ounces</v>
      </c>
      <c r="D204" s="166">
        <f>GeneralInputPrices!$D$11</f>
        <v>5.9375</v>
      </c>
      <c r="E204" s="166">
        <f>'Inputs&amp;PricesbyCrop'!$D$28*$C$185</f>
        <v>270</v>
      </c>
      <c r="F204" s="166">
        <f t="shared" si="17"/>
        <v>1603.125</v>
      </c>
      <c r="G204" s="166"/>
    </row>
    <row r="205" spans="2:7">
      <c r="B205" t="str">
        <f>GeneralInputPrices!$B$12</f>
        <v xml:space="preserve">   - Fusilade</v>
      </c>
      <c r="C205" s="137" t="str">
        <f>GeneralInputPrices!$C$12</f>
        <v>ounces</v>
      </c>
      <c r="D205" s="166">
        <f>GeneralInputPrices!$D$12</f>
        <v>1.25</v>
      </c>
      <c r="E205" s="166">
        <f>'Inputs&amp;PricesbyCrop'!$D$29*$C$185</f>
        <v>3000</v>
      </c>
      <c r="F205" s="166">
        <f t="shared" si="17"/>
        <v>3750</v>
      </c>
      <c r="G205" s="166"/>
    </row>
    <row r="206" spans="2:7">
      <c r="B206" t="str">
        <f>'Inputs&amp;PricesbyCrop'!$B$35</f>
        <v xml:space="preserve">   - Herbicides</v>
      </c>
      <c r="C206" s="137" t="str">
        <f>'Inputs&amp;PricesbyCrop'!$C$35</f>
        <v>acre</v>
      </c>
      <c r="D206" s="166">
        <f>'Inputs&amp;PricesbyCrop'!$D$35</f>
        <v>0</v>
      </c>
      <c r="E206" s="166">
        <f>$C$185</f>
        <v>150</v>
      </c>
      <c r="F206" s="166">
        <f t="shared" si="17"/>
        <v>0</v>
      </c>
      <c r="G206" s="166"/>
    </row>
    <row r="207" spans="2:7">
      <c r="B207" t="str">
        <f>'Inputs&amp;PricesbyCrop'!$B$36</f>
        <v xml:space="preserve">   - Herbicide - #2</v>
      </c>
      <c r="C207" s="137" t="str">
        <f>'Inputs&amp;PricesbyCrop'!$C$36</f>
        <v>acre</v>
      </c>
      <c r="D207" s="166">
        <f>'Inputs&amp;PricesbyCrop'!$D$36</f>
        <v>0</v>
      </c>
      <c r="E207" s="166">
        <f>$C$185</f>
        <v>150</v>
      </c>
      <c r="F207" s="166">
        <f t="shared" si="17"/>
        <v>0</v>
      </c>
      <c r="G207" s="166"/>
    </row>
    <row r="208" spans="2:7">
      <c r="B208" t="str">
        <f>'Inputs&amp;PricesbyCrop'!$B$37</f>
        <v xml:space="preserve">   - Insecticides</v>
      </c>
      <c r="C208" s="137" t="str">
        <f>'Inputs&amp;PricesbyCrop'!$C$37</f>
        <v>acre</v>
      </c>
      <c r="D208" s="166">
        <f>'Inputs&amp;PricesbyCrop'!$D$37</f>
        <v>0</v>
      </c>
      <c r="E208" s="166">
        <f>$C$185</f>
        <v>150</v>
      </c>
      <c r="F208" s="166">
        <f t="shared" si="17"/>
        <v>0</v>
      </c>
      <c r="G208" s="166"/>
    </row>
    <row r="209" spans="2:7">
      <c r="B209" t="str">
        <f>'Inputs&amp;PricesbyCrop'!$B$38</f>
        <v xml:space="preserve">   - Insecticide - #2</v>
      </c>
      <c r="C209" s="137" t="str">
        <f>'Inputs&amp;PricesbyCrop'!$C$38</f>
        <v>acre</v>
      </c>
      <c r="D209" s="166">
        <f>'Inputs&amp;PricesbyCrop'!$D$38</f>
        <v>0</v>
      </c>
      <c r="E209" s="166">
        <f>$C$185</f>
        <v>150</v>
      </c>
      <c r="F209" s="166">
        <f t="shared" si="17"/>
        <v>0</v>
      </c>
      <c r="G209" s="166"/>
    </row>
    <row r="210" spans="2:7">
      <c r="B210" t="str">
        <f>'Inputs&amp;PricesbyCrop'!$B$7</f>
        <v>Flood - Irrigation Water</v>
      </c>
      <c r="C210" s="137" t="str">
        <f>'Inputs&amp;PricesbyCrop'!$C$7</f>
        <v>ac ft</v>
      </c>
      <c r="D210" s="166">
        <f>GeneralInputPrices!$D$13</f>
        <v>55</v>
      </c>
      <c r="E210" s="102">
        <f>('AcresYieldsPrices&amp;Water'!$E$4*'Inputs&amp;PricesbyCrop'!$D$7)*$C185</f>
        <v>588</v>
      </c>
      <c r="F210" s="166">
        <f t="shared" si="17"/>
        <v>32340</v>
      </c>
      <c r="G210" s="166"/>
    </row>
    <row r="211" spans="2:7">
      <c r="B211" t="str">
        <f>'Inputs&amp;PricesbyCrop'!$B$8</f>
        <v>Flood - Irrigation Labor</v>
      </c>
      <c r="C211" s="137" t="str">
        <f>'Inputs&amp;PricesbyCrop'!$C$8</f>
        <v>hour</v>
      </c>
      <c r="D211" s="166">
        <f>GeneralInputPrices!$D$28</f>
        <v>14.55</v>
      </c>
      <c r="E211" s="166">
        <f>('AcresYieldsPrices&amp;Water'!$E$4*'Inputs&amp;PricesbyCrop'!$D$8)*$C185</f>
        <v>588</v>
      </c>
      <c r="F211" s="166">
        <f t="shared" si="17"/>
        <v>8555.4</v>
      </c>
      <c r="G211" s="166"/>
    </row>
    <row r="212" spans="2:7">
      <c r="B212" t="str">
        <f>GeneralInputPrices!$B$18</f>
        <v xml:space="preserve">   - Annual Repairs &amp; Maintenance</v>
      </c>
      <c r="C212" s="453" t="str">
        <f>GeneralInputPrices!$C$18</f>
        <v>acre</v>
      </c>
      <c r="D212" s="166">
        <f>GeneralInputPrices!$D$18</f>
        <v>3</v>
      </c>
      <c r="E212" s="166">
        <f>'AcresYieldsPrices&amp;Water'!$E$4*$C185</f>
        <v>150</v>
      </c>
      <c r="F212" s="166">
        <f t="shared" si="17"/>
        <v>450</v>
      </c>
      <c r="G212" s="166"/>
    </row>
    <row r="213" spans="2:7">
      <c r="B213" t="str">
        <f>'Inputs&amp;PricesbyCrop'!$B$9</f>
        <v>Drip-tape - Irrigation Water</v>
      </c>
      <c r="C213" s="137" t="str">
        <f>'Inputs&amp;PricesbyCrop'!$C$9</f>
        <v>ac ft</v>
      </c>
      <c r="D213" s="166">
        <f>GeneralInputPrices!$D$13</f>
        <v>55</v>
      </c>
      <c r="E213" s="166">
        <f>('AcresYieldsPrices&amp;Water'!$F$4*'Inputs&amp;PricesbyCrop'!$D$9)*$C185</f>
        <v>0</v>
      </c>
      <c r="F213" s="166">
        <f t="shared" si="17"/>
        <v>0</v>
      </c>
      <c r="G213" s="166"/>
    </row>
    <row r="214" spans="2:7">
      <c r="B214" t="str">
        <f>'Inputs&amp;PricesbyCrop'!$B$10</f>
        <v>Drip-tape - Irrigation Labor</v>
      </c>
      <c r="C214" s="137" t="str">
        <f>'Inputs&amp;PricesbyCrop'!$C$10</f>
        <v>hour</v>
      </c>
      <c r="D214" s="166">
        <f>GeneralInputPrices!$D$28</f>
        <v>14.55</v>
      </c>
      <c r="E214" s="166">
        <f>('AcresYieldsPrices&amp;Water'!$F$4*'Inputs&amp;PricesbyCrop'!$D$10)*$C185</f>
        <v>0</v>
      </c>
      <c r="F214" s="166">
        <f t="shared" si="17"/>
        <v>0</v>
      </c>
      <c r="G214" s="166"/>
    </row>
    <row r="215" spans="2:7">
      <c r="B215" t="str">
        <f>GeneralInputPrices!$B$22</f>
        <v xml:space="preserve">   - Annual Repairs &amp; Maintenance</v>
      </c>
      <c r="C215" s="453" t="str">
        <f>GeneralInputPrices!$C$22</f>
        <v>acre</v>
      </c>
      <c r="D215" s="166">
        <f>GeneralInputPrices!$D$22</f>
        <v>7.5</v>
      </c>
      <c r="E215" s="166">
        <f>'AcresYieldsPrices&amp;Water'!$F$4*C185</f>
        <v>0</v>
      </c>
      <c r="F215" s="166">
        <f t="shared" si="17"/>
        <v>0</v>
      </c>
      <c r="G215" s="166"/>
    </row>
    <row r="216" spans="2:7">
      <c r="B216" t="str">
        <f>'Inputs&amp;PricesbyCrop'!$B$11</f>
        <v>Sprinkler - Irrigation Water</v>
      </c>
      <c r="C216" s="137" t="str">
        <f>'Inputs&amp;PricesbyCrop'!$C$11</f>
        <v>ac ft</v>
      </c>
      <c r="D216" s="166">
        <f>GeneralInputPrices!$D$13</f>
        <v>55</v>
      </c>
      <c r="E216" s="166">
        <f>('AcresYieldsPrices&amp;Water'!$G$4*'Inputs&amp;PricesbyCrop'!$D$11)*$C185</f>
        <v>0</v>
      </c>
      <c r="F216" s="166">
        <f t="shared" si="17"/>
        <v>0</v>
      </c>
      <c r="G216" s="166"/>
    </row>
    <row r="217" spans="2:7">
      <c r="B217" t="str">
        <f>'Inputs&amp;PricesbyCrop'!$B$12</f>
        <v>Sprinkler - Irrigation Labor</v>
      </c>
      <c r="C217" s="137" t="str">
        <f>'Inputs&amp;PricesbyCrop'!$C$12</f>
        <v>hour</v>
      </c>
      <c r="D217" s="166">
        <f>GeneralInputPrices!$D$28</f>
        <v>14.55</v>
      </c>
      <c r="E217" s="166">
        <f>('AcresYieldsPrices&amp;Water'!$G$4*'Inputs&amp;PricesbyCrop'!$D$12)*$C185</f>
        <v>0</v>
      </c>
      <c r="F217" s="166">
        <f t="shared" si="17"/>
        <v>0</v>
      </c>
      <c r="G217" s="166"/>
    </row>
    <row r="218" spans="2:7">
      <c r="B218" t="str">
        <f>GeneralInputPrices!$B$26</f>
        <v xml:space="preserve">   - Annual Repairs &amp; Maintenance</v>
      </c>
      <c r="C218" s="453" t="str">
        <f>GeneralInputPrices!$C$26</f>
        <v>acre</v>
      </c>
      <c r="D218" s="166">
        <f>GeneralInputPrices!$D$26</f>
        <v>15</v>
      </c>
      <c r="E218" s="166">
        <f>'AcresYieldsPrices&amp;Water'!$G$4*$C185</f>
        <v>0</v>
      </c>
      <c r="F218" s="166">
        <f t="shared" si="17"/>
        <v>0</v>
      </c>
      <c r="G218" s="166"/>
    </row>
    <row r="219" spans="2:7">
      <c r="B219" t="str">
        <f>CustomOperations!$B$37</f>
        <v>Harvest, Custom</v>
      </c>
      <c r="C219" s="137" t="str">
        <f>CustomOperations!$C$37</f>
        <v>acre</v>
      </c>
      <c r="D219" s="166">
        <f>CustomOperations!$D$37</f>
        <v>0</v>
      </c>
      <c r="E219" s="166">
        <f>CustomOperations!$D$38*$C$185</f>
        <v>0</v>
      </c>
      <c r="F219" s="166">
        <f t="shared" ref="F219:F233" si="18">D219*E219</f>
        <v>0</v>
      </c>
      <c r="G219" s="166"/>
    </row>
    <row r="220" spans="2:7">
      <c r="B220" t="str">
        <f>CustomOperations!$B$39</f>
        <v>Hauling, Custom</v>
      </c>
      <c r="C220" s="137" t="str">
        <f>CustomOperations!$C$39</f>
        <v>mile</v>
      </c>
      <c r="D220" s="166">
        <f>CustomOperations!$D$39</f>
        <v>0</v>
      </c>
      <c r="E220" s="166">
        <f>CustomOperations!$D$40*$C$185</f>
        <v>0</v>
      </c>
      <c r="F220" s="166">
        <f t="shared" si="18"/>
        <v>0</v>
      </c>
      <c r="G220" s="166"/>
    </row>
    <row r="221" spans="2:7">
      <c r="B221" t="str">
        <f>CustomOperations!$B$41</f>
        <v>Gin Cotton/Drying/Swathing, Custom</v>
      </c>
      <c r="C221" s="137" t="str">
        <f>CustomOperations!$C$41</f>
        <v>bale</v>
      </c>
      <c r="D221" s="166">
        <f>CustomOperations!$D$41</f>
        <v>0</v>
      </c>
      <c r="E221" s="166">
        <f>CustomOperations!$D$42*$C$185</f>
        <v>0</v>
      </c>
      <c r="F221" s="166">
        <f t="shared" si="18"/>
        <v>0</v>
      </c>
      <c r="G221" s="166"/>
    </row>
    <row r="222" spans="2:7">
      <c r="B222" t="str">
        <f>CustomOperations!$B$24</f>
        <v>Drill, Custom</v>
      </c>
      <c r="C222" s="137" t="str">
        <f>CustomOperations!$C$24</f>
        <v>acre</v>
      </c>
      <c r="D222" s="166">
        <f>CustomOperations!$D$24</f>
        <v>0</v>
      </c>
      <c r="E222" s="166">
        <f>CustomOperations!$D$25*$C$185</f>
        <v>0</v>
      </c>
      <c r="F222" s="166">
        <f t="shared" si="18"/>
        <v>0</v>
      </c>
      <c r="G222" s="166"/>
    </row>
    <row r="223" spans="2:7">
      <c r="B223" t="str">
        <f>CustomOperations!$B$26</f>
        <v>Row Planter, Custom</v>
      </c>
      <c r="C223" s="137" t="str">
        <f>CustomOperations!$C$26</f>
        <v>acre</v>
      </c>
      <c r="D223" s="166">
        <f>CustomOperations!$D$26</f>
        <v>0</v>
      </c>
      <c r="E223" s="166">
        <f>CustomOperations!$D$27*$C$185</f>
        <v>0</v>
      </c>
      <c r="F223" s="166">
        <f t="shared" si="18"/>
        <v>0</v>
      </c>
      <c r="G223" s="166"/>
    </row>
    <row r="224" spans="2:7">
      <c r="B224" t="str">
        <f>CustomOperations!$B$28</f>
        <v>Row Cultivator, Custom</v>
      </c>
      <c r="C224" s="137" t="str">
        <f>CustomOperations!$C$28</f>
        <v>acre</v>
      </c>
      <c r="D224" s="166">
        <f>CustomOperations!$D$28</f>
        <v>0</v>
      </c>
      <c r="E224" s="166">
        <f>CustomOperations!$D$29*$C$185</f>
        <v>0</v>
      </c>
      <c r="F224" s="166">
        <f t="shared" si="18"/>
        <v>0</v>
      </c>
      <c r="G224" s="166"/>
    </row>
    <row r="225" spans="2:7">
      <c r="B225" t="str">
        <f>CustomOperations!$B$5</f>
        <v>V Ripper, Custom</v>
      </c>
      <c r="C225" s="137" t="str">
        <f>CustomOperations!$C$5</f>
        <v>acre</v>
      </c>
      <c r="D225" s="166">
        <f>CustomOperations!$D$5</f>
        <v>44.25</v>
      </c>
      <c r="E225" s="166">
        <f>CustomOperations!$D$6*$C$185</f>
        <v>0</v>
      </c>
      <c r="F225" s="166">
        <f t="shared" si="18"/>
        <v>0</v>
      </c>
      <c r="G225" s="166"/>
    </row>
    <row r="226" spans="2:7">
      <c r="B226" t="str">
        <f>CustomOperations!$B$7</f>
        <v>Disk, Custom</v>
      </c>
      <c r="C226" s="137" t="str">
        <f>CustomOperations!$C$7</f>
        <v>acre</v>
      </c>
      <c r="D226" s="166">
        <f>CustomOperations!$D$7</f>
        <v>0</v>
      </c>
      <c r="E226" s="166">
        <f>CustomOperations!$D$8*$C$185</f>
        <v>0</v>
      </c>
      <c r="F226" s="166">
        <f t="shared" si="18"/>
        <v>0</v>
      </c>
      <c r="G226" s="166"/>
    </row>
    <row r="227" spans="2:7">
      <c r="B227" t="str">
        <f>CustomOperations!$B$9</f>
        <v>Drag, Custom</v>
      </c>
      <c r="C227" s="137" t="str">
        <f>CustomOperations!$C$9</f>
        <v>acre</v>
      </c>
      <c r="D227" s="166">
        <f>CustomOperations!$D$9</f>
        <v>0</v>
      </c>
      <c r="E227" s="166">
        <f>CustomOperations!$D$10*$C$185</f>
        <v>0</v>
      </c>
      <c r="F227" s="166">
        <f t="shared" si="18"/>
        <v>0</v>
      </c>
      <c r="G227" s="166"/>
    </row>
    <row r="228" spans="2:7">
      <c r="B228" t="str">
        <f>CustomOperations!$B$11</f>
        <v>Chisel, Custom</v>
      </c>
      <c r="C228" s="137" t="str">
        <f>CustomOperations!$C$11</f>
        <v>acre</v>
      </c>
      <c r="D228" s="166">
        <f>CustomOperations!$D$11</f>
        <v>0</v>
      </c>
      <c r="E228" s="166">
        <f>CustomOperations!$D$12*$C$185</f>
        <v>0</v>
      </c>
      <c r="F228" s="166">
        <f t="shared" si="18"/>
        <v>0</v>
      </c>
      <c r="G228" s="166"/>
    </row>
    <row r="229" spans="2:7">
      <c r="B229" t="str">
        <f>CustomOperations!$B$13</f>
        <v>Moldboard Plow, Custom</v>
      </c>
      <c r="C229" s="137" t="str">
        <f>CustomOperations!$C$13</f>
        <v>acre</v>
      </c>
      <c r="D229" s="166">
        <f>CustomOperations!$D$13</f>
        <v>0</v>
      </c>
      <c r="E229" s="166">
        <f>CustomOperations!$D$14*$C$185</f>
        <v>0</v>
      </c>
      <c r="F229" s="166">
        <f t="shared" si="18"/>
        <v>0</v>
      </c>
      <c r="G229" s="166"/>
    </row>
    <row r="230" spans="2:7">
      <c r="B230" t="str">
        <f>CustomOperations!$B$15</f>
        <v>Landplane, Custom</v>
      </c>
      <c r="C230" s="137" t="str">
        <f>CustomOperations!$C$15</f>
        <v>acre</v>
      </c>
      <c r="D230" s="166">
        <f>CustomOperations!$D$15</f>
        <v>17.940000000000001</v>
      </c>
      <c r="E230" s="166">
        <f>CustomOperations!$D$16*$C$185</f>
        <v>0</v>
      </c>
      <c r="F230" s="166">
        <f t="shared" si="18"/>
        <v>0</v>
      </c>
      <c r="G230" s="166"/>
    </row>
    <row r="231" spans="2:7">
      <c r="B231" t="str">
        <f>CustomOperations!$B$17</f>
        <v>Float, Custom</v>
      </c>
      <c r="C231" s="137" t="str">
        <f>CustomOperations!$C$17</f>
        <v>acre</v>
      </c>
      <c r="D231" s="166">
        <f>CustomOperations!$D$17</f>
        <v>17.940000000000001</v>
      </c>
      <c r="E231" s="166">
        <f>CustomOperations!$D$18*$C$185</f>
        <v>0</v>
      </c>
      <c r="F231" s="166">
        <f t="shared" si="18"/>
        <v>0</v>
      </c>
      <c r="G231" s="166"/>
    </row>
    <row r="232" spans="2:7">
      <c r="B232" t="str">
        <f>CustomOperations!$B$19</f>
        <v>Lister, Custom</v>
      </c>
      <c r="C232" s="137" t="str">
        <f>CustomOperations!$C$19</f>
        <v>acre</v>
      </c>
      <c r="D232" s="166">
        <f>CustomOperations!$D$19</f>
        <v>20.38</v>
      </c>
      <c r="E232" s="166">
        <f>CustomOperations!$D$20*$C$185</f>
        <v>0</v>
      </c>
      <c r="F232" s="166">
        <f t="shared" si="18"/>
        <v>0</v>
      </c>
      <c r="G232" s="166"/>
    </row>
    <row r="233" spans="2:7">
      <c r="B233" t="str">
        <f>CustomOperations!$B$21</f>
        <v>Bed Shape, Custom</v>
      </c>
      <c r="C233" s="137" t="str">
        <f>CustomOperations!$C$21</f>
        <v>acre</v>
      </c>
      <c r="D233" s="166">
        <f>CustomOperations!$D$21</f>
        <v>13.69</v>
      </c>
      <c r="E233" s="166">
        <f>CustomOperations!$D$22*$C$185</f>
        <v>0</v>
      </c>
      <c r="F233" s="166">
        <f t="shared" si="18"/>
        <v>0</v>
      </c>
      <c r="G233" s="166"/>
    </row>
    <row r="234" spans="2:7">
      <c r="B234" t="str">
        <f>CustomOperations!$B$32</f>
        <v>Fertilizer Spreader, Custom</v>
      </c>
      <c r="C234" s="137" t="str">
        <f>CustomOperations!$C$32</f>
        <v>acre</v>
      </c>
      <c r="D234" s="166">
        <f>CustomOperations!$D$32</f>
        <v>10.08</v>
      </c>
      <c r="E234" s="166">
        <f>CustomOperations!$D$33*$C$185</f>
        <v>0</v>
      </c>
      <c r="F234" s="166">
        <f>D234*E234</f>
        <v>0</v>
      </c>
      <c r="G234" s="166"/>
    </row>
    <row r="235" spans="2:7">
      <c r="B235" t="str">
        <f>CustomOperations!$B$34</f>
        <v>Laser Landplaning, Custom</v>
      </c>
      <c r="C235" s="137" t="str">
        <f>CustomOperations!$C$34</f>
        <v>acre</v>
      </c>
      <c r="D235" s="166">
        <f>CustomOperations!$D$34</f>
        <v>0</v>
      </c>
      <c r="E235" s="166">
        <f>CustomOperations!$D$35*$C$185</f>
        <v>0</v>
      </c>
      <c r="F235" s="166">
        <f>D235*E235</f>
        <v>0</v>
      </c>
      <c r="G235" s="166"/>
    </row>
    <row r="236" spans="2:7">
      <c r="B236" t="str">
        <f>CustomOperations!$B$30</f>
        <v>Boom Sprayer, Custom</v>
      </c>
      <c r="C236" s="137" t="str">
        <f>CustomOperations!$C$30</f>
        <v>acre</v>
      </c>
      <c r="D236" s="166">
        <f>CustomOperations!$D$30</f>
        <v>10.050000000000001</v>
      </c>
      <c r="E236" s="166">
        <f>CustomOperations!$D$31*$C$185</f>
        <v>0</v>
      </c>
      <c r="F236" s="166">
        <f t="shared" ref="F236:F258" si="19">D236*E236</f>
        <v>0</v>
      </c>
      <c r="G236" s="166"/>
    </row>
    <row r="237" spans="2:7">
      <c r="B237" s="463" t="str">
        <f>TillageOperations!$B$7&amp;" (Repairs, maint., fuel &amp; lube)"</f>
        <v>V-Ripper (Repairs, maint., fuel &amp; lube)</v>
      </c>
      <c r="C237" s="464" t="s">
        <v>157</v>
      </c>
      <c r="D237" s="166">
        <f>PubMachineryTables!$AM$49+PubMachineryTables!$AN$49</f>
        <v>30.16333889180672</v>
      </c>
      <c r="E237" s="166">
        <f>TillageOperations!$C$7*$C$185</f>
        <v>150</v>
      </c>
      <c r="F237" s="166">
        <f t="shared" si="19"/>
        <v>4524.5008337710078</v>
      </c>
      <c r="G237" s="166"/>
    </row>
    <row r="238" spans="2:7">
      <c r="B238" s="463" t="str">
        <f>TillageOperations!$B$7&amp;" (Labor)"</f>
        <v>V-Ripper (Labor)</v>
      </c>
      <c r="C238" s="464" t="s">
        <v>157</v>
      </c>
      <c r="D238" s="166">
        <f>PubMachineryTables!$AL$49</f>
        <v>13.529312500000001</v>
      </c>
      <c r="E238" s="166">
        <f>TillageOperations!$C$7*$C$185</f>
        <v>150</v>
      </c>
      <c r="F238" s="166">
        <f t="shared" si="19"/>
        <v>2029.3968750000001</v>
      </c>
      <c r="G238" s="166"/>
    </row>
    <row r="239" spans="2:7">
      <c r="B239" s="463" t="str">
        <f>TillageOperations!$B$8&amp;" (Repairs, maint., fuel &amp; lube)"</f>
        <v>Offset Disk (Repairs, maint., fuel &amp; lube)</v>
      </c>
      <c r="C239" s="464" t="s">
        <v>157</v>
      </c>
      <c r="D239" s="166">
        <f>PubMachineryTables!$AN$50+PubMachineryTables!$AM$50</f>
        <v>10.332318567950058</v>
      </c>
      <c r="E239" s="166">
        <f>TillageOperations!$C$8*$C$185</f>
        <v>322.5</v>
      </c>
      <c r="F239" s="166">
        <f t="shared" si="19"/>
        <v>3332.1727381638934</v>
      </c>
      <c r="G239" s="166"/>
    </row>
    <row r="240" spans="2:7">
      <c r="B240" s="463" t="str">
        <f>TillageOperations!$B$8&amp;" (Labor)"</f>
        <v>Offset Disk (Labor)</v>
      </c>
      <c r="C240" s="464" t="s">
        <v>157</v>
      </c>
      <c r="D240" s="166">
        <f>PubMachineryTables!$AL$50</f>
        <v>4.7161002178649252</v>
      </c>
      <c r="E240" s="166">
        <f>TillageOperations!$C$8*$C$185</f>
        <v>322.5</v>
      </c>
      <c r="F240" s="166">
        <f t="shared" si="19"/>
        <v>1520.9423202614385</v>
      </c>
      <c r="G240" s="166"/>
    </row>
    <row r="241" spans="2:7">
      <c r="B241" s="463" t="str">
        <f>TillageOperations!$B$9&amp;" (Repairs, maint., fuel &amp; lube)"</f>
        <v>Drag (Repairs, maint., fuel &amp; lube)</v>
      </c>
      <c r="C241" s="464" t="s">
        <v>157</v>
      </c>
      <c r="D241" s="166">
        <f>PubMachineryTables!$AN$51+PubMachineryTables!$AM$51</f>
        <v>2.4803921568627447</v>
      </c>
      <c r="E241" s="166">
        <f>TillageOperations!$C$9*$C$185</f>
        <v>0</v>
      </c>
      <c r="F241" s="166">
        <f t="shared" si="19"/>
        <v>0</v>
      </c>
      <c r="G241" s="166"/>
    </row>
    <row r="242" spans="2:7">
      <c r="B242" s="463" t="str">
        <f>TillageOperations!$B$9&amp;" (Labor)"</f>
        <v>Drag (Labor)</v>
      </c>
      <c r="C242" s="464" t="s">
        <v>157</v>
      </c>
      <c r="D242" s="166">
        <f>PubMachineryTables!$AL$51</f>
        <v>2.1222450980392158</v>
      </c>
      <c r="E242" s="166">
        <f>TillageOperations!$C$9*$C$185</f>
        <v>0</v>
      </c>
      <c r="F242" s="166">
        <f t="shared" si="19"/>
        <v>0</v>
      </c>
      <c r="G242" s="166"/>
    </row>
    <row r="243" spans="2:7">
      <c r="B243" s="463" t="str">
        <f>TillageOperations!$B$10&amp;" (Repairs, maint., fuel &amp; lube)"</f>
        <v>Chisel (Repairs, maint., fuel &amp; lube)</v>
      </c>
      <c r="C243" s="464" t="s">
        <v>157</v>
      </c>
      <c r="D243" s="166">
        <f>PubMachineryTables!$AN$52+PubMachineryTables!$AM$52</f>
        <v>8.5884820270019766</v>
      </c>
      <c r="E243" s="166">
        <f>TillageOperations!$C$10*$C$185</f>
        <v>0</v>
      </c>
      <c r="F243" s="166">
        <f t="shared" si="19"/>
        <v>0</v>
      </c>
      <c r="G243" s="166"/>
    </row>
    <row r="244" spans="2:7">
      <c r="B244" s="463" t="str">
        <f>TillageOperations!$B$10&amp;" (Labor)"</f>
        <v>Chisel (Labor)</v>
      </c>
      <c r="C244" s="464" t="s">
        <v>157</v>
      </c>
      <c r="D244" s="166">
        <f>PubMachineryTables!$AL$52</f>
        <v>3.9792095588235301</v>
      </c>
      <c r="E244" s="166">
        <f>TillageOperations!$C$10*$C$185</f>
        <v>0</v>
      </c>
      <c r="F244" s="166">
        <f t="shared" si="19"/>
        <v>0</v>
      </c>
      <c r="G244" s="166"/>
    </row>
    <row r="245" spans="2:7">
      <c r="B245" s="463" t="str">
        <f>TillageOperations!$B$11&amp;" (Repairs, maint., fuel &amp; lube)"</f>
        <v>Moldboard Plow (Repairs, maint., fuel &amp; lube)</v>
      </c>
      <c r="C245" s="464" t="s">
        <v>157</v>
      </c>
      <c r="D245" s="166">
        <f>PubMachineryTables!$AN$53+PubMachineryTables!$AM$53</f>
        <v>14.457142857142856</v>
      </c>
      <c r="E245" s="166">
        <f>TillageOperations!$C$11*$C$185</f>
        <v>0</v>
      </c>
      <c r="F245" s="166">
        <f t="shared" si="19"/>
        <v>0</v>
      </c>
      <c r="G245" s="166"/>
    </row>
    <row r="246" spans="2:7">
      <c r="B246" s="463" t="str">
        <f>TillageOperations!$B$11&amp;" (Labor)"</f>
        <v>Moldboard Plow (Labor)</v>
      </c>
      <c r="C246" s="464" t="s">
        <v>157</v>
      </c>
      <c r="D246" s="166">
        <f>PubMachineryTables!$AL$53</f>
        <v>7.7310357142857153</v>
      </c>
      <c r="E246" s="166">
        <f>TillageOperations!$C$11*$C$185</f>
        <v>0</v>
      </c>
      <c r="F246" s="166">
        <f t="shared" si="19"/>
        <v>0</v>
      </c>
      <c r="G246" s="166"/>
    </row>
    <row r="247" spans="2:7">
      <c r="B247" s="463" t="str">
        <f>TillageOperations!$B$12&amp;" (Repairs, maint., fuel &amp; lube)"</f>
        <v>Cultivator (Repairs, maint., fuel &amp; lube)</v>
      </c>
      <c r="C247" s="464" t="s">
        <v>157</v>
      </c>
      <c r="D247" s="166">
        <f>PubMachineryTables!$AN$54+PubMachineryTables!$AM$54</f>
        <v>5.7828571428571429</v>
      </c>
      <c r="E247" s="166">
        <f>TillageOperations!$C$12*$C$185</f>
        <v>0</v>
      </c>
      <c r="F247" s="166">
        <f t="shared" si="19"/>
        <v>0</v>
      </c>
      <c r="G247" s="166"/>
    </row>
    <row r="248" spans="2:7">
      <c r="B248" s="463" t="str">
        <f>TillageOperations!$B$12&amp;" (Labor)"</f>
        <v>Cultivator (Labor)</v>
      </c>
      <c r="C248" s="464" t="s">
        <v>157</v>
      </c>
      <c r="D248" s="166">
        <f>PubMachineryTables!$AL$54</f>
        <v>3.0924142857142862</v>
      </c>
      <c r="E248" s="166">
        <f>TillageOperations!$C$12*$C$185</f>
        <v>0</v>
      </c>
      <c r="F248" s="166">
        <f t="shared" si="19"/>
        <v>0</v>
      </c>
      <c r="G248" s="166"/>
    </row>
    <row r="249" spans="2:7">
      <c r="B249" s="463" t="str">
        <f>TillageOperations!$B$13&amp;" (Repairs, maint., fuel &amp; lube)"</f>
        <v>Landplane (Repairs, maint., fuel &amp; lube)</v>
      </c>
      <c r="C249" s="464" t="s">
        <v>157</v>
      </c>
      <c r="D249" s="166">
        <f>PubMachineryTables!$AN$55+PubMachineryTables!$AM$55</f>
        <v>8.0445253976590632</v>
      </c>
      <c r="E249" s="166">
        <f>TillageOperations!$C$13*$C$185</f>
        <v>150</v>
      </c>
      <c r="F249" s="166">
        <f t="shared" si="19"/>
        <v>1206.6788096488594</v>
      </c>
      <c r="G249" s="166"/>
    </row>
    <row r="250" spans="2:7">
      <c r="B250" s="463" t="str">
        <f>TillageOperations!$B$13&amp;" (Labor)"</f>
        <v>Landplane (Labor)</v>
      </c>
      <c r="C250" s="464" t="s">
        <v>157</v>
      </c>
      <c r="D250" s="166">
        <f>PubMachineryTables!$AL$55</f>
        <v>3.8655178571428577</v>
      </c>
      <c r="E250" s="166">
        <f>TillageOperations!$C$13*$C$185</f>
        <v>150</v>
      </c>
      <c r="F250" s="166">
        <f t="shared" si="19"/>
        <v>579.82767857142869</v>
      </c>
      <c r="G250" s="166"/>
    </row>
    <row r="251" spans="2:7">
      <c r="B251" s="463" t="str">
        <f>TillageOperations!$B$14&amp;" (Repairs, maint., fuel &amp; lube)"</f>
        <v>Float (Repairs, maint., fuel &amp; lube)</v>
      </c>
      <c r="C251" s="464" t="s">
        <v>157</v>
      </c>
      <c r="D251" s="166">
        <f>PubMachineryTables!$AN$56+PubMachineryTables!$AM$56</f>
        <v>5.1632653061224492</v>
      </c>
      <c r="E251" s="166">
        <f>TillageOperations!$C$14*$C$185</f>
        <v>0</v>
      </c>
      <c r="F251" s="166">
        <f t="shared" si="19"/>
        <v>0</v>
      </c>
      <c r="G251" s="166"/>
    </row>
    <row r="252" spans="2:7">
      <c r="B252" s="463" t="str">
        <f>TillageOperations!$B$14&amp;" (Labor)"</f>
        <v>Float (Labor)</v>
      </c>
      <c r="C252" s="464" t="s">
        <v>157</v>
      </c>
      <c r="D252" s="166">
        <f>PubMachineryTables!$AL$56</f>
        <v>4.4177346938775521</v>
      </c>
      <c r="E252" s="166">
        <f>TillageOperations!$C$14*$C$185</f>
        <v>0</v>
      </c>
      <c r="F252" s="166">
        <f t="shared" si="19"/>
        <v>0</v>
      </c>
      <c r="G252" s="166"/>
    </row>
    <row r="253" spans="2:7">
      <c r="B253" s="463" t="str">
        <f>TillageOperations!$B$15&amp;" (Repairs, maint., fuel &amp; lube)"</f>
        <v>Lister (Repairs, maint., fuel &amp; lube)</v>
      </c>
      <c r="C253" s="464" t="s">
        <v>157</v>
      </c>
      <c r="D253" s="166">
        <f>PubMachineryTables!$AN$57+PubMachineryTables!$AM$57</f>
        <v>11.879642797844287</v>
      </c>
      <c r="E253" s="166">
        <f>TillageOperations!$C$15*$C$185</f>
        <v>150</v>
      </c>
      <c r="F253" s="166">
        <f t="shared" si="19"/>
        <v>1781.946419676643</v>
      </c>
      <c r="G253" s="166"/>
    </row>
    <row r="254" spans="2:7">
      <c r="B254" s="463" t="str">
        <f>TillageOperations!$B$15&amp;" (Labor)"</f>
        <v>Lister (Labor)</v>
      </c>
      <c r="C254" s="464" t="s">
        <v>157</v>
      </c>
      <c r="D254" s="166">
        <f>PubMachineryTables!$AL$57</f>
        <v>6.1848285714285725</v>
      </c>
      <c r="E254" s="166">
        <f>TillageOperations!$C$15*$C$185</f>
        <v>150</v>
      </c>
      <c r="F254" s="166">
        <f t="shared" si="19"/>
        <v>927.72428571428588</v>
      </c>
      <c r="G254" s="166"/>
    </row>
    <row r="255" spans="2:7">
      <c r="B255" s="463" t="str">
        <f>TillageOperations!$B$16&amp;" (Repairs, maint., fuel &amp; lube)"</f>
        <v>Bed Shaper (Repairs, maint., fuel &amp; lube)</v>
      </c>
      <c r="C255" s="464" t="s">
        <v>157</v>
      </c>
      <c r="D255" s="166">
        <f>PubMachineryTables!$AN$58+PubMachineryTables!$AM$58</f>
        <v>5.9574634784635725</v>
      </c>
      <c r="E255" s="166">
        <f>TillageOperations!$C$16*$C$185</f>
        <v>150</v>
      </c>
      <c r="F255" s="166">
        <f t="shared" si="19"/>
        <v>893.61952176953582</v>
      </c>
      <c r="G255" s="166"/>
    </row>
    <row r="256" spans="2:7">
      <c r="B256" s="463" t="str">
        <f>TillageOperations!$B$16&amp;" (Labor)"</f>
        <v>Bed Shaper (Labor)</v>
      </c>
      <c r="C256" s="464" t="s">
        <v>157</v>
      </c>
      <c r="D256" s="166">
        <f>PubMachineryTables!$AL$58</f>
        <v>3.0924142857142862</v>
      </c>
      <c r="E256" s="166">
        <f>TillageOperations!$C$16*$C$185</f>
        <v>150</v>
      </c>
      <c r="F256" s="166">
        <f t="shared" si="19"/>
        <v>463.86214285714294</v>
      </c>
      <c r="G256" s="166"/>
    </row>
    <row r="257" spans="2:7">
      <c r="B257" s="463" t="str">
        <f>TillageOperations!$B$19&amp;" (Repairs, maint., fuel &amp; lube)"</f>
        <v>Row Planter (Repairs, maint., fuel &amp; lube)</v>
      </c>
      <c r="C257" s="464" t="s">
        <v>157</v>
      </c>
      <c r="D257" s="166">
        <f>PubMachineryTables!$AN$60+PubMachineryTables!$AM$60</f>
        <v>8.8400048303091552</v>
      </c>
      <c r="E257" s="166">
        <f>TillageOperations!$C$19*$C$185</f>
        <v>150</v>
      </c>
      <c r="F257" s="166">
        <f t="shared" si="19"/>
        <v>1326.0007245463732</v>
      </c>
      <c r="G257" s="166"/>
    </row>
    <row r="258" spans="2:7">
      <c r="B258" s="463" t="str">
        <f>TillageOperations!$B$19&amp;" (Labor)"</f>
        <v>Row Planter (Labor)</v>
      </c>
      <c r="C258" s="464" t="s">
        <v>157</v>
      </c>
      <c r="D258" s="166">
        <f>PubMachineryTables!$AL$60</f>
        <v>4.5097708333333344</v>
      </c>
      <c r="E258" s="166">
        <f>TillageOperations!$C$19*$C$185</f>
        <v>150</v>
      </c>
      <c r="F258" s="166">
        <f t="shared" si="19"/>
        <v>676.46562500000016</v>
      </c>
      <c r="G258" s="166"/>
    </row>
    <row r="259" spans="2:7">
      <c r="B259" s="463" t="str">
        <f>TillageOperations!$B$20&amp;" (Repairs, maint., fuel &amp; lube)"</f>
        <v>Row Cultivator (Repairs, maint., fuel &amp; lube)</v>
      </c>
      <c r="C259" s="464" t="s">
        <v>157</v>
      </c>
      <c r="D259" s="166">
        <f>PubMachineryTables!$AN$61+PubMachineryTables!$AM$61</f>
        <v>3.5823141032725374</v>
      </c>
      <c r="E259" s="166">
        <f>TillageOperations!$C$20*$C$185</f>
        <v>300</v>
      </c>
      <c r="F259" s="166">
        <f>D259*E259</f>
        <v>1074.6942309817612</v>
      </c>
      <c r="G259" s="166"/>
    </row>
    <row r="260" spans="2:7">
      <c r="B260" s="463" t="str">
        <f>TillageOperations!$B$20&amp;" (Labor)"</f>
        <v>Row Cultivator (Labor)</v>
      </c>
      <c r="C260" s="464" t="s">
        <v>157</v>
      </c>
      <c r="D260" s="166">
        <f>PubMachineryTables!$AL$61</f>
        <v>3.0065138888888892</v>
      </c>
      <c r="E260" s="166">
        <f>TillageOperations!$C$20*$C$185</f>
        <v>300</v>
      </c>
      <c r="F260" s="166">
        <f>D260*E260</f>
        <v>901.95416666666677</v>
      </c>
      <c r="G260" s="166"/>
    </row>
    <row r="261" spans="2:7">
      <c r="B261" s="463" t="str">
        <f>TillageOperations!$B$21&amp;" (Repairs, maint., fuel &amp; lube)"</f>
        <v>Drill (Repairs, maint., fuel &amp; lube)</v>
      </c>
      <c r="C261" s="464" t="s">
        <v>157</v>
      </c>
      <c r="D261" s="166">
        <f>PubMachineryTables!$AN$62+PubMachineryTables!$AM$62</f>
        <v>7.6986395922631168</v>
      </c>
      <c r="E261" s="166">
        <f>TillageOperations!$C$21*$C$185</f>
        <v>0</v>
      </c>
      <c r="F261" s="166">
        <f>D261*E261</f>
        <v>0</v>
      </c>
      <c r="G261" s="166"/>
    </row>
    <row r="262" spans="2:7">
      <c r="B262" s="463" t="str">
        <f>TillageOperations!$B$21&amp;" (Labor)"</f>
        <v>Drill (Labor)</v>
      </c>
      <c r="C262" s="464" t="s">
        <v>157</v>
      </c>
      <c r="D262" s="166">
        <f>PubMachineryTables!$AL$62</f>
        <v>5.4117250000000006</v>
      </c>
      <c r="E262" s="166">
        <f>TillageOperations!$C$21*$C$185</f>
        <v>0</v>
      </c>
      <c r="F262" s="166">
        <f>D262*E262</f>
        <v>0</v>
      </c>
      <c r="G262" s="166"/>
    </row>
    <row r="263" spans="2:7">
      <c r="B263" s="75" t="str">
        <f>TillageOperations!$B$27&amp;" (Repairs, maint., fuel &amp; lube)"</f>
        <v>Cotton Picker (Repairs, maint., fuel &amp; lube)</v>
      </c>
      <c r="C263" s="464" t="s">
        <v>157</v>
      </c>
      <c r="D263" s="166">
        <f>PubMachineryTables!$AN$67+PubMachineryTables!$AM$67</f>
        <v>20.587703435804702</v>
      </c>
      <c r="E263" s="166">
        <f>TillageOperations!$C$27*$C$185</f>
        <v>0</v>
      </c>
      <c r="F263" s="166">
        <f t="shared" ref="F263:F270" si="20">D263*E263</f>
        <v>0</v>
      </c>
      <c r="G263" s="166"/>
    </row>
    <row r="264" spans="2:7">
      <c r="B264" t="str">
        <f>TillageOperations!$B$27&amp;" (Labor)"</f>
        <v>Cotton Picker (Labor)</v>
      </c>
      <c r="C264" s="464" t="s">
        <v>157</v>
      </c>
      <c r="D264" s="166">
        <f>PubMachineryTables!$AL$67</f>
        <v>7.3395908679927677</v>
      </c>
      <c r="E264" s="166">
        <f>TillageOperations!$C$27*$C$185</f>
        <v>0</v>
      </c>
      <c r="F264" s="166">
        <f t="shared" si="20"/>
        <v>0</v>
      </c>
      <c r="G264" s="166"/>
    </row>
    <row r="265" spans="2:7">
      <c r="B265" s="75" t="str">
        <f>TillageOperations!$B$28&amp;" (Repairs, maint., fuel &amp; lube)"</f>
        <v>Module Unit (Repairs, maint., fuel &amp; lube)</v>
      </c>
      <c r="C265" s="464" t="s">
        <v>157</v>
      </c>
      <c r="D265" s="166">
        <f>PubMachineryTables!$AN$68+PubMachineryTables!$AM$68</f>
        <v>7.0644080416976918</v>
      </c>
      <c r="E265" s="166">
        <f>TillageOperations!$C$28*$C$185</f>
        <v>0</v>
      </c>
      <c r="F265" s="166">
        <f t="shared" si="20"/>
        <v>0</v>
      </c>
      <c r="G265" s="166"/>
    </row>
    <row r="266" spans="2:7">
      <c r="B266" t="str">
        <f>TillageOperations!$B$28&amp;" (Labor)"</f>
        <v>Module Unit (Labor)</v>
      </c>
      <c r="C266" s="464" t="s">
        <v>157</v>
      </c>
      <c r="D266" s="166">
        <f>PubMachineryTables!$AL$68</f>
        <v>6.0443689501116911</v>
      </c>
      <c r="E266" s="166">
        <f>TillageOperations!$C$28*$C$185</f>
        <v>0</v>
      </c>
      <c r="F266" s="166">
        <f t="shared" si="20"/>
        <v>0</v>
      </c>
      <c r="G266" s="166"/>
    </row>
    <row r="267" spans="2:7">
      <c r="B267" t="str">
        <f>TillageOperations!$B$29&amp;" (Repairs, maint., fuel &amp; lube)"</f>
        <v>Haul Cotton (Repairs, maint., fuel &amp; lube)</v>
      </c>
      <c r="C267" s="464" t="s">
        <v>157</v>
      </c>
      <c r="D267" s="166">
        <f>PubMachineryTables!$AN$69+PubMachineryTables!$AM$69</f>
        <v>7.0644080416976918</v>
      </c>
      <c r="E267" s="166">
        <f>TillageOperations!$C$29*$C$185</f>
        <v>0</v>
      </c>
      <c r="F267" s="166">
        <f t="shared" si="20"/>
        <v>0</v>
      </c>
      <c r="G267" s="166"/>
    </row>
    <row r="268" spans="2:7">
      <c r="B268" t="str">
        <f>TillageOperations!$B$29&amp;" (Labor)"</f>
        <v>Haul Cotton (Labor)</v>
      </c>
      <c r="C268" s="464" t="s">
        <v>157</v>
      </c>
      <c r="D268" s="166">
        <f>PubMachineryTables!$AL$69</f>
        <v>6.0443689501116911</v>
      </c>
      <c r="E268" s="166">
        <f>TillageOperations!$C$29*$C$185</f>
        <v>0</v>
      </c>
      <c r="F268" s="166">
        <f t="shared" si="20"/>
        <v>0</v>
      </c>
      <c r="G268" s="166"/>
    </row>
    <row r="269" spans="2:7">
      <c r="B269" t="str">
        <f>TillageOperations!$B$17&amp;" (Repairs, maint., fuel &amp; lube)"</f>
        <v>Cotton Shredder/Root Puller (Repairs, maint., fuel &amp; lube)</v>
      </c>
      <c r="C269" s="464" t="s">
        <v>157</v>
      </c>
      <c r="D269" s="166">
        <f>PubMachineryTables!$AN$59+PubMachineryTables!$AM$59</f>
        <v>3.4657534246575339</v>
      </c>
      <c r="E269" s="166">
        <f>TillageOperations!$C$17*$C$185</f>
        <v>0</v>
      </c>
      <c r="F269" s="166">
        <f t="shared" si="20"/>
        <v>0</v>
      </c>
      <c r="G269" s="166"/>
    </row>
    <row r="270" spans="2:7">
      <c r="B270" t="str">
        <f>TillageOperations!$B$17&amp;" (Labor)"</f>
        <v>Cotton Shredder/Root Puller (Labor)</v>
      </c>
      <c r="C270" s="464" t="s">
        <v>157</v>
      </c>
      <c r="D270" s="166">
        <f>PubMachineryTables!$AL$59</f>
        <v>2.965328767123288</v>
      </c>
      <c r="E270" s="166">
        <f>TillageOperations!$C$17*$C$185</f>
        <v>0</v>
      </c>
      <c r="F270" s="166">
        <f t="shared" si="20"/>
        <v>0</v>
      </c>
      <c r="G270" s="166"/>
    </row>
    <row r="271" spans="2:7">
      <c r="B271" t="str">
        <f>TillageOperations!$B$30&amp;" (Repairs, maint., fuel &amp; lube)"</f>
        <v>Combine (Repairs, maint., fuel &amp; lube)</v>
      </c>
      <c r="C271" s="464" t="s">
        <v>157</v>
      </c>
      <c r="D271" s="166">
        <f>PubMachineryTables!$AN$70+PubMachineryTables!$AM$70</f>
        <v>4.8939818019913757</v>
      </c>
      <c r="E271" s="166">
        <f>TillageOperations!$C$30*$C$185</f>
        <v>0</v>
      </c>
      <c r="F271" s="166">
        <f>D271*E271</f>
        <v>0</v>
      </c>
      <c r="G271" s="166"/>
    </row>
    <row r="272" spans="2:7">
      <c r="B272" t="str">
        <f>TillageOperations!$B$30&amp;" (Labor)"</f>
        <v>Combine (Labor)</v>
      </c>
      <c r="C272" s="464" t="s">
        <v>157</v>
      </c>
      <c r="D272" s="166">
        <f>PubMachineryTables!$AL$70</f>
        <v>1.591683823529412</v>
      </c>
      <c r="E272" s="166">
        <f>TillageOperations!$C$30*$C$185</f>
        <v>0</v>
      </c>
      <c r="F272" s="166">
        <f>D272*E272</f>
        <v>0</v>
      </c>
      <c r="G272" s="166"/>
    </row>
    <row r="273" spans="2:7">
      <c r="B273" t="str">
        <f>TillageOperations!$B$31&amp;" (Repairs, maint., fuel &amp; lube)"</f>
        <v>Grain Cart (Repairs, maint., fuel &amp; lube)</v>
      </c>
      <c r="C273" s="464" t="s">
        <v>157</v>
      </c>
      <c r="D273" s="166">
        <f>PubMachineryTables!$AN$71+PubMachineryTables!$AM$71</f>
        <v>3.2163097667975675</v>
      </c>
      <c r="E273" s="166">
        <f>TillageOperations!$C$31*$C$185</f>
        <v>0</v>
      </c>
      <c r="F273" s="166">
        <f>D273*E273</f>
        <v>0</v>
      </c>
      <c r="G273" s="166"/>
    </row>
    <row r="274" spans="2:7">
      <c r="B274" t="str">
        <f>TillageOperations!$B$31&amp;" (Labor)"</f>
        <v>Grain Cart (Labor)</v>
      </c>
      <c r="C274" s="464" t="s">
        <v>157</v>
      </c>
      <c r="D274" s="166">
        <f>PubMachineryTables!$AL$71</f>
        <v>1.591683823529412</v>
      </c>
      <c r="E274" s="166">
        <f>TillageOperations!$C$31*$C$185</f>
        <v>0</v>
      </c>
      <c r="F274" s="166">
        <f>D274*E274</f>
        <v>0</v>
      </c>
      <c r="G274" s="166"/>
    </row>
    <row r="275" spans="2:7">
      <c r="B275" t="str">
        <f>TillageOperations!$B$32&amp;" (Repairs, maint., fuel &amp; lube)"</f>
        <v>Swather (Repairs, maint., fuel &amp; lube)</v>
      </c>
      <c r="C275" s="464" t="s">
        <v>157</v>
      </c>
      <c r="D275" s="166">
        <f>PubMachineryTables!$AN$72+PubMachineryTables!$AM$72</f>
        <v>2.0239999999999996</v>
      </c>
      <c r="E275" s="166">
        <f>TillageOperations!$C$32*$C$185</f>
        <v>0</v>
      </c>
      <c r="F275" s="166">
        <f t="shared" ref="F275:F299" si="21">D275*E275</f>
        <v>0</v>
      </c>
      <c r="G275" s="166"/>
    </row>
    <row r="276" spans="2:7">
      <c r="B276" t="str">
        <f>TillageOperations!$B$32&amp;" (Labor)"</f>
        <v>Swather (Labor)</v>
      </c>
      <c r="C276" s="464" t="s">
        <v>157</v>
      </c>
      <c r="D276" s="166">
        <f>PubMachineryTables!$AL$72</f>
        <v>2.1646900000000002</v>
      </c>
      <c r="E276" s="166">
        <f>TillageOperations!$C$32*$C$185</f>
        <v>0</v>
      </c>
      <c r="F276" s="166">
        <f t="shared" si="21"/>
        <v>0</v>
      </c>
      <c r="G276" s="166"/>
    </row>
    <row r="277" spans="2:7">
      <c r="B277" t="str">
        <f>TillageOperations!$B$33&amp;" (Repairs, maint., fuel &amp; lube)"</f>
        <v>Baler (Repairs, maint., fuel &amp; lube)</v>
      </c>
      <c r="C277" s="464" t="s">
        <v>157</v>
      </c>
      <c r="D277" s="166">
        <f>PubMachineryTables!$AN$73+PubMachineryTables!$AM$73</f>
        <v>3.953125</v>
      </c>
      <c r="E277" s="166">
        <f>TillageOperations!$C$33*$C$185</f>
        <v>0</v>
      </c>
      <c r="F277" s="166">
        <f t="shared" si="21"/>
        <v>0</v>
      </c>
      <c r="G277" s="166"/>
    </row>
    <row r="278" spans="2:7">
      <c r="B278" t="str">
        <f>TillageOperations!$B$33&amp;" (Labor)"</f>
        <v>Baler (Labor)</v>
      </c>
      <c r="C278" s="464" t="s">
        <v>157</v>
      </c>
      <c r="D278" s="166">
        <f>PubMachineryTables!$AL$73</f>
        <v>3.3823281250000004</v>
      </c>
      <c r="E278" s="166">
        <f>TillageOperations!$C$33*$C$185</f>
        <v>0</v>
      </c>
      <c r="F278" s="166">
        <f t="shared" si="21"/>
        <v>0</v>
      </c>
      <c r="G278" s="166"/>
    </row>
    <row r="279" spans="2:7">
      <c r="B279" t="str">
        <f>TillageOperations!$B$34&amp;" (Repairs, maint., fuel &amp; lube)"</f>
        <v>Swather (Repairs, maint., fuel &amp; lube)</v>
      </c>
      <c r="C279" s="464" t="s">
        <v>157</v>
      </c>
      <c r="D279" s="166">
        <f>PubMachineryTables!$AN$74+PubMachineryTables!$AM$74</f>
        <v>19.46153846153846</v>
      </c>
      <c r="E279" s="166">
        <f>TillageOperations!$C$34*$C$185</f>
        <v>0</v>
      </c>
      <c r="F279" s="166">
        <f t="shared" si="21"/>
        <v>0</v>
      </c>
      <c r="G279" s="166"/>
    </row>
    <row r="280" spans="2:7">
      <c r="B280" t="str">
        <f>TillageOperations!$B$34&amp;" (Labor)"</f>
        <v>Swather (Labor)</v>
      </c>
      <c r="C280" s="464" t="s">
        <v>157</v>
      </c>
      <c r="D280" s="166">
        <f>PubMachineryTables!$AL$74</f>
        <v>20.814326923076923</v>
      </c>
      <c r="E280" s="166">
        <f>TillageOperations!$C$34*$C$185</f>
        <v>0</v>
      </c>
      <c r="F280" s="166">
        <f t="shared" si="21"/>
        <v>0</v>
      </c>
      <c r="G280" s="166"/>
    </row>
    <row r="281" spans="2:7">
      <c r="B281" t="str">
        <f>TillageOperations!$B$35&amp;" (Repairs, maint., fuel &amp; lube)"</f>
        <v>Baler (Repairs, maint., fuel &amp; lube)</v>
      </c>
      <c r="C281" s="464" t="s">
        <v>157</v>
      </c>
      <c r="D281" s="166">
        <f>PubMachineryTables!$AN$75+PubMachineryTables!$AM$75</f>
        <v>24.326923076923073</v>
      </c>
      <c r="E281" s="166">
        <f>TillageOperations!$C$35*$C$185</f>
        <v>0</v>
      </c>
      <c r="F281" s="166">
        <f t="shared" si="21"/>
        <v>0</v>
      </c>
      <c r="G281" s="166"/>
    </row>
    <row r="282" spans="2:7">
      <c r="B282" t="str">
        <f>TillageOperations!$B$35&amp;" (Labor)"</f>
        <v>Baler (Labor)</v>
      </c>
      <c r="C282" s="464" t="s">
        <v>157</v>
      </c>
      <c r="D282" s="166">
        <f>PubMachineryTables!$AL$75</f>
        <v>20.814326923076923</v>
      </c>
      <c r="E282" s="166">
        <f>TillageOperations!$C$35*$C$185</f>
        <v>0</v>
      </c>
      <c r="F282" s="166">
        <f t="shared" si="21"/>
        <v>0</v>
      </c>
      <c r="G282" s="166"/>
    </row>
    <row r="283" spans="2:7">
      <c r="B283" t="str">
        <f>'Inputs&amp;PricesbyCrop'!$B$31</f>
        <v xml:space="preserve">   - Baling Twine</v>
      </c>
      <c r="C283" s="137" t="str">
        <f>'Inputs&amp;PricesbyCrop'!$C$31</f>
        <v>acre</v>
      </c>
      <c r="D283" s="166">
        <f>'Inputs&amp;PricesbyCrop'!$D$31</f>
        <v>0</v>
      </c>
      <c r="E283" s="166">
        <f>C185</f>
        <v>150</v>
      </c>
      <c r="F283" s="166">
        <f t="shared" si="21"/>
        <v>0</v>
      </c>
      <c r="G283" s="166"/>
    </row>
    <row r="284" spans="2:7">
      <c r="B284" t="str">
        <f>TillageOperations!$B$36&amp;" (Repairs, maint., fuel &amp; lube)"</f>
        <v>Bale Wagon (Repairs, maint., fuel &amp; lube)</v>
      </c>
      <c r="C284" s="464" t="s">
        <v>157</v>
      </c>
      <c r="D284" s="166">
        <f>PubMachineryTables!$AN$76+PubMachineryTables!$AM$76</f>
        <v>3.1624999999999996</v>
      </c>
      <c r="E284" s="166">
        <f>TillageOperations!$C$36*$C$185</f>
        <v>0</v>
      </c>
      <c r="F284" s="166">
        <f t="shared" si="21"/>
        <v>0</v>
      </c>
      <c r="G284" s="166"/>
    </row>
    <row r="285" spans="2:7">
      <c r="B285" t="str">
        <f>TillageOperations!$B$36&amp;" (Labor)"</f>
        <v>Bale Wagon (Labor)</v>
      </c>
      <c r="C285" s="464" t="s">
        <v>157</v>
      </c>
      <c r="D285" s="166">
        <f>PubMachineryTables!$AL$76</f>
        <v>3.3823281250000004</v>
      </c>
      <c r="E285" s="166">
        <f>TillageOperations!$C$36*$C$185</f>
        <v>0</v>
      </c>
      <c r="F285" s="166">
        <f t="shared" si="21"/>
        <v>0</v>
      </c>
      <c r="G285" s="166"/>
    </row>
    <row r="286" spans="2:7">
      <c r="B286" t="str">
        <f>TillageOperations!$B$23&amp;" (Repairs, maint., fuel &amp; lube)"</f>
        <v>Fertilizer Spreader (Repairs, maint., fuel &amp; lube)</v>
      </c>
      <c r="C286" s="464" t="s">
        <v>157</v>
      </c>
      <c r="D286" s="166">
        <f>PubMachineryTables!$AM$64+PubMachineryTables!$AN$64</f>
        <v>2.6573732562743069</v>
      </c>
      <c r="E286" s="166">
        <f>TillageOperations!$C$23*$C$185</f>
        <v>150</v>
      </c>
      <c r="F286" s="168">
        <f t="shared" si="21"/>
        <v>398.60598844114605</v>
      </c>
      <c r="G286" s="168"/>
    </row>
    <row r="287" spans="2:7">
      <c r="B287" t="str">
        <f>TillageOperations!$B$23&amp;" (Labor)"</f>
        <v>Fertilizer Spreader (Labor)</v>
      </c>
      <c r="C287" s="464" t="s">
        <v>157</v>
      </c>
      <c r="D287" s="166">
        <f>PubMachineryTables!$AL$64</f>
        <v>1.879071180555556</v>
      </c>
      <c r="E287" s="166">
        <f>TillageOperations!$C$23*$C$185</f>
        <v>150</v>
      </c>
      <c r="F287" s="168">
        <f t="shared" si="21"/>
        <v>281.86067708333337</v>
      </c>
      <c r="G287" s="168"/>
    </row>
    <row r="288" spans="2:7">
      <c r="B288" t="str">
        <f>TillageOperations!$B$24&amp;" (Repairs, maint., fuel &amp; lube)"</f>
        <v>Fertilizer Injection System (Repairs, maint., fuel &amp; lube)</v>
      </c>
      <c r="C288" s="464" t="s">
        <v>157</v>
      </c>
      <c r="D288" s="166">
        <f>PubMachineryTables!$AM$65+PubMachineryTables!$AN$65</f>
        <v>8.4333333333333336</v>
      </c>
      <c r="E288" s="166">
        <f>TillageOperations!$C$24*$C$185</f>
        <v>0</v>
      </c>
      <c r="F288" s="168">
        <f t="shared" si="21"/>
        <v>0</v>
      </c>
      <c r="G288" s="168"/>
    </row>
    <row r="289" spans="2:9">
      <c r="B289" t="str">
        <f>TillageOperations!$B$24&amp;" (Labor)"</f>
        <v>Fertilizer Injection System (Labor)</v>
      </c>
      <c r="C289" s="464" t="s">
        <v>157</v>
      </c>
      <c r="D289" s="166">
        <f>PubMachineryTables!$AL$65</f>
        <v>4.5097708333333344</v>
      </c>
      <c r="E289" s="166">
        <f>TillageOperations!$C$24*$C$185</f>
        <v>0</v>
      </c>
      <c r="F289" s="168">
        <f t="shared" si="21"/>
        <v>0</v>
      </c>
      <c r="G289" s="168"/>
    </row>
    <row r="290" spans="2:9">
      <c r="B290" t="str">
        <f>TillageOperations!$B$25&amp;" (Repairs, maint., fuel &amp; lube)"</f>
        <v>Boom Sprayer (Repairs, maint., fuel &amp; lube)</v>
      </c>
      <c r="C290" s="464" t="s">
        <v>157</v>
      </c>
      <c r="D290" s="166">
        <f>PubMachineryTables!AN$66+PubMachineryTables!$AM$66</f>
        <v>1.5996307048468115</v>
      </c>
      <c r="E290" s="166">
        <f>TillageOperations!$C$25*$C$185</f>
        <v>450</v>
      </c>
      <c r="F290" s="166">
        <f t="shared" si="21"/>
        <v>719.83381718106511</v>
      </c>
      <c r="G290" s="166"/>
    </row>
    <row r="291" spans="2:9">
      <c r="B291" t="str">
        <f>TillageOperations!$B$25&amp;" (Labor)"</f>
        <v>Boom Sprayer (Labor)</v>
      </c>
      <c r="C291" s="464" t="s">
        <v>157</v>
      </c>
      <c r="D291" s="166">
        <f>PubMachineryTables!$AL$66</f>
        <v>1.1893901098901098</v>
      </c>
      <c r="E291" s="166">
        <f>TillageOperations!$C$25*$C$185</f>
        <v>450</v>
      </c>
      <c r="F291" s="166">
        <f t="shared" si="21"/>
        <v>535.22554945054947</v>
      </c>
      <c r="G291" s="166"/>
    </row>
    <row r="292" spans="2:9">
      <c r="B292" t="str">
        <f>TillageOperations!$B$22&amp;" (Repairs, maint., fuel &amp; lube)"</f>
        <v>Transplanter (Repairs, maint., fuel &amp; lube)</v>
      </c>
      <c r="C292" s="464" t="s">
        <v>157</v>
      </c>
      <c r="D292" s="166">
        <f>PubMachineryTables!AN$63+PubMachineryTables!$AM$63</f>
        <v>61.668749999999996</v>
      </c>
      <c r="E292" s="166">
        <f>TillageOperations!$C$22*$C$185</f>
        <v>0</v>
      </c>
      <c r="F292" s="166">
        <f>D292*E292</f>
        <v>0</v>
      </c>
      <c r="G292" s="166"/>
    </row>
    <row r="293" spans="2:9">
      <c r="B293" t="str">
        <f>TillageOperations!$B$22&amp;" (Labor)"</f>
        <v>Transplanter (Labor)</v>
      </c>
      <c r="C293" s="464" t="s">
        <v>157</v>
      </c>
      <c r="D293" s="166">
        <f>PubMachineryTables!$AL$63</f>
        <v>20.293968750000001</v>
      </c>
      <c r="E293" s="166">
        <f>TillageOperations!$C$22*$C$185</f>
        <v>0</v>
      </c>
      <c r="F293" s="166">
        <f t="shared" si="21"/>
        <v>0</v>
      </c>
      <c r="G293" s="166"/>
    </row>
    <row r="294" spans="2:9">
      <c r="B294" t="str">
        <f>'Inputs&amp;PricesbyCrop'!$B$14</f>
        <v>Additional Land Prep. Labor</v>
      </c>
      <c r="C294" s="137" t="str">
        <f>'Inputs&amp;PricesbyCrop'!$C$14</f>
        <v>hour</v>
      </c>
      <c r="D294" s="166">
        <f>GeneralInputPrices!$D$30</f>
        <v>14.55</v>
      </c>
      <c r="E294" s="166">
        <f>'Inputs&amp;PricesbyCrop'!$D$14*BASEBUDGETS!$C$185</f>
        <v>0</v>
      </c>
      <c r="F294" s="166">
        <f t="shared" si="21"/>
        <v>0</v>
      </c>
      <c r="G294" s="166"/>
    </row>
    <row r="295" spans="2:9">
      <c r="B295" t="str">
        <f>'Inputs&amp;PricesbyCrop'!$B$15</f>
        <v>Additional Land Prep. Labor</v>
      </c>
      <c r="C295" s="137" t="str">
        <f>'Inputs&amp;PricesbyCrop'!$C$15</f>
        <v>hour</v>
      </c>
      <c r="D295" s="166">
        <f>GeneralInputPrices!$D$30</f>
        <v>14.55</v>
      </c>
      <c r="E295" s="166">
        <f>'Inputs&amp;PricesbyCrop'!$D$15*BASEBUDGETS!$C$185</f>
        <v>0</v>
      </c>
      <c r="F295" s="166">
        <f t="shared" si="21"/>
        <v>0</v>
      </c>
      <c r="G295" s="166"/>
    </row>
    <row r="296" spans="2:9">
      <c r="B296" t="str">
        <f>'Inputs&amp;PricesbyCrop'!$B$17</f>
        <v>Additional Crop Prod. Labor</v>
      </c>
      <c r="C296" s="137" t="str">
        <f>'Inputs&amp;PricesbyCrop'!$C$17</f>
        <v>hour</v>
      </c>
      <c r="D296" s="166">
        <f>GeneralInputPrices!$D$31</f>
        <v>14.55</v>
      </c>
      <c r="E296" s="166">
        <f>'Inputs&amp;PricesbyCrop'!$D$17*BASEBUDGETS!$C$185</f>
        <v>0</v>
      </c>
      <c r="F296" s="166">
        <f t="shared" si="21"/>
        <v>0</v>
      </c>
      <c r="G296" s="166"/>
    </row>
    <row r="297" spans="2:9">
      <c r="B297" t="str">
        <f>'Inputs&amp;PricesbyCrop'!$B$18</f>
        <v>Additional Crop Prod. Labor</v>
      </c>
      <c r="C297" s="137" t="str">
        <f>'Inputs&amp;PricesbyCrop'!$C$18</f>
        <v>hour</v>
      </c>
      <c r="D297" s="166">
        <f>GeneralInputPrices!$D$31</f>
        <v>14.55</v>
      </c>
      <c r="E297" s="166">
        <f>'Inputs&amp;PricesbyCrop'!$D$18*BASEBUDGETS!$C$185</f>
        <v>0</v>
      </c>
      <c r="F297" s="166">
        <f t="shared" si="21"/>
        <v>0</v>
      </c>
      <c r="G297" s="166"/>
    </row>
    <row r="298" spans="2:9">
      <c r="B298" t="str">
        <f>'Inputs&amp;PricesbyCrop'!$B$20</f>
        <v>Additional Harvest Labor</v>
      </c>
      <c r="C298" s="137" t="str">
        <f>'Inputs&amp;PricesbyCrop'!$C$20</f>
        <v>hour</v>
      </c>
      <c r="D298" s="166">
        <f>GeneralInputPrices!$D$32</f>
        <v>17.89</v>
      </c>
      <c r="E298" s="166">
        <f>'Inputs&amp;PricesbyCrop'!$D$20*BASEBUDGETS!$C$185</f>
        <v>0</v>
      </c>
      <c r="F298" s="166">
        <f t="shared" si="21"/>
        <v>0</v>
      </c>
      <c r="G298" s="166"/>
    </row>
    <row r="299" spans="2:9">
      <c r="B299" t="str">
        <f>'Inputs&amp;PricesbyCrop'!$B$21</f>
        <v>Additional Harvest Labor</v>
      </c>
      <c r="C299" s="137" t="str">
        <f>'Inputs&amp;PricesbyCrop'!$C$21</f>
        <v>hour</v>
      </c>
      <c r="D299" s="166">
        <f>GeneralInputPrices!$D$32</f>
        <v>17.89</v>
      </c>
      <c r="E299" s="166">
        <f>'Inputs&amp;PricesbyCrop'!$D$21*BASEBUDGETS!$C$185</f>
        <v>0</v>
      </c>
      <c r="F299" s="166">
        <f t="shared" si="21"/>
        <v>0</v>
      </c>
      <c r="G299" s="166"/>
    </row>
    <row r="300" spans="2:9">
      <c r="B300" t="s">
        <v>59</v>
      </c>
      <c r="C300" s="137" t="str">
        <f>GeneralInputPrices!$C$34</f>
        <v>percent</v>
      </c>
      <c r="D300" s="138">
        <f>GeneralInputPrices!$D$34</f>
        <v>0.05</v>
      </c>
      <c r="E300" s="75" t="s">
        <v>10</v>
      </c>
      <c r="F300" s="37">
        <f>SUM(F194:F299)*D300</f>
        <v>4694.9106202392568</v>
      </c>
      <c r="G300" s="166">
        <f>SUM(F194:F299)</f>
        <v>93898.212404785139</v>
      </c>
    </row>
    <row r="301" spans="2:9">
      <c r="B301" t="s">
        <v>60</v>
      </c>
      <c r="C301" s="137" t="str">
        <f>GeneralInputPrices!$C$34</f>
        <v>percent</v>
      </c>
      <c r="D301" s="138">
        <f>GeneralInputPrices!$D$35</f>
        <v>0.06</v>
      </c>
      <c r="F301" s="139">
        <f>SUM(F194:F300)*((D301/12)*GeneralInputPrices!$D$39)</f>
        <v>2957.7936907507319</v>
      </c>
      <c r="G301" s="166">
        <f>G300/25</f>
        <v>3755.9284961914054</v>
      </c>
    </row>
    <row r="302" spans="2:9">
      <c r="B302" t="s">
        <v>61</v>
      </c>
      <c r="D302" s="454"/>
      <c r="F302" s="37">
        <f>SUM(F194:F301)</f>
        <v>101550.91671577512</v>
      </c>
      <c r="G302" s="37">
        <f>F302/25</f>
        <v>4062.0366686310049</v>
      </c>
      <c r="I302">
        <f>F302/C$185</f>
        <v>677.00611143850085</v>
      </c>
    </row>
    <row r="303" spans="2:9">
      <c r="D303" s="454"/>
    </row>
    <row r="304" spans="2:9">
      <c r="B304" s="140" t="s">
        <v>129</v>
      </c>
      <c r="C304" s="458" t="s">
        <v>1</v>
      </c>
      <c r="D304" s="459" t="s">
        <v>24</v>
      </c>
      <c r="E304" s="460" t="s">
        <v>25</v>
      </c>
      <c r="F304" s="460" t="s">
        <v>0</v>
      </c>
      <c r="G304" s="277"/>
    </row>
    <row r="305" spans="2:7">
      <c r="B305" t="str">
        <f>GeneralInputPrices!$B$15&amp;" - Upfront Costs for New System"</f>
        <v>Flood - Upfront Costs for New System</v>
      </c>
      <c r="C305" s="453" t="str">
        <f>GeneralInputPrices!$C$16</f>
        <v>acre</v>
      </c>
      <c r="D305">
        <f>IF('BreakevenInputs&amp;Resources'!T$16=0,0,(('BreakevenInputs&amp;Resources'!T$16/GeneralInputPrices!$D$17)*('AcresYieldsPrices&amp;Water'!$Q$28/'AcresYieldsPrices&amp;Water'!$Q$31))/$C185)</f>
        <v>0</v>
      </c>
      <c r="E305" s="166">
        <f>$C185</f>
        <v>150</v>
      </c>
      <c r="F305" s="166">
        <f>D305*E305</f>
        <v>0</v>
      </c>
      <c r="G305" s="163"/>
    </row>
    <row r="306" spans="2:7">
      <c r="B306" t="str">
        <f>GeneralInputPrices!$B$19&amp;" - Upfront Costs for New System"</f>
        <v>Drip-tape - Upfront Costs for New System</v>
      </c>
      <c r="C306" s="453" t="str">
        <f>GeneralInputPrices!$C$20</f>
        <v>acre</v>
      </c>
      <c r="D306">
        <f>IF('BreakevenInputs&amp;Resources'!T$17=0,0,(('BreakevenInputs&amp;Resources'!T$17/GeneralInputPrices!$D$21)*('AcresYieldsPrices&amp;Water'!$Q$28/'AcresYieldsPrices&amp;Water'!$Q$31))/$C185)</f>
        <v>0</v>
      </c>
      <c r="E306" s="166">
        <f>$C185</f>
        <v>150</v>
      </c>
      <c r="F306" s="166">
        <f>D306*E306</f>
        <v>0</v>
      </c>
      <c r="G306" s="163"/>
    </row>
    <row r="307" spans="2:7">
      <c r="B307" t="str">
        <f>GeneralInputPrices!$B$23&amp;" - Upfront Costs for New System"</f>
        <v>Sprinkler - Upfront Costs for New System</v>
      </c>
      <c r="C307" s="453" t="str">
        <f>GeneralInputPrices!$C$24</f>
        <v>acre</v>
      </c>
      <c r="D307">
        <f>IF('BreakevenInputs&amp;Resources'!T$18=0,0,(('BreakevenInputs&amp;Resources'!T$18/GeneralInputPrices!$D$25)*('AcresYieldsPrices&amp;Water'!$Q$28/'AcresYieldsPrices&amp;Water'!$Q$31))/$C185)</f>
        <v>0</v>
      </c>
      <c r="E307" s="166">
        <f>$C185</f>
        <v>150</v>
      </c>
      <c r="F307" s="166">
        <f>D307*E307</f>
        <v>0</v>
      </c>
      <c r="G307" s="163"/>
    </row>
    <row r="308" spans="2:7">
      <c r="B308" s="463" t="str">
        <f>TillageOperations!$B$7</f>
        <v>V-Ripper</v>
      </c>
      <c r="C308" s="464" t="s">
        <v>157</v>
      </c>
      <c r="D308" s="166">
        <f>PubMachineryTables!$AO$49</f>
        <v>209.18701372031111</v>
      </c>
      <c r="E308" s="166">
        <f>E237</f>
        <v>150</v>
      </c>
      <c r="F308" s="168">
        <f t="shared" ref="F308:F319" si="22">D308*E308</f>
        <v>31378.052058046665</v>
      </c>
      <c r="G308" s="168"/>
    </row>
    <row r="309" spans="2:7">
      <c r="B309" s="463" t="str">
        <f>TillageOperations!$B$8</f>
        <v>Offset Disk</v>
      </c>
      <c r="C309" s="464" t="s">
        <v>157</v>
      </c>
      <c r="D309" s="166">
        <f>PubMachineryTables!$AO$50</f>
        <v>42.467441655558019</v>
      </c>
      <c r="E309" s="166">
        <f>E239</f>
        <v>322.5</v>
      </c>
      <c r="F309" s="166">
        <f t="shared" si="22"/>
        <v>13695.749933917461</v>
      </c>
      <c r="G309" s="166"/>
    </row>
    <row r="310" spans="2:7">
      <c r="B310" s="463" t="str">
        <f>TillageOperations!$B$9</f>
        <v>Drag</v>
      </c>
      <c r="C310" s="464" t="s">
        <v>157</v>
      </c>
      <c r="D310" s="166">
        <f>PubMachineryTables!$AO$51</f>
        <v>0</v>
      </c>
      <c r="E310" s="166">
        <f>E241</f>
        <v>0</v>
      </c>
      <c r="F310" s="166">
        <f t="shared" si="22"/>
        <v>0</v>
      </c>
      <c r="G310" s="166"/>
    </row>
    <row r="311" spans="2:7">
      <c r="B311" s="463" t="str">
        <f>TillageOperations!$B$10</f>
        <v>Chisel</v>
      </c>
      <c r="C311" s="464" t="s">
        <v>157</v>
      </c>
      <c r="D311" s="166">
        <f>PubMachineryTables!$AO$52</f>
        <v>40.724752902248241</v>
      </c>
      <c r="E311" s="166">
        <f>E243</f>
        <v>0</v>
      </c>
      <c r="F311" s="166">
        <f t="shared" si="22"/>
        <v>0</v>
      </c>
      <c r="G311" s="166"/>
    </row>
    <row r="312" spans="2:7">
      <c r="B312" s="463" t="str">
        <f>TillageOperations!$B$11</f>
        <v>Moldboard Plow</v>
      </c>
      <c r="C312" s="464" t="s">
        <v>157</v>
      </c>
      <c r="D312" s="166">
        <f>PubMachineryTables!$AO$53</f>
        <v>0</v>
      </c>
      <c r="E312" s="166">
        <f>E245</f>
        <v>0</v>
      </c>
      <c r="F312" s="166">
        <f t="shared" si="22"/>
        <v>0</v>
      </c>
      <c r="G312" s="166"/>
    </row>
    <row r="313" spans="2:7">
      <c r="B313" s="463" t="str">
        <f>TillageOperations!$B$12</f>
        <v>Cultivator</v>
      </c>
      <c r="C313" s="464" t="s">
        <v>157</v>
      </c>
      <c r="D313" s="166">
        <f>PubMachineryTables!$AO$54</f>
        <v>0</v>
      </c>
      <c r="E313" s="166">
        <f>E247</f>
        <v>0</v>
      </c>
      <c r="F313" s="166">
        <f t="shared" si="22"/>
        <v>0</v>
      </c>
      <c r="G313" s="166"/>
    </row>
    <row r="314" spans="2:7">
      <c r="B314" s="463" t="str">
        <f>TillageOperations!$B$13</f>
        <v>Landplane</v>
      </c>
      <c r="C314" s="464" t="s">
        <v>157</v>
      </c>
      <c r="D314" s="166">
        <f>PubMachineryTables!$AO$55</f>
        <v>107.77752986339607</v>
      </c>
      <c r="E314" s="166">
        <f>E249</f>
        <v>150</v>
      </c>
      <c r="F314" s="166">
        <f t="shared" si="22"/>
        <v>16166.629479509411</v>
      </c>
      <c r="G314" s="166"/>
    </row>
    <row r="315" spans="2:7">
      <c r="B315" s="463" t="str">
        <f>TillageOperations!$B$14</f>
        <v>Float</v>
      </c>
      <c r="C315" s="464" t="s">
        <v>157</v>
      </c>
      <c r="D315" s="166">
        <f>PubMachineryTables!$AO$56</f>
        <v>0</v>
      </c>
      <c r="E315" s="166">
        <f>E251</f>
        <v>0</v>
      </c>
      <c r="F315" s="166">
        <f t="shared" si="22"/>
        <v>0</v>
      </c>
      <c r="G315" s="166"/>
    </row>
    <row r="316" spans="2:7">
      <c r="B316" s="463" t="str">
        <f>TillageOperations!$B$15</f>
        <v>Lister</v>
      </c>
      <c r="C316" s="464" t="s">
        <v>157</v>
      </c>
      <c r="D316" s="166">
        <f>PubMachineryTables!$AO$57</f>
        <v>72.676050764764099</v>
      </c>
      <c r="E316" s="166">
        <f>E253</f>
        <v>150</v>
      </c>
      <c r="F316" s="166">
        <f t="shared" si="22"/>
        <v>10901.407614714615</v>
      </c>
      <c r="G316" s="166"/>
    </row>
    <row r="317" spans="2:7">
      <c r="B317" s="463" t="str">
        <f>TillageOperations!$B$16</f>
        <v>Bed Shaper</v>
      </c>
      <c r="C317" s="464" t="s">
        <v>157</v>
      </c>
      <c r="D317" s="166">
        <f>PubMachineryTables!$AO$58</f>
        <v>50.420091551988918</v>
      </c>
      <c r="E317" s="166">
        <f>E255</f>
        <v>150</v>
      </c>
      <c r="F317" s="166">
        <f t="shared" si="22"/>
        <v>7563.0137327983375</v>
      </c>
      <c r="G317" s="166"/>
    </row>
    <row r="318" spans="2:7">
      <c r="B318" s="463" t="str">
        <f>TillageOperations!$B$19</f>
        <v>Row Planter</v>
      </c>
      <c r="C318" s="464" t="s">
        <v>157</v>
      </c>
      <c r="D318" s="166">
        <f>PubMachineryTables!$AO$60</f>
        <v>218.60367298033367</v>
      </c>
      <c r="E318" s="166">
        <f>E257</f>
        <v>150</v>
      </c>
      <c r="F318" s="166">
        <f t="shared" si="22"/>
        <v>32790.550947050047</v>
      </c>
      <c r="G318" s="166"/>
    </row>
    <row r="319" spans="2:7">
      <c r="B319" s="463" t="str">
        <f>TillageOperations!$B$20</f>
        <v>Row Cultivator</v>
      </c>
      <c r="C319" s="464" t="s">
        <v>157</v>
      </c>
      <c r="D319" s="166">
        <f>PubMachineryTables!$AO$61</f>
        <v>74.064902712939798</v>
      </c>
      <c r="E319" s="166">
        <f>E259</f>
        <v>300</v>
      </c>
      <c r="F319" s="166">
        <f t="shared" si="22"/>
        <v>22219.470813881941</v>
      </c>
      <c r="G319" s="166"/>
    </row>
    <row r="320" spans="2:7">
      <c r="B320" s="465" t="str">
        <f>TillageOperations!$B$21</f>
        <v>Drill</v>
      </c>
      <c r="C320" s="464" t="s">
        <v>157</v>
      </c>
      <c r="D320" s="166">
        <f>PubMachineryTables!$AO$62</f>
        <v>51.837941761576523</v>
      </c>
      <c r="E320" s="166">
        <f>E261</f>
        <v>0</v>
      </c>
      <c r="F320" s="166">
        <f t="shared" ref="F320:F324" si="23">D320*E320</f>
        <v>0</v>
      </c>
      <c r="G320" s="166"/>
    </row>
    <row r="321" spans="2:7">
      <c r="B321" s="463" t="str">
        <f>TillageOperations!$B$27</f>
        <v>Cotton Picker</v>
      </c>
      <c r="C321" s="464" t="s">
        <v>157</v>
      </c>
      <c r="D321" s="166">
        <f>PubMachineryTables!$AO$67</f>
        <v>0</v>
      </c>
      <c r="E321" s="166">
        <f>E263</f>
        <v>0</v>
      </c>
      <c r="F321" s="166">
        <f t="shared" si="23"/>
        <v>0</v>
      </c>
      <c r="G321" s="166"/>
    </row>
    <row r="322" spans="2:7">
      <c r="B322" s="463" t="str">
        <f>TillageOperations!$B$28</f>
        <v>Module Unit</v>
      </c>
      <c r="C322" s="464" t="s">
        <v>157</v>
      </c>
      <c r="D322" s="166">
        <f>PubMachineryTables!$AO$68</f>
        <v>0</v>
      </c>
      <c r="E322" s="166">
        <f>E265</f>
        <v>0</v>
      </c>
      <c r="F322" s="166">
        <f t="shared" si="23"/>
        <v>0</v>
      </c>
      <c r="G322" s="166"/>
    </row>
    <row r="323" spans="2:7">
      <c r="B323" s="463" t="str">
        <f>TillageOperations!$B$29</f>
        <v>Haul Cotton</v>
      </c>
      <c r="C323" s="464" t="s">
        <v>157</v>
      </c>
      <c r="D323" s="166">
        <f>PubMachineryTables!$AO$69</f>
        <v>0</v>
      </c>
      <c r="E323" s="166">
        <f>E267</f>
        <v>0</v>
      </c>
      <c r="F323" s="166">
        <f t="shared" si="23"/>
        <v>0</v>
      </c>
      <c r="G323" s="166"/>
    </row>
    <row r="324" spans="2:7">
      <c r="B324" s="465" t="str">
        <f>TillageOperations!$B$17</f>
        <v>Cotton Shredder/Root Puller</v>
      </c>
      <c r="C324" s="464" t="s">
        <v>157</v>
      </c>
      <c r="D324" s="166">
        <f>PubMachineryTables!$AO$59</f>
        <v>0</v>
      </c>
      <c r="E324" s="166">
        <f>E269</f>
        <v>0</v>
      </c>
      <c r="F324" s="166">
        <f t="shared" si="23"/>
        <v>0</v>
      </c>
      <c r="G324" s="166"/>
    </row>
    <row r="325" spans="2:7">
      <c r="B325" s="102" t="str">
        <f>TillageOperations!$B$30</f>
        <v>Combine</v>
      </c>
      <c r="C325" s="464" t="s">
        <v>157</v>
      </c>
      <c r="D325" s="166">
        <f>PubMachineryTables!$AO$70</f>
        <v>154.43457969840463</v>
      </c>
      <c r="E325" s="166">
        <f>E271</f>
        <v>0</v>
      </c>
      <c r="F325" s="166">
        <f>D325*E325</f>
        <v>0</v>
      </c>
      <c r="G325" s="166"/>
    </row>
    <row r="326" spans="2:7">
      <c r="B326" s="102" t="str">
        <f>TillageOperations!$B$31</f>
        <v>Grain Cart</v>
      </c>
      <c r="C326" s="464" t="s">
        <v>157</v>
      </c>
      <c r="D326" s="166">
        <f>PubMachineryTables!$AO$71</f>
        <v>25.28843211678571</v>
      </c>
      <c r="E326" s="166">
        <f>E273</f>
        <v>0</v>
      </c>
      <c r="F326" s="166">
        <f>D326*E326</f>
        <v>0</v>
      </c>
      <c r="G326" s="166"/>
    </row>
    <row r="327" spans="2:7">
      <c r="B327" s="102" t="str">
        <f>TillageOperations!$B$32</f>
        <v>Swather</v>
      </c>
      <c r="C327" s="464" t="s">
        <v>157</v>
      </c>
      <c r="D327" s="166">
        <f>PubMachineryTables!$AO$72</f>
        <v>0</v>
      </c>
      <c r="E327" s="166">
        <f>E275</f>
        <v>0</v>
      </c>
      <c r="F327" s="166">
        <f t="shared" ref="F327:F335" si="24">D327*E327</f>
        <v>0</v>
      </c>
      <c r="G327" s="166"/>
    </row>
    <row r="328" spans="2:7">
      <c r="B328" s="102" t="str">
        <f>TillageOperations!$B$33</f>
        <v>Baler</v>
      </c>
      <c r="C328" s="464" t="s">
        <v>157</v>
      </c>
      <c r="D328" s="166">
        <f>PubMachineryTables!$AO$73</f>
        <v>0</v>
      </c>
      <c r="E328" s="166">
        <f>E277</f>
        <v>0</v>
      </c>
      <c r="F328" s="166">
        <f t="shared" si="24"/>
        <v>0</v>
      </c>
      <c r="G328" s="166"/>
    </row>
    <row r="329" spans="2:7">
      <c r="B329" s="102" t="str">
        <f>TillageOperations!$B$34</f>
        <v>Swather</v>
      </c>
      <c r="C329" s="464" t="s">
        <v>157</v>
      </c>
      <c r="D329" s="166">
        <f>PubMachineryTables!$AO$74</f>
        <v>0</v>
      </c>
      <c r="E329" s="166">
        <f>E279</f>
        <v>0</v>
      </c>
      <c r="F329" s="166">
        <f t="shared" si="24"/>
        <v>0</v>
      </c>
      <c r="G329" s="166"/>
    </row>
    <row r="330" spans="2:7">
      <c r="B330" s="102" t="str">
        <f>TillageOperations!$B$35</f>
        <v>Baler</v>
      </c>
      <c r="C330" s="464" t="s">
        <v>157</v>
      </c>
      <c r="D330" s="166">
        <f>PubMachineryTables!$AO$75</f>
        <v>0</v>
      </c>
      <c r="E330" s="166">
        <f>E281</f>
        <v>0</v>
      </c>
      <c r="F330" s="166">
        <f t="shared" si="24"/>
        <v>0</v>
      </c>
      <c r="G330" s="166"/>
    </row>
    <row r="331" spans="2:7">
      <c r="B331" s="102" t="str">
        <f>TillageOperations!$B$36</f>
        <v>Bale Wagon</v>
      </c>
      <c r="C331" s="464" t="s">
        <v>157</v>
      </c>
      <c r="D331" s="166">
        <f>PubMachineryTables!$AO$76</f>
        <v>0</v>
      </c>
      <c r="E331" s="166">
        <f>E284</f>
        <v>0</v>
      </c>
      <c r="F331" s="166">
        <f t="shared" si="24"/>
        <v>0</v>
      </c>
      <c r="G331" s="166"/>
    </row>
    <row r="332" spans="2:7">
      <c r="B332" s="102" t="str">
        <f>TillageOperations!$B$23</f>
        <v>Fertilizer Spreader</v>
      </c>
      <c r="C332" s="464" t="s">
        <v>157</v>
      </c>
      <c r="D332" s="166">
        <f>PubMachineryTables!$AO$64</f>
        <v>93.913865291400512</v>
      </c>
      <c r="E332" s="166">
        <f>E286</f>
        <v>150</v>
      </c>
      <c r="F332" s="166">
        <f t="shared" si="24"/>
        <v>14087.079793710076</v>
      </c>
      <c r="G332" s="166"/>
    </row>
    <row r="333" spans="2:7">
      <c r="B333" s="102" t="str">
        <f>TillageOperations!$B$24</f>
        <v>Fertilizer Injection System</v>
      </c>
      <c r="C333" s="464" t="s">
        <v>157</v>
      </c>
      <c r="D333" s="166">
        <f>PubMachineryTables!$AO$65</f>
        <v>0</v>
      </c>
      <c r="E333" s="166">
        <f>E288</f>
        <v>0</v>
      </c>
      <c r="F333" s="166">
        <f t="shared" si="24"/>
        <v>0</v>
      </c>
      <c r="G333" s="166"/>
    </row>
    <row r="334" spans="2:7">
      <c r="B334" s="102" t="str">
        <f>TillageOperations!$B$25</f>
        <v>Boom Sprayer</v>
      </c>
      <c r="C334" s="464" t="s">
        <v>157</v>
      </c>
      <c r="D334" s="166">
        <f>PubMachineryTables!$AO$66</f>
        <v>9.6826493425933542</v>
      </c>
      <c r="E334" s="166">
        <f>E290</f>
        <v>450</v>
      </c>
      <c r="F334" s="166">
        <f t="shared" si="24"/>
        <v>4357.1922041670095</v>
      </c>
      <c r="G334" s="166"/>
    </row>
    <row r="335" spans="2:7">
      <c r="B335" s="102" t="str">
        <f>TillageOperations!$B$22</f>
        <v>Transplanter</v>
      </c>
      <c r="C335" s="464" t="s">
        <v>157</v>
      </c>
      <c r="D335" s="166">
        <f>PubMachineryTables!$AO$63</f>
        <v>0</v>
      </c>
      <c r="E335" s="166">
        <f>E292</f>
        <v>0</v>
      </c>
      <c r="F335" s="166">
        <f t="shared" si="24"/>
        <v>0</v>
      </c>
      <c r="G335" s="166"/>
    </row>
    <row r="336" spans="2:7">
      <c r="B336" t="str">
        <f>'Inputs&amp;PricesbyCrop'!$B$39</f>
        <v>Crop Insurance</v>
      </c>
      <c r="C336" s="464" t="s">
        <v>157</v>
      </c>
      <c r="D336" s="166">
        <f>'Inputs&amp;PricesbyCrop'!$D$39</f>
        <v>0</v>
      </c>
      <c r="E336" s="169">
        <f t="shared" ref="E336:E341" si="25">$C$185</f>
        <v>150</v>
      </c>
      <c r="F336" s="166">
        <f>D336*E336</f>
        <v>0</v>
      </c>
      <c r="G336" s="166"/>
    </row>
    <row r="337" spans="2:9">
      <c r="B337" t="str">
        <f>'Inputs&amp;PricesbyCrop'!$B$40</f>
        <v>Property Insurance</v>
      </c>
      <c r="C337" s="464" t="s">
        <v>157</v>
      </c>
      <c r="D337" s="166">
        <f>'Inputs&amp;PricesbyCrop'!$D$40</f>
        <v>0</v>
      </c>
      <c r="E337" s="169">
        <f t="shared" si="25"/>
        <v>150</v>
      </c>
      <c r="F337" s="166">
        <f>D337*E337</f>
        <v>0</v>
      </c>
      <c r="G337" s="166"/>
    </row>
    <row r="338" spans="2:9">
      <c r="B338" t="str">
        <f>'Inputs&amp;PricesbyCrop'!$B$41</f>
        <v>Property Taxes</v>
      </c>
      <c r="C338" s="464" t="s">
        <v>157</v>
      </c>
      <c r="D338" s="166">
        <f>'Inputs&amp;PricesbyCrop'!$D$41</f>
        <v>0</v>
      </c>
      <c r="E338" s="169">
        <f t="shared" si="25"/>
        <v>150</v>
      </c>
      <c r="F338" s="166">
        <f t="shared" ref="F338:F341" si="26">D338*E338</f>
        <v>0</v>
      </c>
      <c r="G338" s="166"/>
    </row>
    <row r="339" spans="2:9">
      <c r="B339" t="str">
        <f>'Inputs&amp;PricesbyCrop'!$B$42</f>
        <v>Annual Cash Rent Payment</v>
      </c>
      <c r="C339" s="464" t="s">
        <v>157</v>
      </c>
      <c r="D339" s="166">
        <f>'Inputs&amp;PricesbyCrop'!$D$42</f>
        <v>170</v>
      </c>
      <c r="E339" s="169">
        <f t="shared" si="25"/>
        <v>150</v>
      </c>
      <c r="F339" s="166">
        <f t="shared" si="26"/>
        <v>25500</v>
      </c>
      <c r="G339" s="166"/>
    </row>
    <row r="340" spans="2:9">
      <c r="B340" t="s">
        <v>484</v>
      </c>
      <c r="C340" s="464" t="s">
        <v>157</v>
      </c>
      <c r="D340" s="166">
        <f>'Guayule Establishment'!I104</f>
        <v>0</v>
      </c>
      <c r="E340" s="169">
        <f t="shared" si="25"/>
        <v>150</v>
      </c>
      <c r="F340" s="166">
        <f t="shared" ref="F340" si="27">D340*E340</f>
        <v>0</v>
      </c>
      <c r="G340" s="166"/>
    </row>
    <row r="341" spans="2:9">
      <c r="B341" t="str">
        <f>'Inputs&amp;PricesbyCrop'!$B$49</f>
        <v>Licenses and Fees</v>
      </c>
      <c r="C341" s="464" t="s">
        <v>157</v>
      </c>
      <c r="D341" s="166">
        <f>'Inputs&amp;PricesbyCrop'!$D$49</f>
        <v>0</v>
      </c>
      <c r="E341" s="169">
        <f t="shared" si="25"/>
        <v>150</v>
      </c>
      <c r="F341" s="170">
        <f t="shared" si="26"/>
        <v>0</v>
      </c>
      <c r="G341" s="170"/>
    </row>
    <row r="342" spans="2:9">
      <c r="B342" t="s">
        <v>131</v>
      </c>
      <c r="D342" s="454"/>
      <c r="F342" s="37">
        <f>SUM(F305:F341)</f>
        <v>178659.14657779556</v>
      </c>
      <c r="G342" s="37"/>
      <c r="I342">
        <f>F342/C$185</f>
        <v>1191.0609771853037</v>
      </c>
    </row>
    <row r="343" spans="2:9">
      <c r="D343" s="454"/>
      <c r="F343" s="145" t="s">
        <v>10</v>
      </c>
      <c r="G343" s="145" t="s">
        <v>10</v>
      </c>
      <c r="H343" s="145" t="s">
        <v>10</v>
      </c>
    </row>
    <row r="344" spans="2:9">
      <c r="B344" t="s">
        <v>63</v>
      </c>
      <c r="D344" s="454"/>
      <c r="F344" s="37">
        <f>(F342+F302)*(1+'NewCrop&amp;WholeFarmNetReturns'!$B$10)</f>
        <v>280210.06329357065</v>
      </c>
      <c r="G344" s="37">
        <f>F344*(1+'NewCrop&amp;WholeFarmNetReturns'!$B$17)</f>
        <v>308231.06962292775</v>
      </c>
      <c r="H344" s="37">
        <f>F344*(1+'NewCrop&amp;WholeFarmNetReturns'!$B$24)</f>
        <v>252189.05696421358</v>
      </c>
      <c r="I344">
        <f>F344/C$185</f>
        <v>1868.0670886238042</v>
      </c>
    </row>
    <row r="345" spans="2:9">
      <c r="B345" t="s">
        <v>64</v>
      </c>
      <c r="D345" s="454"/>
      <c r="F345" s="37">
        <f>F191-F344</f>
        <v>-280210.06329357065</v>
      </c>
      <c r="G345" s="37">
        <f>F191-G344</f>
        <v>-308231.06962292775</v>
      </c>
      <c r="H345" s="37">
        <f>F191-H344</f>
        <v>-252189.05696421358</v>
      </c>
    </row>
    <row r="346" spans="2:9">
      <c r="B346" s="249" t="s">
        <v>276</v>
      </c>
      <c r="C346" s="249" t="s">
        <v>4</v>
      </c>
      <c r="D346" s="250" t="s">
        <v>277</v>
      </c>
      <c r="E346" s="249" t="s">
        <v>278</v>
      </c>
      <c r="F346" s="249" t="s">
        <v>279</v>
      </c>
      <c r="G346" s="249"/>
    </row>
    <row r="347" spans="2:9">
      <c r="B347" s="135" t="str">
        <f>'AcresYieldsPrices&amp;Water'!B4&amp;" Grow Year"</f>
        <v>Guayule Grow Year</v>
      </c>
      <c r="D347" s="454"/>
    </row>
    <row r="348" spans="2:9">
      <c r="B348" t="s">
        <v>16</v>
      </c>
      <c r="C348" s="457">
        <f>'AcresYieldsPrices&amp;Water'!D4</f>
        <v>150</v>
      </c>
      <c r="D348" s="454" t="s">
        <v>17</v>
      </c>
    </row>
    <row r="349" spans="2:9">
      <c r="D349" s="454"/>
    </row>
    <row r="350" spans="2:9">
      <c r="B350" t="s">
        <v>22</v>
      </c>
      <c r="D350" s="454"/>
    </row>
    <row r="351" spans="2:9">
      <c r="B351" s="455" t="s">
        <v>23</v>
      </c>
      <c r="C351" s="458" t="s">
        <v>1</v>
      </c>
      <c r="D351" s="459" t="s">
        <v>24</v>
      </c>
      <c r="E351" s="460" t="s">
        <v>25</v>
      </c>
      <c r="F351" s="460" t="s">
        <v>0</v>
      </c>
      <c r="G351" s="277"/>
    </row>
    <row r="352" spans="2:9">
      <c r="B352" t="str">
        <f>'AcresYieldsPrices&amp;Water'!J4</f>
        <v>Guayule Biomass</v>
      </c>
      <c r="C352" s="466" t="str">
        <f>'AcresYieldsPrices&amp;Water'!L4</f>
        <v>pound</v>
      </c>
      <c r="D352" s="454">
        <f>'AcresYieldsPrices&amp;Water'!$M$4</f>
        <v>0.08</v>
      </c>
      <c r="E352" s="462">
        <v>0</v>
      </c>
      <c r="F352" s="141">
        <f>D352*E352</f>
        <v>0</v>
      </c>
      <c r="G352" s="141"/>
    </row>
    <row r="353" spans="2:7">
      <c r="B353" t="str">
        <f>'AcresYieldsPrices&amp;Water'!J5</f>
        <v>Guayule Rubber Content</v>
      </c>
      <c r="C353" s="466" t="str">
        <f>'AcresYieldsPrices&amp;Water'!L5</f>
        <v>kilogram</v>
      </c>
      <c r="D353" s="454">
        <f>'AcresYieldsPrices&amp;Water'!$M$5</f>
        <v>0</v>
      </c>
      <c r="E353" s="462">
        <v>0</v>
      </c>
      <c r="F353" s="136">
        <f>D353*E353</f>
        <v>0</v>
      </c>
      <c r="G353" s="136"/>
    </row>
    <row r="354" spans="2:7">
      <c r="B354" t="s">
        <v>27</v>
      </c>
      <c r="D354" s="454"/>
      <c r="F354" s="37">
        <f>SUM(F352:F353)</f>
        <v>0</v>
      </c>
      <c r="G354" s="163">
        <f>F354/C$348</f>
        <v>0</v>
      </c>
    </row>
    <row r="355" spans="2:7">
      <c r="D355" s="454"/>
    </row>
    <row r="356" spans="2:7">
      <c r="B356" s="455" t="s">
        <v>33</v>
      </c>
      <c r="C356" s="458" t="s">
        <v>1</v>
      </c>
      <c r="D356" s="459" t="s">
        <v>24</v>
      </c>
      <c r="E356" s="460" t="s">
        <v>25</v>
      </c>
      <c r="F356" s="460" t="s">
        <v>0</v>
      </c>
      <c r="G356" s="277"/>
    </row>
    <row r="357" spans="2:7">
      <c r="B357" t="s">
        <v>195</v>
      </c>
      <c r="C357" s="137" t="str">
        <f>'Inputs&amp;PricesbyCrop'!C$72</f>
        <v>each</v>
      </c>
      <c r="D357" s="163">
        <f>'Inputs&amp;PricesbyCrop'!$E$5</f>
        <v>0</v>
      </c>
      <c r="E357" s="166">
        <f>'Inputs&amp;PricesbyCrop'!$E$6*$C$348</f>
        <v>0</v>
      </c>
      <c r="F357" s="163">
        <f t="shared" ref="F357" si="28">D357*E357</f>
        <v>0</v>
      </c>
      <c r="G357" s="163"/>
    </row>
    <row r="358" spans="2:7">
      <c r="B358" t="str">
        <f>GeneralInputPrices!$B$3</f>
        <v xml:space="preserve">   - Inoculant</v>
      </c>
      <c r="C358" s="137" t="str">
        <f>GeneralInputPrices!$C$3</f>
        <v>pounds</v>
      </c>
      <c r="D358" s="166">
        <f>GeneralInputPrices!$D$3</f>
        <v>3</v>
      </c>
      <c r="E358" s="166">
        <f>'Inputs&amp;PricesbyCrop'!$E$22*$C$348</f>
        <v>0</v>
      </c>
      <c r="F358" s="166">
        <f t="shared" ref="F358:F381" si="29">D358*E358</f>
        <v>0</v>
      </c>
      <c r="G358" s="166"/>
    </row>
    <row r="359" spans="2:7">
      <c r="B359" t="str">
        <f>GeneralInputPrices!B$5</f>
        <v xml:space="preserve">   - Nitrogen</v>
      </c>
      <c r="C359" s="137" t="str">
        <f>GeneralInputPrices!$C$5</f>
        <v>pounds</v>
      </c>
      <c r="D359" s="166">
        <f>GeneralInputPrices!$D$5</f>
        <v>0.46</v>
      </c>
      <c r="E359" s="166">
        <f>'Inputs&amp;PricesbyCrop'!$E$23*$C$348</f>
        <v>9000</v>
      </c>
      <c r="F359" s="166">
        <f t="shared" si="29"/>
        <v>4140</v>
      </c>
      <c r="G359" s="166"/>
    </row>
    <row r="360" spans="2:7">
      <c r="B360" t="str">
        <f>GeneralInputPrices!B$6</f>
        <v xml:space="preserve">   - Phosphorus</v>
      </c>
      <c r="C360" s="137" t="str">
        <f>GeneralInputPrices!$C$6</f>
        <v>pounds</v>
      </c>
      <c r="D360" s="166">
        <f>GeneralInputPrices!$D$6</f>
        <v>0.36</v>
      </c>
      <c r="E360" s="166">
        <f>'Inputs&amp;PricesbyCrop'!$E$24*$C$348</f>
        <v>0</v>
      </c>
      <c r="F360" s="166">
        <f t="shared" si="29"/>
        <v>0</v>
      </c>
      <c r="G360" s="166"/>
    </row>
    <row r="361" spans="2:7">
      <c r="B361" t="str">
        <f>GeneralInputPrices!B$7</f>
        <v xml:space="preserve">   - Anhydrous Ammonia</v>
      </c>
      <c r="C361" s="137" t="str">
        <f>GeneralInputPrices!$C$7</f>
        <v>pounds</v>
      </c>
      <c r="D361" s="166">
        <f>GeneralInputPrices!$D$7</f>
        <v>0.21</v>
      </c>
      <c r="E361" s="166">
        <f>'Inputs&amp;PricesbyCrop'!$E$25*$C$348</f>
        <v>0</v>
      </c>
      <c r="F361" s="166">
        <f t="shared" si="29"/>
        <v>0</v>
      </c>
      <c r="G361" s="166"/>
    </row>
    <row r="362" spans="2:7">
      <c r="B362" t="str">
        <f>GeneralInputPrices!$B$8</f>
        <v xml:space="preserve">   - Trace Elements</v>
      </c>
      <c r="C362" s="137" t="str">
        <f>GeneralInputPrices!$C$8</f>
        <v>pounds</v>
      </c>
      <c r="D362" s="166">
        <f>GeneralInputPrices!$D$8</f>
        <v>0.24</v>
      </c>
      <c r="E362" s="166">
        <f>'Inputs&amp;PricesbyCrop'!$E$26*$C$348</f>
        <v>0</v>
      </c>
      <c r="F362" s="166">
        <f t="shared" si="29"/>
        <v>0</v>
      </c>
      <c r="G362" s="166"/>
    </row>
    <row r="363" spans="2:7">
      <c r="B363" t="str">
        <f>'Inputs&amp;PricesbyCrop'!$B$32</f>
        <v xml:space="preserve">   - Nitrogen</v>
      </c>
      <c r="C363" s="137" t="str">
        <f>'Inputs&amp;PricesbyCrop'!$C$32</f>
        <v>acre</v>
      </c>
      <c r="D363" s="166">
        <f>'Inputs&amp;PricesbyCrop'!$E$32</f>
        <v>0</v>
      </c>
      <c r="E363" s="166">
        <f>$C$348</f>
        <v>150</v>
      </c>
      <c r="F363" s="166">
        <f t="shared" si="29"/>
        <v>0</v>
      </c>
      <c r="G363" s="166"/>
    </row>
    <row r="364" spans="2:7">
      <c r="B364" t="str">
        <f>'Inputs&amp;PricesbyCrop'!$B$33</f>
        <v xml:space="preserve">   - Phosphorus</v>
      </c>
      <c r="C364" s="137" t="str">
        <f>'Inputs&amp;PricesbyCrop'!$C$33</f>
        <v>acre</v>
      </c>
      <c r="D364" s="166">
        <f>'Inputs&amp;PricesbyCrop'!$E$33</f>
        <v>0</v>
      </c>
      <c r="E364" s="166">
        <f>$C$348</f>
        <v>150</v>
      </c>
      <c r="F364" s="166">
        <f t="shared" si="29"/>
        <v>0</v>
      </c>
      <c r="G364" s="166"/>
    </row>
    <row r="365" spans="2:7">
      <c r="B365" t="str">
        <f>'Inputs&amp;PricesbyCrop'!$B$34</f>
        <v xml:space="preserve">   - Fertilizer - Anhydrous Applicator</v>
      </c>
      <c r="C365" s="137" t="str">
        <f>'Inputs&amp;PricesbyCrop'!$C$34</f>
        <v>acre</v>
      </c>
      <c r="D365" s="166">
        <f>'Inputs&amp;PricesbyCrop'!$E$34</f>
        <v>0</v>
      </c>
      <c r="E365" s="166">
        <f>$C$348</f>
        <v>150</v>
      </c>
      <c r="F365" s="166">
        <f t="shared" si="29"/>
        <v>0</v>
      </c>
      <c r="G365" s="166"/>
    </row>
    <row r="366" spans="2:7">
      <c r="B366" t="str">
        <f>GeneralInputPrices!$B$10</f>
        <v xml:space="preserve">   - Prowl</v>
      </c>
      <c r="C366" s="137" t="str">
        <f>GeneralInputPrices!$C$10</f>
        <v>pints</v>
      </c>
      <c r="D366" s="166">
        <f>GeneralInputPrices!$D$10</f>
        <v>6.0625</v>
      </c>
      <c r="E366" s="166">
        <f>'Inputs&amp;PricesbyCrop'!$E$27*$C$348</f>
        <v>375</v>
      </c>
      <c r="F366" s="166">
        <f t="shared" si="29"/>
        <v>2273.4375</v>
      </c>
      <c r="G366" s="166"/>
    </row>
    <row r="367" spans="2:7">
      <c r="B367" t="str">
        <f>GeneralInputPrices!$B$11</f>
        <v xml:space="preserve">   - Aim</v>
      </c>
      <c r="C367" s="137" t="str">
        <f>GeneralInputPrices!$C$11</f>
        <v>ounces</v>
      </c>
      <c r="D367" s="166">
        <f>GeneralInputPrices!$D$11</f>
        <v>5.9375</v>
      </c>
      <c r="E367" s="166">
        <f>'Inputs&amp;PricesbyCrop'!$E$28*$C$348</f>
        <v>180</v>
      </c>
      <c r="F367" s="166">
        <f t="shared" si="29"/>
        <v>1068.75</v>
      </c>
      <c r="G367" s="166"/>
    </row>
    <row r="368" spans="2:7">
      <c r="B368" t="str">
        <f>GeneralInputPrices!$B$12</f>
        <v xml:space="preserve">   - Fusilade</v>
      </c>
      <c r="C368" s="137" t="str">
        <f>GeneralInputPrices!$C$12</f>
        <v>ounces</v>
      </c>
      <c r="D368" s="166">
        <f>GeneralInputPrices!$D$12</f>
        <v>1.25</v>
      </c>
      <c r="E368" s="166">
        <f>'Inputs&amp;PricesbyCrop'!$E$29*$C$348</f>
        <v>3000</v>
      </c>
      <c r="F368" s="166">
        <f t="shared" si="29"/>
        <v>3750</v>
      </c>
      <c r="G368" s="166"/>
    </row>
    <row r="369" spans="2:7">
      <c r="B369" t="str">
        <f>'Inputs&amp;PricesbyCrop'!$B$35</f>
        <v xml:space="preserve">   - Herbicides</v>
      </c>
      <c r="C369" s="137" t="str">
        <f>'Inputs&amp;PricesbyCrop'!$C$35</f>
        <v>acre</v>
      </c>
      <c r="D369" s="166">
        <f>'Inputs&amp;PricesbyCrop'!$E$35</f>
        <v>0</v>
      </c>
      <c r="E369" s="166">
        <f>$C$348</f>
        <v>150</v>
      </c>
      <c r="F369" s="166">
        <f t="shared" si="29"/>
        <v>0</v>
      </c>
      <c r="G369" s="166"/>
    </row>
    <row r="370" spans="2:7">
      <c r="B370" t="str">
        <f>'Inputs&amp;PricesbyCrop'!$B$36</f>
        <v xml:space="preserve">   - Herbicide - #2</v>
      </c>
      <c r="C370" s="137" t="str">
        <f>'Inputs&amp;PricesbyCrop'!$C$36</f>
        <v>acre</v>
      </c>
      <c r="D370" s="166">
        <f>'Inputs&amp;PricesbyCrop'!$E$36</f>
        <v>0</v>
      </c>
      <c r="E370" s="166">
        <f>$C$348</f>
        <v>150</v>
      </c>
      <c r="F370" s="166">
        <f t="shared" si="29"/>
        <v>0</v>
      </c>
      <c r="G370" s="166"/>
    </row>
    <row r="371" spans="2:7">
      <c r="B371" t="str">
        <f>'Inputs&amp;PricesbyCrop'!$B$37</f>
        <v xml:space="preserve">   - Insecticides</v>
      </c>
      <c r="C371" s="137" t="str">
        <f>'Inputs&amp;PricesbyCrop'!$C$37</f>
        <v>acre</v>
      </c>
      <c r="D371" s="166">
        <f>'Inputs&amp;PricesbyCrop'!$E$37</f>
        <v>0</v>
      </c>
      <c r="E371" s="166">
        <f>$C$348</f>
        <v>150</v>
      </c>
      <c r="F371" s="166">
        <f t="shared" si="29"/>
        <v>0</v>
      </c>
      <c r="G371" s="166"/>
    </row>
    <row r="372" spans="2:7">
      <c r="B372" t="str">
        <f>'Inputs&amp;PricesbyCrop'!$B$38</f>
        <v xml:space="preserve">   - Insecticide - #2</v>
      </c>
      <c r="C372" s="137" t="str">
        <f>'Inputs&amp;PricesbyCrop'!$C$38</f>
        <v>acre</v>
      </c>
      <c r="D372" s="166">
        <f>'Inputs&amp;PricesbyCrop'!$E$38</f>
        <v>0</v>
      </c>
      <c r="E372" s="166">
        <f>$C$348</f>
        <v>150</v>
      </c>
      <c r="F372" s="166">
        <f t="shared" si="29"/>
        <v>0</v>
      </c>
      <c r="G372" s="166"/>
    </row>
    <row r="373" spans="2:7">
      <c r="B373" t="str">
        <f>'Inputs&amp;PricesbyCrop'!$B$7</f>
        <v>Flood - Irrigation Water</v>
      </c>
      <c r="C373" s="137" t="str">
        <f>'Inputs&amp;PricesbyCrop'!$C$7</f>
        <v>ac ft</v>
      </c>
      <c r="D373" s="166">
        <f>GeneralInputPrices!$D$13</f>
        <v>55</v>
      </c>
      <c r="E373" s="102">
        <f>('AcresYieldsPrices&amp;Water'!$E$4*'Inputs&amp;PricesbyCrop'!$E$7)*$C348</f>
        <v>500</v>
      </c>
      <c r="F373" s="166">
        <f t="shared" si="29"/>
        <v>27500</v>
      </c>
      <c r="G373" s="166"/>
    </row>
    <row r="374" spans="2:7">
      <c r="B374" t="str">
        <f>'Inputs&amp;PricesbyCrop'!$B$8</f>
        <v>Flood - Irrigation Labor</v>
      </c>
      <c r="C374" s="137" t="str">
        <f>'Inputs&amp;PricesbyCrop'!$C$8</f>
        <v>hour</v>
      </c>
      <c r="D374" s="166">
        <f>GeneralInputPrices!$D$28</f>
        <v>14.55</v>
      </c>
      <c r="E374" s="166">
        <f>('AcresYieldsPrices&amp;Water'!$E$4*'Inputs&amp;PricesbyCrop'!$E$8)*$C348</f>
        <v>500</v>
      </c>
      <c r="F374" s="166">
        <f t="shared" si="29"/>
        <v>7275</v>
      </c>
      <c r="G374" s="166"/>
    </row>
    <row r="375" spans="2:7">
      <c r="B375" t="str">
        <f>GeneralInputPrices!$B$18</f>
        <v xml:space="preserve">   - Annual Repairs &amp; Maintenance</v>
      </c>
      <c r="C375" s="453" t="str">
        <f>GeneralInputPrices!$C$18</f>
        <v>acre</v>
      </c>
      <c r="D375" s="166">
        <f>GeneralInputPrices!$D$18</f>
        <v>3</v>
      </c>
      <c r="E375" s="166">
        <f>'AcresYieldsPrices&amp;Water'!$E$4*$C348</f>
        <v>150</v>
      </c>
      <c r="F375" s="166">
        <f t="shared" si="29"/>
        <v>450</v>
      </c>
      <c r="G375" s="166"/>
    </row>
    <row r="376" spans="2:7">
      <c r="B376" t="str">
        <f>'Inputs&amp;PricesbyCrop'!$B$9</f>
        <v>Drip-tape - Irrigation Water</v>
      </c>
      <c r="C376" s="137" t="str">
        <f>'Inputs&amp;PricesbyCrop'!$C$9</f>
        <v>ac ft</v>
      </c>
      <c r="D376" s="166">
        <f>GeneralInputPrices!$D$13</f>
        <v>55</v>
      </c>
      <c r="E376" s="166">
        <f>('AcresYieldsPrices&amp;Water'!$F$4*'Inputs&amp;PricesbyCrop'!$E$9)*$C348</f>
        <v>0</v>
      </c>
      <c r="F376" s="166">
        <f t="shared" si="29"/>
        <v>0</v>
      </c>
      <c r="G376" s="166"/>
    </row>
    <row r="377" spans="2:7">
      <c r="B377" t="str">
        <f>'Inputs&amp;PricesbyCrop'!$B$10</f>
        <v>Drip-tape - Irrigation Labor</v>
      </c>
      <c r="C377" s="137" t="str">
        <f>'Inputs&amp;PricesbyCrop'!$C$10</f>
        <v>hour</v>
      </c>
      <c r="D377" s="166">
        <f>GeneralInputPrices!$D$28</f>
        <v>14.55</v>
      </c>
      <c r="E377" s="166">
        <f>('AcresYieldsPrices&amp;Water'!$F$4*'Inputs&amp;PricesbyCrop'!$E$10)*$C348</f>
        <v>0</v>
      </c>
      <c r="F377" s="166">
        <f t="shared" si="29"/>
        <v>0</v>
      </c>
      <c r="G377" s="166"/>
    </row>
    <row r="378" spans="2:7">
      <c r="B378" t="str">
        <f>GeneralInputPrices!$B$22</f>
        <v xml:space="preserve">   - Annual Repairs &amp; Maintenance</v>
      </c>
      <c r="C378" s="453" t="str">
        <f>GeneralInputPrices!$C$22</f>
        <v>acre</v>
      </c>
      <c r="D378" s="166">
        <f>GeneralInputPrices!$D$22</f>
        <v>7.5</v>
      </c>
      <c r="E378" s="166">
        <f>'AcresYieldsPrices&amp;Water'!$F$4*C348</f>
        <v>0</v>
      </c>
      <c r="F378" s="166">
        <f t="shared" si="29"/>
        <v>0</v>
      </c>
      <c r="G378" s="166"/>
    </row>
    <row r="379" spans="2:7">
      <c r="B379" t="str">
        <f>'Inputs&amp;PricesbyCrop'!$B$11</f>
        <v>Sprinkler - Irrigation Water</v>
      </c>
      <c r="C379" s="137" t="str">
        <f>'Inputs&amp;PricesbyCrop'!$C$11</f>
        <v>ac ft</v>
      </c>
      <c r="D379" s="166">
        <f>GeneralInputPrices!$D$13</f>
        <v>55</v>
      </c>
      <c r="E379" s="166">
        <f>('AcresYieldsPrices&amp;Water'!$G$4*'Inputs&amp;PricesbyCrop'!$E$11)*$C348</f>
        <v>0</v>
      </c>
      <c r="F379" s="166">
        <f t="shared" si="29"/>
        <v>0</v>
      </c>
      <c r="G379" s="166"/>
    </row>
    <row r="380" spans="2:7">
      <c r="B380" t="str">
        <f>'Inputs&amp;PricesbyCrop'!$B$12</f>
        <v>Sprinkler - Irrigation Labor</v>
      </c>
      <c r="C380" s="137" t="str">
        <f>'Inputs&amp;PricesbyCrop'!$C$12</f>
        <v>hour</v>
      </c>
      <c r="D380" s="166">
        <f>GeneralInputPrices!$D$28</f>
        <v>14.55</v>
      </c>
      <c r="E380" s="166">
        <f>('AcresYieldsPrices&amp;Water'!$G$4*'Inputs&amp;PricesbyCrop'!$E$12)*$C348</f>
        <v>0</v>
      </c>
      <c r="F380" s="166">
        <f t="shared" si="29"/>
        <v>0</v>
      </c>
      <c r="G380" s="166"/>
    </row>
    <row r="381" spans="2:7">
      <c r="B381" t="str">
        <f>GeneralInputPrices!$B$26</f>
        <v xml:space="preserve">   - Annual Repairs &amp; Maintenance</v>
      </c>
      <c r="C381" s="453" t="str">
        <f>GeneralInputPrices!$C$26</f>
        <v>acre</v>
      </c>
      <c r="D381" s="166">
        <f>GeneralInputPrices!$D$26</f>
        <v>15</v>
      </c>
      <c r="E381" s="166">
        <f>'AcresYieldsPrices&amp;Water'!$G$4*$C348</f>
        <v>0</v>
      </c>
      <c r="F381" s="166">
        <f t="shared" si="29"/>
        <v>0</v>
      </c>
      <c r="G381" s="166"/>
    </row>
    <row r="382" spans="2:7">
      <c r="B382" t="str">
        <f>CustomOperations!$B$37</f>
        <v>Harvest, Custom</v>
      </c>
      <c r="C382" s="137" t="str">
        <f>CustomOperations!$C$37</f>
        <v>acre</v>
      </c>
      <c r="D382" s="166">
        <f>CustomOperations!$E$37</f>
        <v>0</v>
      </c>
      <c r="E382" s="166">
        <f>CustomOperations!$E$38*$C$348</f>
        <v>0</v>
      </c>
      <c r="F382" s="166">
        <f t="shared" ref="F382:F396" si="30">D382*E382</f>
        <v>0</v>
      </c>
      <c r="G382" s="166"/>
    </row>
    <row r="383" spans="2:7">
      <c r="B383" t="str">
        <f>CustomOperations!$B$39</f>
        <v>Hauling, Custom</v>
      </c>
      <c r="C383" s="137" t="str">
        <f>CustomOperations!$C$39</f>
        <v>mile</v>
      </c>
      <c r="D383" s="166">
        <f>CustomOperations!$E$39</f>
        <v>0</v>
      </c>
      <c r="E383" s="166">
        <f>CustomOperations!$E$40*$C$348</f>
        <v>0</v>
      </c>
      <c r="F383" s="166">
        <f t="shared" si="30"/>
        <v>0</v>
      </c>
      <c r="G383" s="166"/>
    </row>
    <row r="384" spans="2:7">
      <c r="B384" t="str">
        <f>CustomOperations!$B$41</f>
        <v>Gin Cotton/Drying/Swathing, Custom</v>
      </c>
      <c r="C384" s="137" t="str">
        <f>CustomOperations!$C$41</f>
        <v>bale</v>
      </c>
      <c r="D384" s="166">
        <f>CustomOperations!$E$41</f>
        <v>0</v>
      </c>
      <c r="E384" s="166">
        <f>CustomOperations!$E$42*$C$348</f>
        <v>0</v>
      </c>
      <c r="F384" s="166">
        <f t="shared" si="30"/>
        <v>0</v>
      </c>
      <c r="G384" s="166"/>
    </row>
    <row r="385" spans="2:7">
      <c r="B385" t="str">
        <f>CustomOperations!$B$24</f>
        <v>Drill, Custom</v>
      </c>
      <c r="C385" s="137" t="str">
        <f>CustomOperations!$C$24</f>
        <v>acre</v>
      </c>
      <c r="D385" s="166">
        <f>CustomOperations!$E$24</f>
        <v>0</v>
      </c>
      <c r="E385" s="166">
        <f>CustomOperations!$E$25*$C$348</f>
        <v>0</v>
      </c>
      <c r="F385" s="166">
        <f t="shared" si="30"/>
        <v>0</v>
      </c>
      <c r="G385" s="166"/>
    </row>
    <row r="386" spans="2:7">
      <c r="B386" t="str">
        <f>CustomOperations!$B$26</f>
        <v>Row Planter, Custom</v>
      </c>
      <c r="C386" s="137" t="str">
        <f>CustomOperations!$C$26</f>
        <v>acre</v>
      </c>
      <c r="D386" s="166">
        <f>CustomOperations!$E$26</f>
        <v>0</v>
      </c>
      <c r="E386" s="166">
        <f>CustomOperations!$E$27*$C$348</f>
        <v>0</v>
      </c>
      <c r="F386" s="166">
        <f t="shared" si="30"/>
        <v>0</v>
      </c>
      <c r="G386" s="166"/>
    </row>
    <row r="387" spans="2:7">
      <c r="B387" t="str">
        <f>CustomOperations!$B$28</f>
        <v>Row Cultivator, Custom</v>
      </c>
      <c r="C387" s="137" t="str">
        <f>CustomOperations!$C$28</f>
        <v>acre</v>
      </c>
      <c r="D387" s="166">
        <f>CustomOperations!$E$28</f>
        <v>0</v>
      </c>
      <c r="E387" s="166">
        <f>CustomOperations!$E$29*$C$348</f>
        <v>0</v>
      </c>
      <c r="F387" s="166">
        <f t="shared" si="30"/>
        <v>0</v>
      </c>
      <c r="G387" s="166"/>
    </row>
    <row r="388" spans="2:7">
      <c r="B388" t="str">
        <f>CustomOperations!$B$5</f>
        <v>V Ripper, Custom</v>
      </c>
      <c r="C388" s="137" t="str">
        <f>CustomOperations!$C$5</f>
        <v>acre</v>
      </c>
      <c r="D388" s="166">
        <f>CustomOperations!$E$5</f>
        <v>44.25</v>
      </c>
      <c r="E388" s="166">
        <f>CustomOperations!$E$6*$C$348</f>
        <v>0</v>
      </c>
      <c r="F388" s="166">
        <f t="shared" si="30"/>
        <v>0</v>
      </c>
      <c r="G388" s="166"/>
    </row>
    <row r="389" spans="2:7">
      <c r="B389" t="str">
        <f>CustomOperations!$B$7</f>
        <v>Disk, Custom</v>
      </c>
      <c r="C389" s="137" t="str">
        <f>CustomOperations!$C$7</f>
        <v>acre</v>
      </c>
      <c r="D389" s="166">
        <f>CustomOperations!$E$7</f>
        <v>0</v>
      </c>
      <c r="E389" s="166">
        <f>CustomOperations!$E$8*$C$348</f>
        <v>0</v>
      </c>
      <c r="F389" s="166">
        <f t="shared" si="30"/>
        <v>0</v>
      </c>
      <c r="G389" s="166"/>
    </row>
    <row r="390" spans="2:7">
      <c r="B390" t="str">
        <f>CustomOperations!$B$9</f>
        <v>Drag, Custom</v>
      </c>
      <c r="C390" s="137" t="str">
        <f>CustomOperations!$C$9</f>
        <v>acre</v>
      </c>
      <c r="D390" s="166">
        <f>CustomOperations!$E$9</f>
        <v>0</v>
      </c>
      <c r="E390" s="166">
        <f>CustomOperations!$E$10*$C$348</f>
        <v>0</v>
      </c>
      <c r="F390" s="166">
        <f t="shared" si="30"/>
        <v>0</v>
      </c>
      <c r="G390" s="166"/>
    </row>
    <row r="391" spans="2:7">
      <c r="B391" t="str">
        <f>CustomOperations!$B$11</f>
        <v>Chisel, Custom</v>
      </c>
      <c r="C391" s="137" t="str">
        <f>CustomOperations!$C$11</f>
        <v>acre</v>
      </c>
      <c r="D391" s="166">
        <f>CustomOperations!$E$11</f>
        <v>0</v>
      </c>
      <c r="E391" s="166">
        <f>CustomOperations!$E$12*$C$348</f>
        <v>0</v>
      </c>
      <c r="F391" s="166">
        <f t="shared" si="30"/>
        <v>0</v>
      </c>
      <c r="G391" s="166"/>
    </row>
    <row r="392" spans="2:7">
      <c r="B392" t="str">
        <f>CustomOperations!$B$13</f>
        <v>Moldboard Plow, Custom</v>
      </c>
      <c r="C392" s="137" t="str">
        <f>CustomOperations!$C$13</f>
        <v>acre</v>
      </c>
      <c r="D392" s="166">
        <f>CustomOperations!$E$13</f>
        <v>0</v>
      </c>
      <c r="E392" s="166">
        <f>CustomOperations!$E$14*$C$348</f>
        <v>0</v>
      </c>
      <c r="F392" s="166">
        <f t="shared" si="30"/>
        <v>0</v>
      </c>
      <c r="G392" s="166"/>
    </row>
    <row r="393" spans="2:7">
      <c r="B393" t="str">
        <f>CustomOperations!$B$15</f>
        <v>Landplane, Custom</v>
      </c>
      <c r="C393" s="137" t="str">
        <f>CustomOperations!$C$15</f>
        <v>acre</v>
      </c>
      <c r="D393" s="166">
        <f>CustomOperations!$E$15</f>
        <v>17.940000000000001</v>
      </c>
      <c r="E393" s="166">
        <f>CustomOperations!$E$16*$C$348</f>
        <v>0</v>
      </c>
      <c r="F393" s="166">
        <f t="shared" si="30"/>
        <v>0</v>
      </c>
      <c r="G393" s="166"/>
    </row>
    <row r="394" spans="2:7">
      <c r="B394" t="str">
        <f>CustomOperations!$B$17</f>
        <v>Float, Custom</v>
      </c>
      <c r="C394" s="137" t="str">
        <f>CustomOperations!$C$17</f>
        <v>acre</v>
      </c>
      <c r="D394" s="166">
        <f>CustomOperations!$E$17</f>
        <v>17.940000000000001</v>
      </c>
      <c r="E394" s="166">
        <f>CustomOperations!$E$18*$C$348</f>
        <v>0</v>
      </c>
      <c r="F394" s="166">
        <f t="shared" si="30"/>
        <v>0</v>
      </c>
      <c r="G394" s="166"/>
    </row>
    <row r="395" spans="2:7">
      <c r="B395" t="str">
        <f>CustomOperations!$B$19</f>
        <v>Lister, Custom</v>
      </c>
      <c r="C395" s="137" t="str">
        <f>CustomOperations!$C$19</f>
        <v>acre</v>
      </c>
      <c r="D395" s="166">
        <f>CustomOperations!$E$19</f>
        <v>20.38</v>
      </c>
      <c r="E395" s="166">
        <f>CustomOperations!$E$20*$C$348</f>
        <v>0</v>
      </c>
      <c r="F395" s="166">
        <f t="shared" si="30"/>
        <v>0</v>
      </c>
      <c r="G395" s="166"/>
    </row>
    <row r="396" spans="2:7">
      <c r="B396" t="str">
        <f>CustomOperations!$B$21</f>
        <v>Bed Shape, Custom</v>
      </c>
      <c r="C396" s="137" t="str">
        <f>CustomOperations!$C$21</f>
        <v>acre</v>
      </c>
      <c r="D396" s="166">
        <f>CustomOperations!$E$21</f>
        <v>13.69</v>
      </c>
      <c r="E396" s="166">
        <f>CustomOperations!$E$22*$C$348</f>
        <v>0</v>
      </c>
      <c r="F396" s="166">
        <f t="shared" si="30"/>
        <v>0</v>
      </c>
      <c r="G396" s="166"/>
    </row>
    <row r="397" spans="2:7">
      <c r="B397" t="str">
        <f>CustomOperations!$B$32</f>
        <v>Fertilizer Spreader, Custom</v>
      </c>
      <c r="C397" s="137" t="str">
        <f>CustomOperations!$C$32</f>
        <v>acre</v>
      </c>
      <c r="D397" s="166">
        <f>CustomOperations!$E$32</f>
        <v>10.08</v>
      </c>
      <c r="E397" s="166">
        <f>CustomOperations!$E$33*$C$348</f>
        <v>0</v>
      </c>
      <c r="F397" s="166">
        <f>D397*E397</f>
        <v>0</v>
      </c>
      <c r="G397" s="166"/>
    </row>
    <row r="398" spans="2:7">
      <c r="B398" t="str">
        <f>CustomOperations!$B$34</f>
        <v>Laser Landplaning, Custom</v>
      </c>
      <c r="C398" s="137" t="str">
        <f>CustomOperations!$C$34</f>
        <v>acre</v>
      </c>
      <c r="D398" s="166">
        <f>CustomOperations!$E$34</f>
        <v>0</v>
      </c>
      <c r="E398" s="166">
        <f>CustomOperations!$E$35*$C$348</f>
        <v>0</v>
      </c>
      <c r="F398" s="166">
        <f>D398*E398</f>
        <v>0</v>
      </c>
      <c r="G398" s="166"/>
    </row>
    <row r="399" spans="2:7">
      <c r="B399" t="str">
        <f>CustomOperations!$B$30</f>
        <v>Boom Sprayer, Custom</v>
      </c>
      <c r="C399" s="137" t="str">
        <f>CustomOperations!$C$30</f>
        <v>acre</v>
      </c>
      <c r="D399" s="166">
        <f>CustomOperations!$E$30</f>
        <v>10.050000000000001</v>
      </c>
      <c r="E399" s="166">
        <f>CustomOperations!$E$31*$C$348</f>
        <v>0</v>
      </c>
      <c r="F399" s="166">
        <f t="shared" ref="F399:F421" si="31">D399*E399</f>
        <v>0</v>
      </c>
      <c r="G399" s="166"/>
    </row>
    <row r="400" spans="2:7">
      <c r="B400" s="463" t="str">
        <f>TillageOperations!$B$7&amp;" (Repairs, maint., fuel &amp; lube)"</f>
        <v>V-Ripper (Repairs, maint., fuel &amp; lube)</v>
      </c>
      <c r="C400" s="464" t="s">
        <v>157</v>
      </c>
      <c r="D400" s="166">
        <f>PubMachineryTables!$AM$49+PubMachineryTables!$AN$49</f>
        <v>30.16333889180672</v>
      </c>
      <c r="E400" s="166">
        <f>TillageOperations!$D$7*$C$348</f>
        <v>0</v>
      </c>
      <c r="F400" s="166">
        <f t="shared" si="31"/>
        <v>0</v>
      </c>
      <c r="G400" s="166"/>
    </row>
    <row r="401" spans="2:7">
      <c r="B401" s="463" t="str">
        <f>TillageOperations!$B$7&amp;" (Labor)"</f>
        <v>V-Ripper (Labor)</v>
      </c>
      <c r="C401" s="464" t="s">
        <v>157</v>
      </c>
      <c r="D401" s="166">
        <f>PubMachineryTables!$AL$49</f>
        <v>13.529312500000001</v>
      </c>
      <c r="E401" s="166">
        <f>TillageOperations!$D$7*$C$348</f>
        <v>0</v>
      </c>
      <c r="F401" s="166">
        <f t="shared" si="31"/>
        <v>0</v>
      </c>
      <c r="G401" s="166"/>
    </row>
    <row r="402" spans="2:7">
      <c r="B402" s="463" t="str">
        <f>TillageOperations!$B$8&amp;" (Repairs, maint., fuel &amp; lube)"</f>
        <v>Offset Disk (Repairs, maint., fuel &amp; lube)</v>
      </c>
      <c r="C402" s="464" t="s">
        <v>157</v>
      </c>
      <c r="D402" s="166">
        <f>PubMachineryTables!$AN$50+PubMachineryTables!$AM$50</f>
        <v>10.332318567950058</v>
      </c>
      <c r="E402" s="166">
        <f>TillageOperations!$D$8*$C$348</f>
        <v>7.5</v>
      </c>
      <c r="F402" s="166">
        <f t="shared" si="31"/>
        <v>77.492389259625426</v>
      </c>
      <c r="G402" s="166"/>
    </row>
    <row r="403" spans="2:7">
      <c r="B403" s="463" t="str">
        <f>TillageOperations!$B$8&amp;" (Labor)"</f>
        <v>Offset Disk (Labor)</v>
      </c>
      <c r="C403" s="464" t="s">
        <v>157</v>
      </c>
      <c r="D403" s="166">
        <f>PubMachineryTables!$AL$50</f>
        <v>4.7161002178649252</v>
      </c>
      <c r="E403" s="166">
        <f>TillageOperations!$D$8*$C$348</f>
        <v>7.5</v>
      </c>
      <c r="F403" s="166">
        <f t="shared" si="31"/>
        <v>35.370751633986941</v>
      </c>
      <c r="G403" s="166"/>
    </row>
    <row r="404" spans="2:7">
      <c r="B404" s="463" t="str">
        <f>TillageOperations!$B$9&amp;" (Repairs, maint., fuel &amp; lube)"</f>
        <v>Drag (Repairs, maint., fuel &amp; lube)</v>
      </c>
      <c r="C404" s="464" t="s">
        <v>157</v>
      </c>
      <c r="D404" s="166">
        <f>PubMachineryTables!$AN$51+PubMachineryTables!$AM$51</f>
        <v>2.4803921568627447</v>
      </c>
      <c r="E404" s="166">
        <f>TillageOperations!$D$9*$C$348</f>
        <v>0</v>
      </c>
      <c r="F404" s="166">
        <f t="shared" si="31"/>
        <v>0</v>
      </c>
      <c r="G404" s="166"/>
    </row>
    <row r="405" spans="2:7">
      <c r="B405" s="463" t="str">
        <f>TillageOperations!$B$9&amp;" (Labor)"</f>
        <v>Drag (Labor)</v>
      </c>
      <c r="C405" s="464" t="s">
        <v>157</v>
      </c>
      <c r="D405" s="166">
        <f>PubMachineryTables!$AL$51</f>
        <v>2.1222450980392158</v>
      </c>
      <c r="E405" s="166">
        <f>TillageOperations!$D$9*$C$348</f>
        <v>0</v>
      </c>
      <c r="F405" s="166">
        <f t="shared" si="31"/>
        <v>0</v>
      </c>
      <c r="G405" s="166"/>
    </row>
    <row r="406" spans="2:7">
      <c r="B406" s="463" t="str">
        <f>TillageOperations!$B$10&amp;" (Repairs, maint., fuel &amp; lube)"</f>
        <v>Chisel (Repairs, maint., fuel &amp; lube)</v>
      </c>
      <c r="C406" s="464" t="s">
        <v>157</v>
      </c>
      <c r="D406" s="166">
        <f>PubMachineryTables!$AN$52+PubMachineryTables!$AM$52</f>
        <v>8.5884820270019766</v>
      </c>
      <c r="E406" s="166">
        <f>TillageOperations!$D$10*$C$348</f>
        <v>0</v>
      </c>
      <c r="F406" s="166">
        <f t="shared" si="31"/>
        <v>0</v>
      </c>
      <c r="G406" s="166"/>
    </row>
    <row r="407" spans="2:7">
      <c r="B407" s="463" t="str">
        <f>TillageOperations!$B$10&amp;" (Labor)"</f>
        <v>Chisel (Labor)</v>
      </c>
      <c r="C407" s="464" t="s">
        <v>157</v>
      </c>
      <c r="D407" s="166">
        <f>PubMachineryTables!$AL$52</f>
        <v>3.9792095588235301</v>
      </c>
      <c r="E407" s="166">
        <f>TillageOperations!$D$10*$C$348</f>
        <v>0</v>
      </c>
      <c r="F407" s="166">
        <f t="shared" si="31"/>
        <v>0</v>
      </c>
      <c r="G407" s="166"/>
    </row>
    <row r="408" spans="2:7">
      <c r="B408" s="463" t="str">
        <f>TillageOperations!$B$11&amp;" (Repairs, maint., fuel &amp; lube)"</f>
        <v>Moldboard Plow (Repairs, maint., fuel &amp; lube)</v>
      </c>
      <c r="C408" s="464" t="s">
        <v>157</v>
      </c>
      <c r="D408" s="166">
        <f>PubMachineryTables!$AN$53+PubMachineryTables!$AM$53</f>
        <v>14.457142857142856</v>
      </c>
      <c r="E408" s="166">
        <f>TillageOperations!$D$11*$C$348</f>
        <v>0</v>
      </c>
      <c r="F408" s="166">
        <f t="shared" si="31"/>
        <v>0</v>
      </c>
      <c r="G408" s="166"/>
    </row>
    <row r="409" spans="2:7">
      <c r="B409" s="463" t="str">
        <f>TillageOperations!$B$11&amp;" (Labor)"</f>
        <v>Moldboard Plow (Labor)</v>
      </c>
      <c r="C409" s="464" t="s">
        <v>157</v>
      </c>
      <c r="D409" s="166">
        <f>PubMachineryTables!$AL$53</f>
        <v>7.7310357142857153</v>
      </c>
      <c r="E409" s="166">
        <f>TillageOperations!$D$11*$C$348</f>
        <v>0</v>
      </c>
      <c r="F409" s="166">
        <f t="shared" si="31"/>
        <v>0</v>
      </c>
      <c r="G409" s="166"/>
    </row>
    <row r="410" spans="2:7">
      <c r="B410" s="463" t="str">
        <f>TillageOperations!$B$12&amp;" (Repairs, maint., fuel &amp; lube)"</f>
        <v>Cultivator (Repairs, maint., fuel &amp; lube)</v>
      </c>
      <c r="C410" s="464" t="s">
        <v>157</v>
      </c>
      <c r="D410" s="166">
        <f>PubMachineryTables!$AN$54+PubMachineryTables!$AM$54</f>
        <v>5.7828571428571429</v>
      </c>
      <c r="E410" s="166">
        <f>TillageOperations!$D$12*$C$348</f>
        <v>0</v>
      </c>
      <c r="F410" s="166">
        <f t="shared" si="31"/>
        <v>0</v>
      </c>
      <c r="G410" s="166"/>
    </row>
    <row r="411" spans="2:7">
      <c r="B411" s="463" t="str">
        <f>TillageOperations!$B$12&amp;" (Labor)"</f>
        <v>Cultivator (Labor)</v>
      </c>
      <c r="C411" s="464" t="s">
        <v>157</v>
      </c>
      <c r="D411" s="166">
        <f>PubMachineryTables!$AL$54</f>
        <v>3.0924142857142862</v>
      </c>
      <c r="E411" s="166">
        <f>TillageOperations!$D$12*$C$348</f>
        <v>0</v>
      </c>
      <c r="F411" s="166">
        <f t="shared" si="31"/>
        <v>0</v>
      </c>
      <c r="G411" s="166"/>
    </row>
    <row r="412" spans="2:7">
      <c r="B412" s="463" t="str">
        <f>TillageOperations!$B$13&amp;" (Repairs, maint., fuel &amp; lube)"</f>
        <v>Landplane (Repairs, maint., fuel &amp; lube)</v>
      </c>
      <c r="C412" s="464" t="s">
        <v>157</v>
      </c>
      <c r="D412" s="166">
        <f>PubMachineryTables!$AN$55+PubMachineryTables!$AM$55</f>
        <v>8.0445253976590632</v>
      </c>
      <c r="E412" s="166">
        <f>TillageOperations!$D$13*$C$348</f>
        <v>0</v>
      </c>
      <c r="F412" s="166">
        <f t="shared" si="31"/>
        <v>0</v>
      </c>
      <c r="G412" s="166"/>
    </row>
    <row r="413" spans="2:7">
      <c r="B413" s="463" t="str">
        <f>TillageOperations!$B$13&amp;" (Labor)"</f>
        <v>Landplane (Labor)</v>
      </c>
      <c r="C413" s="464" t="s">
        <v>157</v>
      </c>
      <c r="D413" s="166">
        <f>PubMachineryTables!$AL$55</f>
        <v>3.8655178571428577</v>
      </c>
      <c r="E413" s="166">
        <f>TillageOperations!$D$13*$C$348</f>
        <v>0</v>
      </c>
      <c r="F413" s="166">
        <f t="shared" si="31"/>
        <v>0</v>
      </c>
      <c r="G413" s="166"/>
    </row>
    <row r="414" spans="2:7">
      <c r="B414" s="463" t="str">
        <f>TillageOperations!$B$14&amp;" (Repairs, maint., fuel &amp; lube)"</f>
        <v>Float (Repairs, maint., fuel &amp; lube)</v>
      </c>
      <c r="C414" s="464" t="s">
        <v>157</v>
      </c>
      <c r="D414" s="166">
        <f>PubMachineryTables!$AN$56+PubMachineryTables!$AM$56</f>
        <v>5.1632653061224492</v>
      </c>
      <c r="E414" s="166">
        <f>TillageOperations!$D$14*$C$348</f>
        <v>0</v>
      </c>
      <c r="F414" s="166">
        <f t="shared" si="31"/>
        <v>0</v>
      </c>
      <c r="G414" s="166"/>
    </row>
    <row r="415" spans="2:7">
      <c r="B415" s="463" t="str">
        <f>TillageOperations!$B$14&amp;" (Labor)"</f>
        <v>Float (Labor)</v>
      </c>
      <c r="C415" s="464" t="s">
        <v>157</v>
      </c>
      <c r="D415" s="166">
        <f>PubMachineryTables!$AL$56</f>
        <v>4.4177346938775521</v>
      </c>
      <c r="E415" s="166">
        <f>TillageOperations!$D$14*$C$348</f>
        <v>0</v>
      </c>
      <c r="F415" s="166">
        <f t="shared" si="31"/>
        <v>0</v>
      </c>
      <c r="G415" s="166"/>
    </row>
    <row r="416" spans="2:7">
      <c r="B416" s="463" t="str">
        <f>TillageOperations!$B$15&amp;" (Repairs, maint., fuel &amp; lube)"</f>
        <v>Lister (Repairs, maint., fuel &amp; lube)</v>
      </c>
      <c r="C416" s="464" t="s">
        <v>157</v>
      </c>
      <c r="D416" s="166">
        <f>PubMachineryTables!$AN$57+PubMachineryTables!$AM$57</f>
        <v>11.879642797844287</v>
      </c>
      <c r="E416" s="166">
        <f>TillageOperations!$D$15*$C$348</f>
        <v>0</v>
      </c>
      <c r="F416" s="166">
        <f t="shared" si="31"/>
        <v>0</v>
      </c>
      <c r="G416" s="166"/>
    </row>
    <row r="417" spans="2:7">
      <c r="B417" s="463" t="str">
        <f>TillageOperations!$B$15&amp;" (Labor)"</f>
        <v>Lister (Labor)</v>
      </c>
      <c r="C417" s="464" t="s">
        <v>157</v>
      </c>
      <c r="D417" s="166">
        <f>PubMachineryTables!$AL$57</f>
        <v>6.1848285714285725</v>
      </c>
      <c r="E417" s="166">
        <f>TillageOperations!$D$15*$C$348</f>
        <v>0</v>
      </c>
      <c r="F417" s="166">
        <f t="shared" si="31"/>
        <v>0</v>
      </c>
      <c r="G417" s="166"/>
    </row>
    <row r="418" spans="2:7">
      <c r="B418" s="463" t="str">
        <f>TillageOperations!$B$16&amp;" (Repairs, maint., fuel &amp; lube)"</f>
        <v>Bed Shaper (Repairs, maint., fuel &amp; lube)</v>
      </c>
      <c r="C418" s="464" t="s">
        <v>157</v>
      </c>
      <c r="D418" s="166">
        <f>PubMachineryTables!$AN$58+PubMachineryTables!$AM$58</f>
        <v>5.9574634784635725</v>
      </c>
      <c r="E418" s="166">
        <f>TillageOperations!$D$16*$C$348</f>
        <v>0</v>
      </c>
      <c r="F418" s="166">
        <f t="shared" si="31"/>
        <v>0</v>
      </c>
      <c r="G418" s="166"/>
    </row>
    <row r="419" spans="2:7">
      <c r="B419" s="463" t="str">
        <f>TillageOperations!$B$16&amp;" (Labor)"</f>
        <v>Bed Shaper (Labor)</v>
      </c>
      <c r="C419" s="464" t="s">
        <v>157</v>
      </c>
      <c r="D419" s="166">
        <f>PubMachineryTables!$AL$58</f>
        <v>3.0924142857142862</v>
      </c>
      <c r="E419" s="166">
        <f>TillageOperations!$D$16*$C$348</f>
        <v>0</v>
      </c>
      <c r="F419" s="166">
        <f t="shared" si="31"/>
        <v>0</v>
      </c>
      <c r="G419" s="166"/>
    </row>
    <row r="420" spans="2:7">
      <c r="B420" s="463" t="str">
        <f>TillageOperations!$B$19&amp;" (Repairs, maint., fuel &amp; lube)"</f>
        <v>Row Planter (Repairs, maint., fuel &amp; lube)</v>
      </c>
      <c r="C420" s="464" t="s">
        <v>157</v>
      </c>
      <c r="D420" s="166">
        <f>PubMachineryTables!$AN$60+PubMachineryTables!$AM$60</f>
        <v>8.8400048303091552</v>
      </c>
      <c r="E420" s="166">
        <f>TillageOperations!$D$19*$C$348</f>
        <v>0</v>
      </c>
      <c r="F420" s="166">
        <f t="shared" si="31"/>
        <v>0</v>
      </c>
      <c r="G420" s="166"/>
    </row>
    <row r="421" spans="2:7">
      <c r="B421" s="463" t="str">
        <f>TillageOperations!$B$19&amp;" (Labor)"</f>
        <v>Row Planter (Labor)</v>
      </c>
      <c r="C421" s="464" t="s">
        <v>157</v>
      </c>
      <c r="D421" s="166">
        <f>PubMachineryTables!$AL$60</f>
        <v>4.5097708333333344</v>
      </c>
      <c r="E421" s="166">
        <f>TillageOperations!$D$19*$C$348</f>
        <v>0</v>
      </c>
      <c r="F421" s="166">
        <f t="shared" si="31"/>
        <v>0</v>
      </c>
      <c r="G421" s="166"/>
    </row>
    <row r="422" spans="2:7">
      <c r="B422" s="463" t="str">
        <f>TillageOperations!$B$20&amp;" (Repairs, maint., fuel &amp; lube)"</f>
        <v>Row Cultivator (Repairs, maint., fuel &amp; lube)</v>
      </c>
      <c r="C422" s="464" t="s">
        <v>157</v>
      </c>
      <c r="D422" s="166">
        <f>PubMachineryTables!$AN$61+PubMachineryTables!$AM$61</f>
        <v>3.5823141032725374</v>
      </c>
      <c r="E422" s="166">
        <f>TillageOperations!$D$20*$C$348</f>
        <v>0</v>
      </c>
      <c r="F422" s="166">
        <f>D422*E422</f>
        <v>0</v>
      </c>
      <c r="G422" s="166"/>
    </row>
    <row r="423" spans="2:7">
      <c r="B423" s="463" t="str">
        <f>TillageOperations!$B$20&amp;" (Labor)"</f>
        <v>Row Cultivator (Labor)</v>
      </c>
      <c r="C423" s="464" t="s">
        <v>157</v>
      </c>
      <c r="D423" s="166">
        <f>PubMachineryTables!$AL$61</f>
        <v>3.0065138888888892</v>
      </c>
      <c r="E423" s="166">
        <f>TillageOperations!$D$20*$C$348</f>
        <v>0</v>
      </c>
      <c r="F423" s="166">
        <f>D423*E423</f>
        <v>0</v>
      </c>
      <c r="G423" s="166"/>
    </row>
    <row r="424" spans="2:7">
      <c r="B424" s="463" t="str">
        <f>TillageOperations!$B$21&amp;" (Repairs, maint., fuel &amp; lube)"</f>
        <v>Drill (Repairs, maint., fuel &amp; lube)</v>
      </c>
      <c r="C424" s="464" t="s">
        <v>157</v>
      </c>
      <c r="D424" s="166">
        <f>PubMachineryTables!$AN$62+PubMachineryTables!$AM$62</f>
        <v>7.6986395922631168</v>
      </c>
      <c r="E424" s="166">
        <f>TillageOperations!$D$21*$C$348</f>
        <v>0</v>
      </c>
      <c r="F424" s="166">
        <f>D424*E424</f>
        <v>0</v>
      </c>
      <c r="G424" s="166"/>
    </row>
    <row r="425" spans="2:7">
      <c r="B425" s="463" t="str">
        <f>TillageOperations!$B$21&amp;" (Labor)"</f>
        <v>Drill (Labor)</v>
      </c>
      <c r="C425" s="464" t="s">
        <v>157</v>
      </c>
      <c r="D425" s="166">
        <f>PubMachineryTables!$AL$62</f>
        <v>5.4117250000000006</v>
      </c>
      <c r="E425" s="166">
        <f>TillageOperations!$D$21*$C$348</f>
        <v>0</v>
      </c>
      <c r="F425" s="166">
        <f>D425*E425</f>
        <v>0</v>
      </c>
      <c r="G425" s="166"/>
    </row>
    <row r="426" spans="2:7">
      <c r="B426" s="75" t="str">
        <f>TillageOperations!$B$27&amp;" (Repairs, maint., fuel &amp; lube)"</f>
        <v>Cotton Picker (Repairs, maint., fuel &amp; lube)</v>
      </c>
      <c r="C426" s="464" t="s">
        <v>157</v>
      </c>
      <c r="D426" s="166">
        <f>PubMachineryTables!$AN$67+PubMachineryTables!$AM$67</f>
        <v>20.587703435804702</v>
      </c>
      <c r="E426" s="166">
        <f>TillageOperations!$D$27*$C$348</f>
        <v>0</v>
      </c>
      <c r="F426" s="166">
        <f t="shared" ref="F426:F433" si="32">D426*E426</f>
        <v>0</v>
      </c>
      <c r="G426" s="166"/>
    </row>
    <row r="427" spans="2:7">
      <c r="B427" t="str">
        <f>TillageOperations!$B$27&amp;" (Labor)"</f>
        <v>Cotton Picker (Labor)</v>
      </c>
      <c r="C427" s="464" t="s">
        <v>157</v>
      </c>
      <c r="D427" s="166">
        <f>PubMachineryTables!$AL$67</f>
        <v>7.3395908679927677</v>
      </c>
      <c r="E427" s="166">
        <f>TillageOperations!$D$27*$C$348</f>
        <v>0</v>
      </c>
      <c r="F427" s="166">
        <f t="shared" si="32"/>
        <v>0</v>
      </c>
      <c r="G427" s="166"/>
    </row>
    <row r="428" spans="2:7">
      <c r="B428" s="75" t="str">
        <f>TillageOperations!$B$28&amp;" (Repairs, maint., fuel &amp; lube)"</f>
        <v>Module Unit (Repairs, maint., fuel &amp; lube)</v>
      </c>
      <c r="C428" s="464" t="s">
        <v>157</v>
      </c>
      <c r="D428" s="166">
        <f>PubMachineryTables!$AN$68+PubMachineryTables!$AM$68</f>
        <v>7.0644080416976918</v>
      </c>
      <c r="E428" s="166">
        <f>TillageOperations!$D$28*$C$348</f>
        <v>0</v>
      </c>
      <c r="F428" s="166">
        <f t="shared" si="32"/>
        <v>0</v>
      </c>
      <c r="G428" s="166"/>
    </row>
    <row r="429" spans="2:7">
      <c r="B429" t="str">
        <f>TillageOperations!$B$28&amp;" (Labor)"</f>
        <v>Module Unit (Labor)</v>
      </c>
      <c r="C429" s="464" t="s">
        <v>157</v>
      </c>
      <c r="D429" s="166">
        <f>PubMachineryTables!$AL$68</f>
        <v>6.0443689501116911</v>
      </c>
      <c r="E429" s="166">
        <f>TillageOperations!$D$28*$C$348</f>
        <v>0</v>
      </c>
      <c r="F429" s="166">
        <f t="shared" si="32"/>
        <v>0</v>
      </c>
      <c r="G429" s="166"/>
    </row>
    <row r="430" spans="2:7">
      <c r="B430" t="str">
        <f>TillageOperations!$B$29&amp;" (Repairs, maint., fuel &amp; lube)"</f>
        <v>Haul Cotton (Repairs, maint., fuel &amp; lube)</v>
      </c>
      <c r="C430" s="464" t="s">
        <v>157</v>
      </c>
      <c r="D430" s="166">
        <f>PubMachineryTables!$AN$69+PubMachineryTables!$AM$69</f>
        <v>7.0644080416976918</v>
      </c>
      <c r="E430" s="166">
        <f>TillageOperations!$D$29*$C$348</f>
        <v>0</v>
      </c>
      <c r="F430" s="166">
        <f t="shared" si="32"/>
        <v>0</v>
      </c>
      <c r="G430" s="166"/>
    </row>
    <row r="431" spans="2:7">
      <c r="B431" t="str">
        <f>TillageOperations!$B$29&amp;" (Labor)"</f>
        <v>Haul Cotton (Labor)</v>
      </c>
      <c r="C431" s="464" t="s">
        <v>157</v>
      </c>
      <c r="D431" s="166">
        <f>PubMachineryTables!$AL$69</f>
        <v>6.0443689501116911</v>
      </c>
      <c r="E431" s="166">
        <f>TillageOperations!$D$29*$C$348</f>
        <v>0</v>
      </c>
      <c r="F431" s="166">
        <f t="shared" si="32"/>
        <v>0</v>
      </c>
      <c r="G431" s="166"/>
    </row>
    <row r="432" spans="2:7">
      <c r="B432" t="str">
        <f>TillageOperations!$B$17&amp;" (Repairs, maint., fuel &amp; lube)"</f>
        <v>Cotton Shredder/Root Puller (Repairs, maint., fuel &amp; lube)</v>
      </c>
      <c r="C432" s="464" t="s">
        <v>157</v>
      </c>
      <c r="D432" s="166">
        <f>PubMachineryTables!$AN$59+PubMachineryTables!$AM$59</f>
        <v>3.4657534246575339</v>
      </c>
      <c r="E432" s="166">
        <f>TillageOperations!$D$17*$C$348</f>
        <v>0</v>
      </c>
      <c r="F432" s="166">
        <f t="shared" si="32"/>
        <v>0</v>
      </c>
      <c r="G432" s="166"/>
    </row>
    <row r="433" spans="2:7">
      <c r="B433" t="str">
        <f>TillageOperations!$B$17&amp;" (Labor)"</f>
        <v>Cotton Shredder/Root Puller (Labor)</v>
      </c>
      <c r="C433" s="464" t="s">
        <v>157</v>
      </c>
      <c r="D433" s="166">
        <f>PubMachineryTables!$AL$59</f>
        <v>2.965328767123288</v>
      </c>
      <c r="E433" s="166">
        <f>TillageOperations!$D$17*$C$348</f>
        <v>0</v>
      </c>
      <c r="F433" s="166">
        <f t="shared" si="32"/>
        <v>0</v>
      </c>
      <c r="G433" s="166"/>
    </row>
    <row r="434" spans="2:7">
      <c r="B434" t="str">
        <f>TillageOperations!$B$30&amp;" (Repairs, maint., fuel &amp; lube)"</f>
        <v>Combine (Repairs, maint., fuel &amp; lube)</v>
      </c>
      <c r="C434" s="464" t="s">
        <v>157</v>
      </c>
      <c r="D434" s="166">
        <f>PubMachineryTables!$AN$70+PubMachineryTables!$AM$70</f>
        <v>4.8939818019913757</v>
      </c>
      <c r="E434" s="166">
        <f>TillageOperations!$D$30*$C$348</f>
        <v>0</v>
      </c>
      <c r="F434" s="166">
        <f>D434*E434</f>
        <v>0</v>
      </c>
      <c r="G434" s="166"/>
    </row>
    <row r="435" spans="2:7">
      <c r="B435" t="str">
        <f>TillageOperations!$B$30&amp;" (Labor)"</f>
        <v>Combine (Labor)</v>
      </c>
      <c r="C435" s="464" t="s">
        <v>157</v>
      </c>
      <c r="D435" s="166">
        <f>PubMachineryTables!$AL$70</f>
        <v>1.591683823529412</v>
      </c>
      <c r="E435" s="166">
        <f>TillageOperations!$D$30*$C$348</f>
        <v>0</v>
      </c>
      <c r="F435" s="166">
        <f>D435*E435</f>
        <v>0</v>
      </c>
      <c r="G435" s="166"/>
    </row>
    <row r="436" spans="2:7">
      <c r="B436" t="str">
        <f>TillageOperations!$B$31&amp;" (Repairs, maint., fuel &amp; lube)"</f>
        <v>Grain Cart (Repairs, maint., fuel &amp; lube)</v>
      </c>
      <c r="C436" s="464" t="s">
        <v>157</v>
      </c>
      <c r="D436" s="166">
        <f>PubMachineryTables!$AN$71+PubMachineryTables!$AM$71</f>
        <v>3.2163097667975675</v>
      </c>
      <c r="E436" s="166">
        <f>TillageOperations!$D$31*$C$348</f>
        <v>0</v>
      </c>
      <c r="F436" s="166">
        <f>D436*E436</f>
        <v>0</v>
      </c>
      <c r="G436" s="166"/>
    </row>
    <row r="437" spans="2:7">
      <c r="B437" t="str">
        <f>TillageOperations!$B$31&amp;" (Labor)"</f>
        <v>Grain Cart (Labor)</v>
      </c>
      <c r="C437" s="464" t="s">
        <v>157</v>
      </c>
      <c r="D437" s="166">
        <f>PubMachineryTables!$AL$71</f>
        <v>1.591683823529412</v>
      </c>
      <c r="E437" s="166">
        <f>TillageOperations!$D$31*$C$348</f>
        <v>0</v>
      </c>
      <c r="F437" s="166">
        <f>D437*E437</f>
        <v>0</v>
      </c>
      <c r="G437" s="166"/>
    </row>
    <row r="438" spans="2:7">
      <c r="B438" t="str">
        <f>TillageOperations!$B$32&amp;" (Repairs, maint., fuel &amp; lube)"</f>
        <v>Swather (Repairs, maint., fuel &amp; lube)</v>
      </c>
      <c r="C438" s="464" t="s">
        <v>157</v>
      </c>
      <c r="D438" s="166">
        <f>PubMachineryTables!$AN$72+PubMachineryTables!$AM$72</f>
        <v>2.0239999999999996</v>
      </c>
      <c r="E438" s="166">
        <f>TillageOperations!$D$32*$C$348</f>
        <v>0</v>
      </c>
      <c r="F438" s="166">
        <f t="shared" ref="F438:F462" si="33">D438*E438</f>
        <v>0</v>
      </c>
      <c r="G438" s="166"/>
    </row>
    <row r="439" spans="2:7">
      <c r="B439" t="str">
        <f>TillageOperations!$B$32&amp;" (Labor)"</f>
        <v>Swather (Labor)</v>
      </c>
      <c r="C439" s="464" t="s">
        <v>157</v>
      </c>
      <c r="D439" s="166">
        <f>PubMachineryTables!$AL$72</f>
        <v>2.1646900000000002</v>
      </c>
      <c r="E439" s="166">
        <f>TillageOperations!$D$32*$C$348</f>
        <v>0</v>
      </c>
      <c r="F439" s="166">
        <f t="shared" si="33"/>
        <v>0</v>
      </c>
      <c r="G439" s="166"/>
    </row>
    <row r="440" spans="2:7">
      <c r="B440" t="str">
        <f>TillageOperations!$B$33&amp;" (Repairs, maint., fuel &amp; lube)"</f>
        <v>Baler (Repairs, maint., fuel &amp; lube)</v>
      </c>
      <c r="C440" s="464" t="s">
        <v>157</v>
      </c>
      <c r="D440" s="166">
        <f>PubMachineryTables!$AN$73+PubMachineryTables!$AM$73</f>
        <v>3.953125</v>
      </c>
      <c r="E440" s="166">
        <f>TillageOperations!$D$33*$C$348</f>
        <v>0</v>
      </c>
      <c r="F440" s="166">
        <f t="shared" si="33"/>
        <v>0</v>
      </c>
      <c r="G440" s="166"/>
    </row>
    <row r="441" spans="2:7">
      <c r="B441" t="str">
        <f>TillageOperations!$B$33&amp;" (Labor)"</f>
        <v>Baler (Labor)</v>
      </c>
      <c r="C441" s="464" t="s">
        <v>157</v>
      </c>
      <c r="D441" s="166">
        <f>PubMachineryTables!$AL$73</f>
        <v>3.3823281250000004</v>
      </c>
      <c r="E441" s="166">
        <f>TillageOperations!$D$33*$C$348</f>
        <v>0</v>
      </c>
      <c r="F441" s="166">
        <f t="shared" si="33"/>
        <v>0</v>
      </c>
      <c r="G441" s="166"/>
    </row>
    <row r="442" spans="2:7">
      <c r="B442" t="str">
        <f>TillageOperations!$B$34&amp;" (Repairs, maint., fuel &amp; lube)"</f>
        <v>Swather (Repairs, maint., fuel &amp; lube)</v>
      </c>
      <c r="C442" s="464" t="s">
        <v>157</v>
      </c>
      <c r="D442" s="166">
        <f>PubMachineryTables!$AN$74+PubMachineryTables!$AM$74</f>
        <v>19.46153846153846</v>
      </c>
      <c r="E442" s="166">
        <f>TillageOperations!$D$34*$C$348</f>
        <v>0</v>
      </c>
      <c r="F442" s="166">
        <f t="shared" si="33"/>
        <v>0</v>
      </c>
      <c r="G442" s="166"/>
    </row>
    <row r="443" spans="2:7">
      <c r="B443" t="str">
        <f>TillageOperations!$B$34&amp;" (Labor)"</f>
        <v>Swather (Labor)</v>
      </c>
      <c r="C443" s="464" t="s">
        <v>157</v>
      </c>
      <c r="D443" s="166">
        <f>PubMachineryTables!$AL$74</f>
        <v>20.814326923076923</v>
      </c>
      <c r="E443" s="166">
        <f>TillageOperations!$D$34*$C$348</f>
        <v>0</v>
      </c>
      <c r="F443" s="166">
        <f t="shared" si="33"/>
        <v>0</v>
      </c>
      <c r="G443" s="166"/>
    </row>
    <row r="444" spans="2:7">
      <c r="B444" t="str">
        <f>TillageOperations!$B$35&amp;" (Repairs, maint., fuel &amp; lube)"</f>
        <v>Baler (Repairs, maint., fuel &amp; lube)</v>
      </c>
      <c r="C444" s="464" t="s">
        <v>157</v>
      </c>
      <c r="D444" s="166">
        <f>PubMachineryTables!$AN$75+PubMachineryTables!$AM$75</f>
        <v>24.326923076923073</v>
      </c>
      <c r="E444" s="166">
        <f>TillageOperations!$D$35*$C$348</f>
        <v>0</v>
      </c>
      <c r="F444" s="166">
        <f t="shared" si="33"/>
        <v>0</v>
      </c>
      <c r="G444" s="166"/>
    </row>
    <row r="445" spans="2:7">
      <c r="B445" t="str">
        <f>TillageOperations!$B$35&amp;" (Labor)"</f>
        <v>Baler (Labor)</v>
      </c>
      <c r="C445" s="464" t="s">
        <v>157</v>
      </c>
      <c r="D445" s="166">
        <f>PubMachineryTables!$AL$75</f>
        <v>20.814326923076923</v>
      </c>
      <c r="E445" s="166">
        <f>TillageOperations!$D$35*$C$348</f>
        <v>0</v>
      </c>
      <c r="F445" s="166">
        <f t="shared" si="33"/>
        <v>0</v>
      </c>
      <c r="G445" s="166"/>
    </row>
    <row r="446" spans="2:7">
      <c r="B446" t="str">
        <f>'Inputs&amp;PricesbyCrop'!$B$31</f>
        <v xml:space="preserve">   - Baling Twine</v>
      </c>
      <c r="C446" s="137" t="str">
        <f>'Inputs&amp;PricesbyCrop'!$C$31</f>
        <v>acre</v>
      </c>
      <c r="D446" s="166">
        <f>'Inputs&amp;PricesbyCrop'!$E$31</f>
        <v>0</v>
      </c>
      <c r="E446" s="166">
        <f>C348</f>
        <v>150</v>
      </c>
      <c r="F446" s="166">
        <f t="shared" si="33"/>
        <v>0</v>
      </c>
      <c r="G446" s="166"/>
    </row>
    <row r="447" spans="2:7">
      <c r="B447" t="str">
        <f>TillageOperations!$B$36&amp;" (Repairs, maint., fuel &amp; lube)"</f>
        <v>Bale Wagon (Repairs, maint., fuel &amp; lube)</v>
      </c>
      <c r="C447" s="464" t="s">
        <v>157</v>
      </c>
      <c r="D447" s="166">
        <f>PubMachineryTables!$AN$76+PubMachineryTables!$AM$76</f>
        <v>3.1624999999999996</v>
      </c>
      <c r="E447" s="166">
        <f>TillageOperations!$D$36*$C$348</f>
        <v>0</v>
      </c>
      <c r="F447" s="166">
        <f t="shared" si="33"/>
        <v>0</v>
      </c>
      <c r="G447" s="166"/>
    </row>
    <row r="448" spans="2:7">
      <c r="B448" t="str">
        <f>TillageOperations!$B$36&amp;" (Labor)"</f>
        <v>Bale Wagon (Labor)</v>
      </c>
      <c r="C448" s="464" t="s">
        <v>157</v>
      </c>
      <c r="D448" s="166">
        <f>PubMachineryTables!$AL$76</f>
        <v>3.3823281250000004</v>
      </c>
      <c r="E448" s="166">
        <f>TillageOperations!$D$36*$C$348</f>
        <v>0</v>
      </c>
      <c r="F448" s="166">
        <f t="shared" si="33"/>
        <v>0</v>
      </c>
      <c r="G448" s="166"/>
    </row>
    <row r="449" spans="2:7">
      <c r="B449" t="str">
        <f>TillageOperations!$B$23&amp;" (Repairs, maint., fuel &amp; lube)"</f>
        <v>Fertilizer Spreader (Repairs, maint., fuel &amp; lube)</v>
      </c>
      <c r="C449" s="464" t="s">
        <v>157</v>
      </c>
      <c r="D449" s="166">
        <f>PubMachineryTables!$AM$64+PubMachineryTables!$AN$64</f>
        <v>2.6573732562743069</v>
      </c>
      <c r="E449" s="166">
        <f>TillageOperations!$D$23*$C$348</f>
        <v>0</v>
      </c>
      <c r="F449" s="168">
        <f t="shared" si="33"/>
        <v>0</v>
      </c>
      <c r="G449" s="168"/>
    </row>
    <row r="450" spans="2:7">
      <c r="B450" t="str">
        <f>TillageOperations!$B$23&amp;" (Labor)"</f>
        <v>Fertilizer Spreader (Labor)</v>
      </c>
      <c r="C450" s="464" t="s">
        <v>157</v>
      </c>
      <c r="D450" s="166">
        <f>PubMachineryTables!$AL$64</f>
        <v>1.879071180555556</v>
      </c>
      <c r="E450" s="166">
        <f>TillageOperations!$D$23*$C$348</f>
        <v>0</v>
      </c>
      <c r="F450" s="168">
        <f t="shared" si="33"/>
        <v>0</v>
      </c>
      <c r="G450" s="168"/>
    </row>
    <row r="451" spans="2:7">
      <c r="B451" t="str">
        <f>TillageOperations!$B$24&amp;" (Repairs, maint., fuel &amp; lube)"</f>
        <v>Fertilizer Injection System (Repairs, maint., fuel &amp; lube)</v>
      </c>
      <c r="C451" s="464" t="s">
        <v>157</v>
      </c>
      <c r="D451" s="166">
        <f>PubMachineryTables!$AM$65+PubMachineryTables!$AN$65</f>
        <v>8.4333333333333336</v>
      </c>
      <c r="E451" s="166">
        <f>TillageOperations!$D$24*$C$348</f>
        <v>0</v>
      </c>
      <c r="F451" s="168">
        <f t="shared" si="33"/>
        <v>0</v>
      </c>
      <c r="G451" s="168"/>
    </row>
    <row r="452" spans="2:7">
      <c r="B452" t="str">
        <f>TillageOperations!$B$24&amp;" (Labor)"</f>
        <v>Fertilizer Injection System (Labor)</v>
      </c>
      <c r="C452" s="464" t="s">
        <v>157</v>
      </c>
      <c r="D452" s="166">
        <f>PubMachineryTables!$AL$65</f>
        <v>4.5097708333333344</v>
      </c>
      <c r="E452" s="166">
        <f>TillageOperations!$D$24*$C$348</f>
        <v>0</v>
      </c>
      <c r="F452" s="168">
        <f t="shared" si="33"/>
        <v>0</v>
      </c>
      <c r="G452" s="168"/>
    </row>
    <row r="453" spans="2:7">
      <c r="B453" t="str">
        <f>TillageOperations!$B$25&amp;" (Repairs, maint., fuel &amp; lube)"</f>
        <v>Boom Sprayer (Repairs, maint., fuel &amp; lube)</v>
      </c>
      <c r="C453" s="464" t="s">
        <v>157</v>
      </c>
      <c r="D453" s="166">
        <f>PubMachineryTables!AN$66+PubMachineryTables!$AM$66</f>
        <v>1.5996307048468115</v>
      </c>
      <c r="E453" s="166">
        <f>TillageOperations!$D$25*$C$348</f>
        <v>150</v>
      </c>
      <c r="F453" s="166">
        <f t="shared" si="33"/>
        <v>239.94460572702172</v>
      </c>
      <c r="G453" s="166"/>
    </row>
    <row r="454" spans="2:7">
      <c r="B454" t="str">
        <f>TillageOperations!$B$25&amp;" (Labor)"</f>
        <v>Boom Sprayer (Labor)</v>
      </c>
      <c r="C454" s="464" t="s">
        <v>157</v>
      </c>
      <c r="D454" s="166">
        <f>PubMachineryTables!$AL$66</f>
        <v>1.1893901098901098</v>
      </c>
      <c r="E454" s="166">
        <f>TillageOperations!$D$25*$C$348</f>
        <v>150</v>
      </c>
      <c r="F454" s="166">
        <f t="shared" si="33"/>
        <v>178.40851648351648</v>
      </c>
      <c r="G454" s="166"/>
    </row>
    <row r="455" spans="2:7">
      <c r="B455" t="str">
        <f>TillageOperations!$B$22&amp;" (Repairs, maint., fuel &amp; lube)"</f>
        <v>Transplanter (Repairs, maint., fuel &amp; lube)</v>
      </c>
      <c r="C455" s="464" t="s">
        <v>157</v>
      </c>
      <c r="D455" s="166">
        <f>PubMachineryTables!AN$63+PubMachineryTables!$AM$63</f>
        <v>61.668749999999996</v>
      </c>
      <c r="E455" s="166">
        <f>TillageOperations!$D$22*$C$348</f>
        <v>0</v>
      </c>
      <c r="F455" s="166">
        <f>D455*E455</f>
        <v>0</v>
      </c>
      <c r="G455" s="166"/>
    </row>
    <row r="456" spans="2:7">
      <c r="B456" t="str">
        <f>TillageOperations!$B$22&amp;" (Labor)"</f>
        <v>Transplanter (Labor)</v>
      </c>
      <c r="C456" s="464" t="s">
        <v>157</v>
      </c>
      <c r="D456" s="166">
        <f>PubMachineryTables!$AL$63</f>
        <v>20.293968750000001</v>
      </c>
      <c r="E456" s="166">
        <f>TillageOperations!$D$22*$C$348</f>
        <v>0</v>
      </c>
      <c r="F456" s="166">
        <f t="shared" si="33"/>
        <v>0</v>
      </c>
      <c r="G456" s="166"/>
    </row>
    <row r="457" spans="2:7">
      <c r="B457" t="str">
        <f>'Inputs&amp;PricesbyCrop'!$B$14</f>
        <v>Additional Land Prep. Labor</v>
      </c>
      <c r="C457" s="137" t="str">
        <f>'Inputs&amp;PricesbyCrop'!$C$14</f>
        <v>hour</v>
      </c>
      <c r="D457" s="166">
        <f>GeneralInputPrices!$D$30</f>
        <v>14.55</v>
      </c>
      <c r="E457" s="166">
        <f>'Inputs&amp;PricesbyCrop'!$E$14*BASEBUDGETS!$C$348</f>
        <v>0</v>
      </c>
      <c r="F457" s="166">
        <f t="shared" si="33"/>
        <v>0</v>
      </c>
      <c r="G457" s="166"/>
    </row>
    <row r="458" spans="2:7">
      <c r="B458" t="str">
        <f>'Inputs&amp;PricesbyCrop'!$B$15</f>
        <v>Additional Land Prep. Labor</v>
      </c>
      <c r="C458" s="137" t="str">
        <f>'Inputs&amp;PricesbyCrop'!$C$15</f>
        <v>hour</v>
      </c>
      <c r="D458" s="166">
        <f>GeneralInputPrices!$D$30</f>
        <v>14.55</v>
      </c>
      <c r="E458" s="166">
        <f>'Inputs&amp;PricesbyCrop'!$E$15*BASEBUDGETS!$C$348</f>
        <v>0</v>
      </c>
      <c r="F458" s="166">
        <f t="shared" si="33"/>
        <v>0</v>
      </c>
      <c r="G458" s="166"/>
    </row>
    <row r="459" spans="2:7">
      <c r="B459" t="str">
        <f>'Inputs&amp;PricesbyCrop'!$B$17</f>
        <v>Additional Crop Prod. Labor</v>
      </c>
      <c r="C459" s="137" t="str">
        <f>'Inputs&amp;PricesbyCrop'!$C$17</f>
        <v>hour</v>
      </c>
      <c r="D459" s="166">
        <f>GeneralInputPrices!$D$31</f>
        <v>14.55</v>
      </c>
      <c r="E459" s="166">
        <f>'Inputs&amp;PricesbyCrop'!$E$17*BASEBUDGETS!$C$348</f>
        <v>0</v>
      </c>
      <c r="F459" s="166">
        <f t="shared" si="33"/>
        <v>0</v>
      </c>
      <c r="G459" s="166"/>
    </row>
    <row r="460" spans="2:7">
      <c r="B460" t="str">
        <f>'Inputs&amp;PricesbyCrop'!$B$18</f>
        <v>Additional Crop Prod. Labor</v>
      </c>
      <c r="C460" s="137" t="str">
        <f>'Inputs&amp;PricesbyCrop'!$C$18</f>
        <v>hour</v>
      </c>
      <c r="D460" s="166">
        <f>GeneralInputPrices!$D$31</f>
        <v>14.55</v>
      </c>
      <c r="E460" s="166">
        <f>'Inputs&amp;PricesbyCrop'!$E$18*BASEBUDGETS!$C$348</f>
        <v>0</v>
      </c>
      <c r="F460" s="166">
        <f t="shared" si="33"/>
        <v>0</v>
      </c>
      <c r="G460" s="166"/>
    </row>
    <row r="461" spans="2:7">
      <c r="B461" t="str">
        <f>'Inputs&amp;PricesbyCrop'!$B$20</f>
        <v>Additional Harvest Labor</v>
      </c>
      <c r="C461" s="137" t="str">
        <f>'Inputs&amp;PricesbyCrop'!$C$20</f>
        <v>hour</v>
      </c>
      <c r="D461" s="166">
        <f>GeneralInputPrices!$D$32</f>
        <v>17.89</v>
      </c>
      <c r="E461" s="166">
        <f>'Inputs&amp;PricesbyCrop'!$E$20*BASEBUDGETS!$C$348</f>
        <v>0</v>
      </c>
      <c r="F461" s="166">
        <f t="shared" si="33"/>
        <v>0</v>
      </c>
      <c r="G461" s="166"/>
    </row>
    <row r="462" spans="2:7">
      <c r="B462" t="str">
        <f>'Inputs&amp;PricesbyCrop'!$B$21</f>
        <v>Additional Harvest Labor</v>
      </c>
      <c r="C462" s="137" t="str">
        <f>'Inputs&amp;PricesbyCrop'!$C$21</f>
        <v>hour</v>
      </c>
      <c r="D462" s="166">
        <f>GeneralInputPrices!$D$32</f>
        <v>17.89</v>
      </c>
      <c r="E462" s="166">
        <f>'Inputs&amp;PricesbyCrop'!$E$21*BASEBUDGETS!$C$348</f>
        <v>0</v>
      </c>
      <c r="F462" s="166">
        <f t="shared" si="33"/>
        <v>0</v>
      </c>
      <c r="G462" s="166"/>
    </row>
    <row r="463" spans="2:7">
      <c r="B463" t="s">
        <v>59</v>
      </c>
      <c r="C463" s="137" t="str">
        <f>GeneralInputPrices!$C$34</f>
        <v>percent</v>
      </c>
      <c r="D463" s="138">
        <f>GeneralInputPrices!$D$34</f>
        <v>0.05</v>
      </c>
      <c r="E463" s="75" t="s">
        <v>10</v>
      </c>
      <c r="F463" s="37">
        <f>SUM(F357:F462)*D463</f>
        <v>2349.4201881552081</v>
      </c>
      <c r="G463" s="37"/>
    </row>
    <row r="464" spans="2:7">
      <c r="B464" t="s">
        <v>60</v>
      </c>
      <c r="C464" s="137" t="str">
        <f>GeneralInputPrices!$C$34</f>
        <v>percent</v>
      </c>
      <c r="D464" s="138">
        <f>GeneralInputPrices!$D$35</f>
        <v>0.06</v>
      </c>
      <c r="F464" s="139">
        <f>SUM(F357:F463)*((D464/12)*GeneralInputPrices!$D$39)</f>
        <v>1480.1347185377808</v>
      </c>
      <c r="G464" s="139"/>
    </row>
    <row r="465" spans="2:7">
      <c r="B465" t="s">
        <v>61</v>
      </c>
      <c r="D465" s="454"/>
      <c r="F465" s="37">
        <f>SUM(F357:F464)</f>
        <v>50817.958669797146</v>
      </c>
      <c r="G465" s="37"/>
    </row>
    <row r="466" spans="2:7">
      <c r="D466" s="454"/>
    </row>
    <row r="467" spans="2:7">
      <c r="B467" s="140" t="s">
        <v>129</v>
      </c>
      <c r="C467" s="458" t="s">
        <v>1</v>
      </c>
      <c r="D467" s="459" t="s">
        <v>24</v>
      </c>
      <c r="E467" s="460" t="s">
        <v>25</v>
      </c>
      <c r="F467" s="460" t="s">
        <v>0</v>
      </c>
      <c r="G467" s="277"/>
    </row>
    <row r="468" spans="2:7">
      <c r="B468" t="str">
        <f>GeneralInputPrices!$B$15&amp;" - Upfront Costs for New System"</f>
        <v>Flood - Upfront Costs for New System</v>
      </c>
      <c r="C468" s="453" t="str">
        <f>GeneralInputPrices!$C$16</f>
        <v>acre</v>
      </c>
      <c r="D468">
        <f>IF('BreakevenInputs&amp;Resources'!T$16=0,0,(('BreakevenInputs&amp;Resources'!T$16/GeneralInputPrices!$D$17)*('AcresYieldsPrices&amp;Water'!$Q$30/'AcresYieldsPrices&amp;Water'!$Q$31))/$C348)</f>
        <v>0</v>
      </c>
      <c r="E468" s="166">
        <f>$C348</f>
        <v>150</v>
      </c>
      <c r="F468" s="166">
        <f>D468*E468</f>
        <v>0</v>
      </c>
      <c r="G468" s="163"/>
    </row>
    <row r="469" spans="2:7">
      <c r="B469" t="str">
        <f>GeneralInputPrices!$B$19&amp;" - Upfront Costs for New System"</f>
        <v>Drip-tape - Upfront Costs for New System</v>
      </c>
      <c r="C469" s="453" t="str">
        <f>GeneralInputPrices!$C$20</f>
        <v>acre</v>
      </c>
      <c r="D469">
        <f>IF('BreakevenInputs&amp;Resources'!T$17=0,0,(('BreakevenInputs&amp;Resources'!T$17/GeneralInputPrices!$D$21)*('AcresYieldsPrices&amp;Water'!$Q$30/'AcresYieldsPrices&amp;Water'!$Q$31))/$C348)</f>
        <v>0</v>
      </c>
      <c r="E469" s="166">
        <f>$C348</f>
        <v>150</v>
      </c>
      <c r="F469" s="166">
        <f>D469*E469</f>
        <v>0</v>
      </c>
      <c r="G469" s="163"/>
    </row>
    <row r="470" spans="2:7">
      <c r="B470" t="str">
        <f>GeneralInputPrices!$B$23&amp;" - Upfront Costs for New System"</f>
        <v>Sprinkler - Upfront Costs for New System</v>
      </c>
      <c r="C470" s="453" t="str">
        <f>GeneralInputPrices!$C$24</f>
        <v>acre</v>
      </c>
      <c r="D470">
        <f>IF('BreakevenInputs&amp;Resources'!T$18=0,0,(('BreakevenInputs&amp;Resources'!T$18/GeneralInputPrices!$D$25)*('AcresYieldsPrices&amp;Water'!$Q$30/'AcresYieldsPrices&amp;Water'!$Q$31))/$C348)</f>
        <v>0</v>
      </c>
      <c r="E470" s="166">
        <f>$C348</f>
        <v>150</v>
      </c>
      <c r="F470" s="166">
        <f>D470*E470</f>
        <v>0</v>
      </c>
      <c r="G470" s="163"/>
    </row>
    <row r="471" spans="2:7">
      <c r="B471" s="463" t="str">
        <f>TillageOperations!$B$7</f>
        <v>V-Ripper</v>
      </c>
      <c r="C471" s="464" t="s">
        <v>157</v>
      </c>
      <c r="D471" s="166">
        <f>PubMachineryTables!$AO$49</f>
        <v>209.18701372031111</v>
      </c>
      <c r="E471" s="166">
        <f>E400</f>
        <v>0</v>
      </c>
      <c r="F471" s="168">
        <f t="shared" ref="F471:F482" si="34">D471*E471</f>
        <v>0</v>
      </c>
      <c r="G471" s="168"/>
    </row>
    <row r="472" spans="2:7">
      <c r="B472" s="463" t="str">
        <f>TillageOperations!$B$8</f>
        <v>Offset Disk</v>
      </c>
      <c r="C472" s="464" t="s">
        <v>157</v>
      </c>
      <c r="D472" s="166">
        <f>PubMachineryTables!$AO$50</f>
        <v>42.467441655558019</v>
      </c>
      <c r="E472" s="166">
        <f>E402</f>
        <v>7.5</v>
      </c>
      <c r="F472" s="166">
        <f t="shared" si="34"/>
        <v>318.50581241668516</v>
      </c>
      <c r="G472" s="166"/>
    </row>
    <row r="473" spans="2:7">
      <c r="B473" s="463" t="str">
        <f>TillageOperations!$B$9</f>
        <v>Drag</v>
      </c>
      <c r="C473" s="464" t="s">
        <v>157</v>
      </c>
      <c r="D473" s="166">
        <f>PubMachineryTables!$AO$51</f>
        <v>0</v>
      </c>
      <c r="E473" s="166">
        <f>E404</f>
        <v>0</v>
      </c>
      <c r="F473" s="166">
        <f t="shared" si="34"/>
        <v>0</v>
      </c>
      <c r="G473" s="166"/>
    </row>
    <row r="474" spans="2:7">
      <c r="B474" s="463" t="str">
        <f>TillageOperations!$B$10</f>
        <v>Chisel</v>
      </c>
      <c r="C474" s="464" t="s">
        <v>157</v>
      </c>
      <c r="D474" s="166">
        <f>PubMachineryTables!$AO$52</f>
        <v>40.724752902248241</v>
      </c>
      <c r="E474" s="166">
        <f>E406</f>
        <v>0</v>
      </c>
      <c r="F474" s="166">
        <f t="shared" si="34"/>
        <v>0</v>
      </c>
      <c r="G474" s="166"/>
    </row>
    <row r="475" spans="2:7">
      <c r="B475" s="463" t="str">
        <f>TillageOperations!$B$11</f>
        <v>Moldboard Plow</v>
      </c>
      <c r="C475" s="464" t="s">
        <v>157</v>
      </c>
      <c r="D475" s="166">
        <f>PubMachineryTables!$AO$53</f>
        <v>0</v>
      </c>
      <c r="E475" s="166">
        <f>E408</f>
        <v>0</v>
      </c>
      <c r="F475" s="166">
        <f t="shared" si="34"/>
        <v>0</v>
      </c>
      <c r="G475" s="166"/>
    </row>
    <row r="476" spans="2:7">
      <c r="B476" s="463" t="str">
        <f>TillageOperations!$B$12</f>
        <v>Cultivator</v>
      </c>
      <c r="C476" s="464" t="s">
        <v>157</v>
      </c>
      <c r="D476" s="166">
        <f>PubMachineryTables!$AO$54</f>
        <v>0</v>
      </c>
      <c r="E476" s="166">
        <f>E410</f>
        <v>0</v>
      </c>
      <c r="F476" s="166">
        <f t="shared" si="34"/>
        <v>0</v>
      </c>
      <c r="G476" s="166"/>
    </row>
    <row r="477" spans="2:7">
      <c r="B477" s="463" t="str">
        <f>TillageOperations!$B$13</f>
        <v>Landplane</v>
      </c>
      <c r="C477" s="464" t="s">
        <v>157</v>
      </c>
      <c r="D477" s="166">
        <f>PubMachineryTables!$AO$55</f>
        <v>107.77752986339607</v>
      </c>
      <c r="E477" s="166">
        <f>E412</f>
        <v>0</v>
      </c>
      <c r="F477" s="166">
        <f t="shared" si="34"/>
        <v>0</v>
      </c>
      <c r="G477" s="166"/>
    </row>
    <row r="478" spans="2:7">
      <c r="B478" s="463" t="str">
        <f>TillageOperations!$B$14</f>
        <v>Float</v>
      </c>
      <c r="C478" s="464" t="s">
        <v>157</v>
      </c>
      <c r="D478" s="166">
        <f>PubMachineryTables!$AO$56</f>
        <v>0</v>
      </c>
      <c r="E478" s="166">
        <f>E414</f>
        <v>0</v>
      </c>
      <c r="F478" s="166">
        <f t="shared" si="34"/>
        <v>0</v>
      </c>
      <c r="G478" s="166"/>
    </row>
    <row r="479" spans="2:7">
      <c r="B479" s="463" t="str">
        <f>TillageOperations!$B$15</f>
        <v>Lister</v>
      </c>
      <c r="C479" s="464" t="s">
        <v>157</v>
      </c>
      <c r="D479" s="166">
        <f>PubMachineryTables!$AO$57</f>
        <v>72.676050764764099</v>
      </c>
      <c r="E479" s="166">
        <f>E416</f>
        <v>0</v>
      </c>
      <c r="F479" s="166">
        <f t="shared" si="34"/>
        <v>0</v>
      </c>
      <c r="G479" s="166"/>
    </row>
    <row r="480" spans="2:7">
      <c r="B480" s="463" t="str">
        <f>TillageOperations!$B$16</f>
        <v>Bed Shaper</v>
      </c>
      <c r="C480" s="464" t="s">
        <v>157</v>
      </c>
      <c r="D480" s="166">
        <f>PubMachineryTables!$AO$58</f>
        <v>50.420091551988918</v>
      </c>
      <c r="E480" s="166">
        <f>E418</f>
        <v>0</v>
      </c>
      <c r="F480" s="166">
        <f t="shared" si="34"/>
        <v>0</v>
      </c>
      <c r="G480" s="166"/>
    </row>
    <row r="481" spans="2:7">
      <c r="B481" s="463" t="str">
        <f>TillageOperations!$B$19</f>
        <v>Row Planter</v>
      </c>
      <c r="C481" s="464" t="s">
        <v>157</v>
      </c>
      <c r="D481" s="166">
        <f>PubMachineryTables!$AO$60</f>
        <v>218.60367298033367</v>
      </c>
      <c r="E481" s="166">
        <f>E420</f>
        <v>0</v>
      </c>
      <c r="F481" s="166">
        <f t="shared" si="34"/>
        <v>0</v>
      </c>
      <c r="G481" s="166"/>
    </row>
    <row r="482" spans="2:7">
      <c r="B482" s="463" t="str">
        <f>TillageOperations!$B$20</f>
        <v>Row Cultivator</v>
      </c>
      <c r="C482" s="464" t="s">
        <v>157</v>
      </c>
      <c r="D482" s="166">
        <f>PubMachineryTables!$AO$61</f>
        <v>74.064902712939798</v>
      </c>
      <c r="E482" s="166">
        <f>E422</f>
        <v>0</v>
      </c>
      <c r="F482" s="166">
        <f t="shared" si="34"/>
        <v>0</v>
      </c>
      <c r="G482" s="166"/>
    </row>
    <row r="483" spans="2:7">
      <c r="B483" s="465" t="str">
        <f>TillageOperations!$B$21</f>
        <v>Drill</v>
      </c>
      <c r="C483" s="464" t="s">
        <v>157</v>
      </c>
      <c r="D483" s="166">
        <f>PubMachineryTables!$AO$62</f>
        <v>51.837941761576523</v>
      </c>
      <c r="E483" s="166">
        <f>E424</f>
        <v>0</v>
      </c>
      <c r="F483" s="166">
        <f t="shared" ref="F483:F487" si="35">D483*E483</f>
        <v>0</v>
      </c>
      <c r="G483" s="166"/>
    </row>
    <row r="484" spans="2:7">
      <c r="B484" s="463" t="str">
        <f>TillageOperations!$B$27</f>
        <v>Cotton Picker</v>
      </c>
      <c r="C484" s="464" t="s">
        <v>157</v>
      </c>
      <c r="D484" s="166">
        <f>PubMachineryTables!$AO$67</f>
        <v>0</v>
      </c>
      <c r="E484" s="166">
        <f>E426</f>
        <v>0</v>
      </c>
      <c r="F484" s="166">
        <f t="shared" si="35"/>
        <v>0</v>
      </c>
      <c r="G484" s="166"/>
    </row>
    <row r="485" spans="2:7">
      <c r="B485" s="463" t="str">
        <f>TillageOperations!$B$28</f>
        <v>Module Unit</v>
      </c>
      <c r="C485" s="464" t="s">
        <v>157</v>
      </c>
      <c r="D485" s="166">
        <f>PubMachineryTables!$AO$68</f>
        <v>0</v>
      </c>
      <c r="E485" s="166">
        <f>E428</f>
        <v>0</v>
      </c>
      <c r="F485" s="166">
        <f t="shared" si="35"/>
        <v>0</v>
      </c>
      <c r="G485" s="166"/>
    </row>
    <row r="486" spans="2:7">
      <c r="B486" s="463" t="str">
        <f>TillageOperations!$B$29</f>
        <v>Haul Cotton</v>
      </c>
      <c r="C486" s="464" t="s">
        <v>157</v>
      </c>
      <c r="D486" s="166">
        <f>PubMachineryTables!$AO$69</f>
        <v>0</v>
      </c>
      <c r="E486" s="166">
        <f>E430</f>
        <v>0</v>
      </c>
      <c r="F486" s="166">
        <f t="shared" si="35"/>
        <v>0</v>
      </c>
      <c r="G486" s="166"/>
    </row>
    <row r="487" spans="2:7">
      <c r="B487" s="465" t="str">
        <f>TillageOperations!$B$17</f>
        <v>Cotton Shredder/Root Puller</v>
      </c>
      <c r="C487" s="464" t="s">
        <v>157</v>
      </c>
      <c r="D487" s="166">
        <f>PubMachineryTables!$AO$59</f>
        <v>0</v>
      </c>
      <c r="E487" s="166">
        <f>E432</f>
        <v>0</v>
      </c>
      <c r="F487" s="166">
        <f t="shared" si="35"/>
        <v>0</v>
      </c>
      <c r="G487" s="166"/>
    </row>
    <row r="488" spans="2:7">
      <c r="B488" s="102" t="str">
        <f>TillageOperations!$B$30</f>
        <v>Combine</v>
      </c>
      <c r="C488" s="464" t="s">
        <v>157</v>
      </c>
      <c r="D488" s="166">
        <f>PubMachineryTables!$AO$70</f>
        <v>154.43457969840463</v>
      </c>
      <c r="E488" s="166">
        <f>E434</f>
        <v>0</v>
      </c>
      <c r="F488" s="166">
        <f>D488*E488</f>
        <v>0</v>
      </c>
      <c r="G488" s="166"/>
    </row>
    <row r="489" spans="2:7">
      <c r="B489" s="102" t="str">
        <f>TillageOperations!$B$31</f>
        <v>Grain Cart</v>
      </c>
      <c r="C489" s="464" t="s">
        <v>157</v>
      </c>
      <c r="D489" s="166">
        <f>PubMachineryTables!$AO$71</f>
        <v>25.28843211678571</v>
      </c>
      <c r="E489" s="166">
        <f>E436</f>
        <v>0</v>
      </c>
      <c r="F489" s="166">
        <f>D489*E489</f>
        <v>0</v>
      </c>
      <c r="G489" s="166"/>
    </row>
    <row r="490" spans="2:7">
      <c r="B490" s="102" t="str">
        <f>TillageOperations!$B$32</f>
        <v>Swather</v>
      </c>
      <c r="C490" s="464" t="s">
        <v>157</v>
      </c>
      <c r="D490" s="166">
        <f>PubMachineryTables!$AO$72</f>
        <v>0</v>
      </c>
      <c r="E490" s="166">
        <f>E438</f>
        <v>0</v>
      </c>
      <c r="F490" s="166">
        <f t="shared" ref="F490:F498" si="36">D490*E490</f>
        <v>0</v>
      </c>
      <c r="G490" s="166"/>
    </row>
    <row r="491" spans="2:7">
      <c r="B491" s="102" t="str">
        <f>TillageOperations!$B$33</f>
        <v>Baler</v>
      </c>
      <c r="C491" s="464" t="s">
        <v>157</v>
      </c>
      <c r="D491" s="166">
        <f>PubMachineryTables!$AO$73</f>
        <v>0</v>
      </c>
      <c r="E491" s="166">
        <f>E440</f>
        <v>0</v>
      </c>
      <c r="F491" s="166">
        <f t="shared" si="36"/>
        <v>0</v>
      </c>
      <c r="G491" s="166"/>
    </row>
    <row r="492" spans="2:7">
      <c r="B492" s="102" t="str">
        <f>TillageOperations!$B$34</f>
        <v>Swather</v>
      </c>
      <c r="C492" s="464" t="s">
        <v>157</v>
      </c>
      <c r="D492" s="166">
        <f>PubMachineryTables!$AO$74</f>
        <v>0</v>
      </c>
      <c r="E492" s="166">
        <f>E442</f>
        <v>0</v>
      </c>
      <c r="F492" s="166">
        <f t="shared" si="36"/>
        <v>0</v>
      </c>
      <c r="G492" s="166"/>
    </row>
    <row r="493" spans="2:7">
      <c r="B493" s="102" t="str">
        <f>TillageOperations!$B$35</f>
        <v>Baler</v>
      </c>
      <c r="C493" s="464" t="s">
        <v>157</v>
      </c>
      <c r="D493" s="166">
        <f>PubMachineryTables!$AO$75</f>
        <v>0</v>
      </c>
      <c r="E493" s="166">
        <f>E444</f>
        <v>0</v>
      </c>
      <c r="F493" s="166">
        <f t="shared" si="36"/>
        <v>0</v>
      </c>
      <c r="G493" s="166"/>
    </row>
    <row r="494" spans="2:7">
      <c r="B494" s="102" t="str">
        <f>TillageOperations!$B$36</f>
        <v>Bale Wagon</v>
      </c>
      <c r="C494" s="464" t="s">
        <v>157</v>
      </c>
      <c r="D494" s="166">
        <f>PubMachineryTables!$AO$76</f>
        <v>0</v>
      </c>
      <c r="E494" s="166">
        <f>E447</f>
        <v>0</v>
      </c>
      <c r="F494" s="166">
        <f t="shared" si="36"/>
        <v>0</v>
      </c>
      <c r="G494" s="166"/>
    </row>
    <row r="495" spans="2:7">
      <c r="B495" s="102" t="str">
        <f>TillageOperations!$B$23</f>
        <v>Fertilizer Spreader</v>
      </c>
      <c r="C495" s="464" t="s">
        <v>157</v>
      </c>
      <c r="D495" s="166">
        <f>PubMachineryTables!$AO$64</f>
        <v>93.913865291400512</v>
      </c>
      <c r="E495" s="166">
        <f>E449</f>
        <v>0</v>
      </c>
      <c r="F495" s="166">
        <f t="shared" si="36"/>
        <v>0</v>
      </c>
      <c r="G495" s="166"/>
    </row>
    <row r="496" spans="2:7">
      <c r="B496" s="102" t="str">
        <f>TillageOperations!$B$24</f>
        <v>Fertilizer Injection System</v>
      </c>
      <c r="C496" s="464" t="s">
        <v>157</v>
      </c>
      <c r="D496" s="166">
        <f>PubMachineryTables!$AO$65</f>
        <v>0</v>
      </c>
      <c r="E496" s="166">
        <f>E451</f>
        <v>0</v>
      </c>
      <c r="F496" s="166">
        <f t="shared" si="36"/>
        <v>0</v>
      </c>
      <c r="G496" s="166"/>
    </row>
    <row r="497" spans="2:8">
      <c r="B497" s="102" t="str">
        <f>TillageOperations!$B$25</f>
        <v>Boom Sprayer</v>
      </c>
      <c r="C497" s="464" t="s">
        <v>157</v>
      </c>
      <c r="D497" s="166">
        <f>PubMachineryTables!$AO$66</f>
        <v>9.6826493425933542</v>
      </c>
      <c r="E497" s="166">
        <f>E453</f>
        <v>150</v>
      </c>
      <c r="F497" s="166">
        <f t="shared" si="36"/>
        <v>1452.3974013890031</v>
      </c>
      <c r="G497" s="166"/>
    </row>
    <row r="498" spans="2:8">
      <c r="B498" s="102" t="str">
        <f>TillageOperations!$B$22</f>
        <v>Transplanter</v>
      </c>
      <c r="C498" s="464" t="s">
        <v>157</v>
      </c>
      <c r="D498" s="166">
        <f>PubMachineryTables!$AO$63</f>
        <v>0</v>
      </c>
      <c r="E498" s="166">
        <f>E455</f>
        <v>0</v>
      </c>
      <c r="F498" s="166">
        <f t="shared" si="36"/>
        <v>0</v>
      </c>
      <c r="G498" s="166"/>
    </row>
    <row r="499" spans="2:8">
      <c r="B499" t="str">
        <f>'Inputs&amp;PricesbyCrop'!$B$39</f>
        <v>Crop Insurance</v>
      </c>
      <c r="C499" s="464" t="s">
        <v>157</v>
      </c>
      <c r="D499" s="166">
        <f>'Inputs&amp;PricesbyCrop'!$E$39</f>
        <v>0</v>
      </c>
      <c r="E499" s="169">
        <f t="shared" ref="E499:E504" si="37">$C$348</f>
        <v>150</v>
      </c>
      <c r="F499" s="166">
        <f>D499*E499</f>
        <v>0</v>
      </c>
      <c r="G499" s="166"/>
    </row>
    <row r="500" spans="2:8">
      <c r="B500" t="str">
        <f>'Inputs&amp;PricesbyCrop'!$B$40</f>
        <v>Property Insurance</v>
      </c>
      <c r="C500" s="464" t="s">
        <v>157</v>
      </c>
      <c r="D500" s="166">
        <f>'Inputs&amp;PricesbyCrop'!$E$40</f>
        <v>0</v>
      </c>
      <c r="E500" s="169">
        <f t="shared" si="37"/>
        <v>150</v>
      </c>
      <c r="F500" s="166">
        <f>D500*E500</f>
        <v>0</v>
      </c>
      <c r="G500" s="166"/>
    </row>
    <row r="501" spans="2:8">
      <c r="B501" t="str">
        <f>'Inputs&amp;PricesbyCrop'!$B$41</f>
        <v>Property Taxes</v>
      </c>
      <c r="C501" s="464" t="s">
        <v>157</v>
      </c>
      <c r="D501" s="166">
        <f>'Inputs&amp;PricesbyCrop'!$E$41</f>
        <v>0</v>
      </c>
      <c r="E501" s="169">
        <f t="shared" si="37"/>
        <v>150</v>
      </c>
      <c r="F501" s="166">
        <f t="shared" ref="F501:F504" si="38">D501*E501</f>
        <v>0</v>
      </c>
      <c r="G501" s="166"/>
    </row>
    <row r="502" spans="2:8">
      <c r="B502" t="str">
        <f>'Inputs&amp;PricesbyCrop'!$B$42</f>
        <v>Annual Cash Rent Payment</v>
      </c>
      <c r="C502" s="464" t="s">
        <v>157</v>
      </c>
      <c r="D502" s="166">
        <f>'Inputs&amp;PricesbyCrop'!$E$42</f>
        <v>170</v>
      </c>
      <c r="E502" s="169">
        <f t="shared" si="37"/>
        <v>150</v>
      </c>
      <c r="F502" s="166">
        <f t="shared" si="38"/>
        <v>25500</v>
      </c>
      <c r="G502" s="166"/>
    </row>
    <row r="503" spans="2:8">
      <c r="B503" t="s">
        <v>484</v>
      </c>
      <c r="C503" s="464" t="s">
        <v>157</v>
      </c>
      <c r="D503" s="166">
        <f>'Guayule Grow'!I106</f>
        <v>0</v>
      </c>
      <c r="E503" s="169">
        <f t="shared" si="37"/>
        <v>150</v>
      </c>
      <c r="F503" s="166">
        <f t="shared" ref="F503" si="39">D503*E503</f>
        <v>0</v>
      </c>
      <c r="G503" s="166"/>
    </row>
    <row r="504" spans="2:8">
      <c r="B504" t="str">
        <f>'Inputs&amp;PricesbyCrop'!$B$49</f>
        <v>Licenses and Fees</v>
      </c>
      <c r="C504" s="464" t="s">
        <v>157</v>
      </c>
      <c r="D504" s="166">
        <f>'Inputs&amp;PricesbyCrop'!$E$49</f>
        <v>0</v>
      </c>
      <c r="E504" s="169">
        <f t="shared" si="37"/>
        <v>150</v>
      </c>
      <c r="F504" s="170">
        <f t="shared" si="38"/>
        <v>0</v>
      </c>
      <c r="G504" s="170"/>
    </row>
    <row r="505" spans="2:8">
      <c r="B505" t="s">
        <v>131</v>
      </c>
      <c r="D505" s="454"/>
      <c r="F505" s="37">
        <f>SUM(F468:F504)</f>
        <v>27270.903213805686</v>
      </c>
      <c r="G505" s="37"/>
    </row>
    <row r="506" spans="2:8">
      <c r="D506" s="454"/>
      <c r="F506" s="37">
        <f>F508/75</f>
        <v>-1041.1848251147044</v>
      </c>
    </row>
    <row r="507" spans="2:8">
      <c r="B507" t="s">
        <v>63</v>
      </c>
      <c r="D507" s="454"/>
      <c r="F507" s="37">
        <f>(F465+F505)*(1+'NewCrop&amp;WholeFarmNetReturns'!$B$10)</f>
        <v>78088.861883602833</v>
      </c>
      <c r="G507" s="37">
        <f>F507*(1+'NewCrop&amp;WholeFarmNetReturns'!$B$17)</f>
        <v>85897.748071963128</v>
      </c>
      <c r="H507" s="37">
        <f>F507*(1+'NewCrop&amp;WholeFarmNetReturns'!$B$24)</f>
        <v>70279.975695242552</v>
      </c>
    </row>
    <row r="508" spans="2:8">
      <c r="B508" t="s">
        <v>64</v>
      </c>
      <c r="D508" s="454"/>
      <c r="F508" s="37">
        <f>F354-F507</f>
        <v>-78088.861883602833</v>
      </c>
      <c r="G508" s="37">
        <f>F354-G507</f>
        <v>-85897.748071963128</v>
      </c>
      <c r="H508" s="37">
        <f>F354-H507</f>
        <v>-70279.975695242552</v>
      </c>
    </row>
    <row r="509" spans="2:8">
      <c r="B509" s="249" t="s">
        <v>276</v>
      </c>
      <c r="C509" s="249" t="s">
        <v>4</v>
      </c>
      <c r="D509" s="250" t="s">
        <v>277</v>
      </c>
      <c r="E509" s="249" t="s">
        <v>278</v>
      </c>
      <c r="F509" s="249" t="s">
        <v>279</v>
      </c>
      <c r="G509" s="249"/>
    </row>
    <row r="510" spans="2:8">
      <c r="B510" s="135" t="str">
        <f>'AcresYieldsPrices&amp;Water'!B4</f>
        <v>Guayule</v>
      </c>
      <c r="D510" s="454"/>
    </row>
    <row r="511" spans="2:8">
      <c r="B511" t="s">
        <v>16</v>
      </c>
      <c r="C511" s="457">
        <f>'AcresYieldsPrices&amp;Water'!D4</f>
        <v>150</v>
      </c>
      <c r="D511" s="454" t="s">
        <v>17</v>
      </c>
    </row>
    <row r="512" spans="2:8">
      <c r="D512" s="454"/>
    </row>
    <row r="513" spans="2:7">
      <c r="B513" t="s">
        <v>22</v>
      </c>
      <c r="D513" s="454"/>
    </row>
    <row r="514" spans="2:7">
      <c r="B514" s="455" t="s">
        <v>23</v>
      </c>
      <c r="C514" s="458" t="s">
        <v>1</v>
      </c>
      <c r="D514" s="459" t="s">
        <v>24</v>
      </c>
      <c r="E514" s="460" t="s">
        <v>25</v>
      </c>
      <c r="F514" s="460" t="s">
        <v>0</v>
      </c>
      <c r="G514" s="277"/>
    </row>
    <row r="515" spans="2:7">
      <c r="B515" t="str">
        <f>'AcresYieldsPrices&amp;Water'!J4</f>
        <v>Guayule Biomass</v>
      </c>
      <c r="C515" s="466" t="str">
        <f>'AcresYieldsPrices&amp;Water'!L4</f>
        <v>pound</v>
      </c>
      <c r="D515" s="454">
        <f>'AcresYieldsPrices&amp;Water'!$M$4</f>
        <v>0.08</v>
      </c>
      <c r="E515" s="462">
        <f>'AcresYieldsPrices&amp;Water'!N4*BASEBUDGETS!C511</f>
        <v>3300000</v>
      </c>
      <c r="F515" s="141">
        <f>D515*E515</f>
        <v>264000</v>
      </c>
      <c r="G515" s="141"/>
    </row>
    <row r="516" spans="2:7">
      <c r="B516" t="str">
        <f>'AcresYieldsPrices&amp;Water'!J5</f>
        <v>Guayule Rubber Content</v>
      </c>
      <c r="C516" s="466" t="str">
        <f>'AcresYieldsPrices&amp;Water'!L5</f>
        <v>kilogram</v>
      </c>
      <c r="D516" s="454">
        <f>'AcresYieldsPrices&amp;Water'!$M$5</f>
        <v>0</v>
      </c>
      <c r="E516" s="462">
        <f>'AcresYieldsPrices&amp;Water'!N5*BASEBUDGETS!C511</f>
        <v>0</v>
      </c>
      <c r="F516" s="136">
        <f>D516*E516</f>
        <v>0</v>
      </c>
      <c r="G516" s="136"/>
    </row>
    <row r="517" spans="2:7">
      <c r="B517" t="s">
        <v>27</v>
      </c>
      <c r="D517" s="454"/>
      <c r="F517" s="37">
        <f>SUM(F515:F516)</f>
        <v>264000</v>
      </c>
      <c r="G517" s="163">
        <f>F517/C$511</f>
        <v>1760</v>
      </c>
    </row>
    <row r="518" spans="2:7">
      <c r="D518" s="454"/>
    </row>
    <row r="519" spans="2:7">
      <c r="B519" s="455" t="s">
        <v>33</v>
      </c>
      <c r="C519" s="458" t="s">
        <v>1</v>
      </c>
      <c r="D519" s="459" t="s">
        <v>24</v>
      </c>
      <c r="E519" s="460" t="s">
        <v>25</v>
      </c>
      <c r="F519" s="460" t="s">
        <v>0</v>
      </c>
      <c r="G519" s="277"/>
    </row>
    <row r="520" spans="2:7">
      <c r="B520" t="str">
        <f>'Inputs&amp;PricesbyCrop'!B71</f>
        <v xml:space="preserve">   - Seed</v>
      </c>
      <c r="C520" s="137" t="str">
        <f>'Inputs&amp;PricesbyCrop'!C$71</f>
        <v>cwt</v>
      </c>
      <c r="D520" s="163">
        <f>'Inputs&amp;PricesbyCrop'!$F$5</f>
        <v>0</v>
      </c>
      <c r="E520" s="166">
        <f>'Inputs&amp;PricesbyCrop'!$F$6*$C$511</f>
        <v>0</v>
      </c>
      <c r="F520" s="163">
        <f t="shared" ref="F520:F544" si="40">D520*E520</f>
        <v>0</v>
      </c>
      <c r="G520" s="163"/>
    </row>
    <row r="521" spans="2:7">
      <c r="B521" t="str">
        <f>GeneralInputPrices!$B$3</f>
        <v xml:space="preserve">   - Inoculant</v>
      </c>
      <c r="C521" s="137" t="str">
        <f>GeneralInputPrices!$C$3</f>
        <v>pounds</v>
      </c>
      <c r="D521" s="166">
        <f>GeneralInputPrices!$D$3</f>
        <v>3</v>
      </c>
      <c r="E521" s="166">
        <f>'Inputs&amp;PricesbyCrop'!$F$22*$C$511</f>
        <v>0</v>
      </c>
      <c r="F521" s="166">
        <f t="shared" si="40"/>
        <v>0</v>
      </c>
      <c r="G521" s="166"/>
    </row>
    <row r="522" spans="2:7">
      <c r="B522" t="str">
        <f>GeneralInputPrices!B$5</f>
        <v xml:space="preserve">   - Nitrogen</v>
      </c>
      <c r="C522" s="137" t="str">
        <f>GeneralInputPrices!$C$5</f>
        <v>pounds</v>
      </c>
      <c r="D522" s="166">
        <f>GeneralInputPrices!$D$5</f>
        <v>0.46</v>
      </c>
      <c r="E522" s="166">
        <f>'Inputs&amp;PricesbyCrop'!$F$23*$C$511</f>
        <v>9000</v>
      </c>
      <c r="F522" s="166">
        <f t="shared" si="40"/>
        <v>4140</v>
      </c>
      <c r="G522" s="166"/>
    </row>
    <row r="523" spans="2:7">
      <c r="B523" t="str">
        <f>GeneralInputPrices!B$6</f>
        <v xml:space="preserve">   - Phosphorus</v>
      </c>
      <c r="C523" s="137" t="str">
        <f>GeneralInputPrices!$C$6</f>
        <v>pounds</v>
      </c>
      <c r="D523" s="166">
        <f>GeneralInputPrices!$D$6</f>
        <v>0.36</v>
      </c>
      <c r="E523" s="166">
        <f>'Inputs&amp;PricesbyCrop'!$F$24*$C$511</f>
        <v>0</v>
      </c>
      <c r="F523" s="166">
        <f t="shared" si="40"/>
        <v>0</v>
      </c>
      <c r="G523" s="166"/>
    </row>
    <row r="524" spans="2:7">
      <c r="B524" t="str">
        <f>GeneralInputPrices!B$7</f>
        <v xml:space="preserve">   - Anhydrous Ammonia</v>
      </c>
      <c r="C524" s="137" t="str">
        <f>GeneralInputPrices!$C$7</f>
        <v>pounds</v>
      </c>
      <c r="D524" s="166">
        <f>GeneralInputPrices!$D$7</f>
        <v>0.21</v>
      </c>
      <c r="E524" s="166">
        <f>'Inputs&amp;PricesbyCrop'!$F$25*$C$511</f>
        <v>0</v>
      </c>
      <c r="F524" s="166">
        <f t="shared" si="40"/>
        <v>0</v>
      </c>
      <c r="G524" s="166"/>
    </row>
    <row r="525" spans="2:7">
      <c r="B525" t="str">
        <f>GeneralInputPrices!$B$8</f>
        <v xml:space="preserve">   - Trace Elements</v>
      </c>
      <c r="C525" s="137" t="str">
        <f>GeneralInputPrices!$C$8</f>
        <v>pounds</v>
      </c>
      <c r="D525" s="166">
        <f>GeneralInputPrices!$D$8</f>
        <v>0.24</v>
      </c>
      <c r="E525" s="166">
        <f>'Inputs&amp;PricesbyCrop'!$F$26*$C$511</f>
        <v>0</v>
      </c>
      <c r="F525" s="166">
        <f t="shared" si="40"/>
        <v>0</v>
      </c>
      <c r="G525" s="166"/>
    </row>
    <row r="526" spans="2:7">
      <c r="B526" t="str">
        <f>'Inputs&amp;PricesbyCrop'!$B$32</f>
        <v xml:space="preserve">   - Nitrogen</v>
      </c>
      <c r="C526" s="137" t="str">
        <f>'Inputs&amp;PricesbyCrop'!$C$32</f>
        <v>acre</v>
      </c>
      <c r="D526" s="166">
        <f>'Inputs&amp;PricesbyCrop'!$F$32</f>
        <v>0</v>
      </c>
      <c r="E526" s="166">
        <f>$C$511</f>
        <v>150</v>
      </c>
      <c r="F526" s="166">
        <f t="shared" si="40"/>
        <v>0</v>
      </c>
      <c r="G526" s="166"/>
    </row>
    <row r="527" spans="2:7">
      <c r="B527" t="str">
        <f>'Inputs&amp;PricesbyCrop'!$B$33</f>
        <v xml:space="preserve">   - Phosphorus</v>
      </c>
      <c r="C527" s="137" t="str">
        <f>'Inputs&amp;PricesbyCrop'!$C$33</f>
        <v>acre</v>
      </c>
      <c r="D527" s="166">
        <f>'Inputs&amp;PricesbyCrop'!$F$33</f>
        <v>0</v>
      </c>
      <c r="E527" s="166">
        <f>$C$511</f>
        <v>150</v>
      </c>
      <c r="F527" s="166">
        <f t="shared" si="40"/>
        <v>0</v>
      </c>
      <c r="G527" s="166"/>
    </row>
    <row r="528" spans="2:7">
      <c r="B528" t="str">
        <f>'Inputs&amp;PricesbyCrop'!$B$34</f>
        <v xml:space="preserve">   - Fertilizer - Anhydrous Applicator</v>
      </c>
      <c r="C528" s="137" t="str">
        <f>'Inputs&amp;PricesbyCrop'!$C$34</f>
        <v>acre</v>
      </c>
      <c r="D528" s="166">
        <f>'Inputs&amp;PricesbyCrop'!$F$34</f>
        <v>0</v>
      </c>
      <c r="E528" s="166">
        <f>$C$511</f>
        <v>150</v>
      </c>
      <c r="F528" s="166">
        <f t="shared" si="40"/>
        <v>0</v>
      </c>
      <c r="G528" s="166"/>
    </row>
    <row r="529" spans="2:7">
      <c r="B529" t="str">
        <f>GeneralInputPrices!$B$10</f>
        <v xml:space="preserve">   - Prowl</v>
      </c>
      <c r="C529" s="137" t="str">
        <f>GeneralInputPrices!$C$10</f>
        <v>pints</v>
      </c>
      <c r="D529" s="166">
        <f>GeneralInputPrices!$D$10</f>
        <v>6.0625</v>
      </c>
      <c r="E529" s="166">
        <f>'Inputs&amp;PricesbyCrop'!$F$27*$C$511</f>
        <v>0</v>
      </c>
      <c r="F529" s="166">
        <f t="shared" si="40"/>
        <v>0</v>
      </c>
      <c r="G529" s="166"/>
    </row>
    <row r="530" spans="2:7">
      <c r="B530" t="str">
        <f>GeneralInputPrices!$B$11</f>
        <v xml:space="preserve">   - Aim</v>
      </c>
      <c r="C530" s="137" t="str">
        <f>GeneralInputPrices!$C$11</f>
        <v>ounces</v>
      </c>
      <c r="D530" s="166">
        <f>GeneralInputPrices!$D$11</f>
        <v>5.9375</v>
      </c>
      <c r="E530" s="166">
        <f>'Inputs&amp;PricesbyCrop'!$F$28*$C$511</f>
        <v>0</v>
      </c>
      <c r="F530" s="166">
        <f t="shared" si="40"/>
        <v>0</v>
      </c>
      <c r="G530" s="166"/>
    </row>
    <row r="531" spans="2:7">
      <c r="B531" t="str">
        <f>GeneralInputPrices!$B$12</f>
        <v xml:space="preserve">   - Fusilade</v>
      </c>
      <c r="C531" s="137" t="str">
        <f>GeneralInputPrices!$C$12</f>
        <v>ounces</v>
      </c>
      <c r="D531" s="166">
        <f>GeneralInputPrices!$D$12</f>
        <v>1.25</v>
      </c>
      <c r="E531" s="166">
        <f>'Inputs&amp;PricesbyCrop'!$F$29*$C$511</f>
        <v>0</v>
      </c>
      <c r="F531" s="166">
        <f t="shared" si="40"/>
        <v>0</v>
      </c>
      <c r="G531" s="166"/>
    </row>
    <row r="532" spans="2:7">
      <c r="B532" t="str">
        <f>'Inputs&amp;PricesbyCrop'!$B$35</f>
        <v xml:space="preserve">   - Herbicides</v>
      </c>
      <c r="C532" s="137" t="str">
        <f>'Inputs&amp;PricesbyCrop'!$C$35</f>
        <v>acre</v>
      </c>
      <c r="D532" s="166">
        <f>'Inputs&amp;PricesbyCrop'!$F$35</f>
        <v>0</v>
      </c>
      <c r="E532" s="166">
        <f>$C$511</f>
        <v>150</v>
      </c>
      <c r="F532" s="166">
        <f t="shared" si="40"/>
        <v>0</v>
      </c>
      <c r="G532" s="166"/>
    </row>
    <row r="533" spans="2:7">
      <c r="B533" t="str">
        <f>'Inputs&amp;PricesbyCrop'!$B$36</f>
        <v xml:space="preserve">   - Herbicide - #2</v>
      </c>
      <c r="C533" s="137" t="str">
        <f>'Inputs&amp;PricesbyCrop'!$C$36</f>
        <v>acre</v>
      </c>
      <c r="D533" s="166">
        <f>'Inputs&amp;PricesbyCrop'!$F$36</f>
        <v>0</v>
      </c>
      <c r="E533" s="166">
        <f>$C$511</f>
        <v>150</v>
      </c>
      <c r="F533" s="166">
        <f t="shared" si="40"/>
        <v>0</v>
      </c>
      <c r="G533" s="166"/>
    </row>
    <row r="534" spans="2:7">
      <c r="B534" t="str">
        <f>'Inputs&amp;PricesbyCrop'!$B$37</f>
        <v xml:space="preserve">   - Insecticides</v>
      </c>
      <c r="C534" s="137" t="str">
        <f>'Inputs&amp;PricesbyCrop'!$C$37</f>
        <v>acre</v>
      </c>
      <c r="D534" s="166">
        <f>'Inputs&amp;PricesbyCrop'!$F$37</f>
        <v>0</v>
      </c>
      <c r="E534" s="166">
        <f>$C$511</f>
        <v>150</v>
      </c>
      <c r="F534" s="166">
        <f t="shared" si="40"/>
        <v>0</v>
      </c>
      <c r="G534" s="166"/>
    </row>
    <row r="535" spans="2:7">
      <c r="B535" t="str">
        <f>'Inputs&amp;PricesbyCrop'!$B$38</f>
        <v xml:space="preserve">   - Insecticide - #2</v>
      </c>
      <c r="C535" s="137" t="str">
        <f>'Inputs&amp;PricesbyCrop'!$C$38</f>
        <v>acre</v>
      </c>
      <c r="D535" s="166">
        <f>'Inputs&amp;PricesbyCrop'!$F$38</f>
        <v>0</v>
      </c>
      <c r="E535" s="166">
        <f>$C$511</f>
        <v>150</v>
      </c>
      <c r="F535" s="166">
        <f t="shared" si="40"/>
        <v>0</v>
      </c>
      <c r="G535" s="166"/>
    </row>
    <row r="536" spans="2:7">
      <c r="B536" t="str">
        <f>'Inputs&amp;PricesbyCrop'!$B$7</f>
        <v>Flood - Irrigation Water</v>
      </c>
      <c r="C536" s="137" t="str">
        <f>'Inputs&amp;PricesbyCrop'!$C$7</f>
        <v>ac ft</v>
      </c>
      <c r="D536" s="166">
        <f>GeneralInputPrices!$D$13</f>
        <v>55</v>
      </c>
      <c r="E536" s="102">
        <f>('AcresYieldsPrices&amp;Water'!$E$4*'Inputs&amp;PricesbyCrop'!$F$7)*$C511</f>
        <v>500</v>
      </c>
      <c r="F536" s="166">
        <f t="shared" si="40"/>
        <v>27500</v>
      </c>
      <c r="G536" s="166"/>
    </row>
    <row r="537" spans="2:7">
      <c r="B537" t="str">
        <f>'Inputs&amp;PricesbyCrop'!$B$8</f>
        <v>Flood - Irrigation Labor</v>
      </c>
      <c r="C537" s="137" t="str">
        <f>'Inputs&amp;PricesbyCrop'!$C$8</f>
        <v>hour</v>
      </c>
      <c r="D537" s="166">
        <f>GeneralInputPrices!$D$28</f>
        <v>14.55</v>
      </c>
      <c r="E537" s="166">
        <f>('AcresYieldsPrices&amp;Water'!$E$4*'Inputs&amp;PricesbyCrop'!$F$8)*$C511</f>
        <v>500</v>
      </c>
      <c r="F537" s="166">
        <f t="shared" si="40"/>
        <v>7275</v>
      </c>
      <c r="G537" s="166"/>
    </row>
    <row r="538" spans="2:7">
      <c r="B538" t="str">
        <f>GeneralInputPrices!$B$18</f>
        <v xml:space="preserve">   - Annual Repairs &amp; Maintenance</v>
      </c>
      <c r="C538" s="453" t="str">
        <f>GeneralInputPrices!$C$18</f>
        <v>acre</v>
      </c>
      <c r="D538" s="166">
        <f>GeneralInputPrices!$D$18</f>
        <v>3</v>
      </c>
      <c r="E538" s="166">
        <f>'AcresYieldsPrices&amp;Water'!$E$4*$C511</f>
        <v>150</v>
      </c>
      <c r="F538" s="166">
        <f t="shared" si="40"/>
        <v>450</v>
      </c>
      <c r="G538" s="166"/>
    </row>
    <row r="539" spans="2:7">
      <c r="B539" t="str">
        <f>'Inputs&amp;PricesbyCrop'!$B$9</f>
        <v>Drip-tape - Irrigation Water</v>
      </c>
      <c r="C539" s="137" t="str">
        <f>'Inputs&amp;PricesbyCrop'!$C$9</f>
        <v>ac ft</v>
      </c>
      <c r="D539" s="166">
        <f>GeneralInputPrices!$D$13</f>
        <v>55</v>
      </c>
      <c r="E539" s="166">
        <f>('AcresYieldsPrices&amp;Water'!$F$4*'Inputs&amp;PricesbyCrop'!$F$9)*$C511</f>
        <v>0</v>
      </c>
      <c r="F539" s="166">
        <f t="shared" si="40"/>
        <v>0</v>
      </c>
      <c r="G539" s="166"/>
    </row>
    <row r="540" spans="2:7">
      <c r="B540" t="str">
        <f>'Inputs&amp;PricesbyCrop'!$B$10</f>
        <v>Drip-tape - Irrigation Labor</v>
      </c>
      <c r="C540" s="137" t="str">
        <f>'Inputs&amp;PricesbyCrop'!$C$10</f>
        <v>hour</v>
      </c>
      <c r="D540" s="166">
        <f>GeneralInputPrices!$D$28</f>
        <v>14.55</v>
      </c>
      <c r="E540" s="166">
        <f>('AcresYieldsPrices&amp;Water'!$F$4*'Inputs&amp;PricesbyCrop'!$F$10)*$C511</f>
        <v>0</v>
      </c>
      <c r="F540" s="166">
        <f t="shared" si="40"/>
        <v>0</v>
      </c>
      <c r="G540" s="166"/>
    </row>
    <row r="541" spans="2:7">
      <c r="B541" t="str">
        <f>GeneralInputPrices!$B$22</f>
        <v xml:space="preserve">   - Annual Repairs &amp; Maintenance</v>
      </c>
      <c r="C541" s="453" t="str">
        <f>GeneralInputPrices!$C$22</f>
        <v>acre</v>
      </c>
      <c r="D541" s="166">
        <f>GeneralInputPrices!$D$22</f>
        <v>7.5</v>
      </c>
      <c r="E541" s="166">
        <f>'AcresYieldsPrices&amp;Water'!$F$4*C511</f>
        <v>0</v>
      </c>
      <c r="F541" s="166">
        <f t="shared" si="40"/>
        <v>0</v>
      </c>
      <c r="G541" s="166"/>
    </row>
    <row r="542" spans="2:7">
      <c r="B542" t="str">
        <f>'Inputs&amp;PricesbyCrop'!$B$11</f>
        <v>Sprinkler - Irrigation Water</v>
      </c>
      <c r="C542" s="137" t="str">
        <f>'Inputs&amp;PricesbyCrop'!$C$11</f>
        <v>ac ft</v>
      </c>
      <c r="D542" s="166">
        <f>GeneralInputPrices!$D$13</f>
        <v>55</v>
      </c>
      <c r="E542" s="166">
        <f>('AcresYieldsPrices&amp;Water'!$G$4*'Inputs&amp;PricesbyCrop'!$F$11)*$C511</f>
        <v>0</v>
      </c>
      <c r="F542" s="166">
        <f t="shared" si="40"/>
        <v>0</v>
      </c>
      <c r="G542" s="166"/>
    </row>
    <row r="543" spans="2:7">
      <c r="B543" t="str">
        <f>'Inputs&amp;PricesbyCrop'!$B$12</f>
        <v>Sprinkler - Irrigation Labor</v>
      </c>
      <c r="C543" s="137" t="str">
        <f>'Inputs&amp;PricesbyCrop'!$C$12</f>
        <v>hour</v>
      </c>
      <c r="D543" s="166">
        <f>GeneralInputPrices!$D$28</f>
        <v>14.55</v>
      </c>
      <c r="E543" s="166">
        <f>('AcresYieldsPrices&amp;Water'!$G$4*'Inputs&amp;PricesbyCrop'!$F$12)*$C511</f>
        <v>0</v>
      </c>
      <c r="F543" s="166">
        <f t="shared" si="40"/>
        <v>0</v>
      </c>
      <c r="G543" s="166"/>
    </row>
    <row r="544" spans="2:7">
      <c r="B544" t="str">
        <f>GeneralInputPrices!$B$26</f>
        <v xml:space="preserve">   - Annual Repairs &amp; Maintenance</v>
      </c>
      <c r="C544" s="453" t="str">
        <f>GeneralInputPrices!$C$26</f>
        <v>acre</v>
      </c>
      <c r="D544" s="166">
        <f>GeneralInputPrices!$D$26</f>
        <v>15</v>
      </c>
      <c r="E544" s="166">
        <f>'AcresYieldsPrices&amp;Water'!$G$4*$C511</f>
        <v>0</v>
      </c>
      <c r="F544" s="166">
        <f t="shared" si="40"/>
        <v>0</v>
      </c>
      <c r="G544" s="166"/>
    </row>
    <row r="545" spans="2:7">
      <c r="B545" t="str">
        <f>CustomOperations!$B$37</f>
        <v>Harvest, Custom</v>
      </c>
      <c r="C545" s="137" t="str">
        <f>CustomOperations!$C$37</f>
        <v>acre</v>
      </c>
      <c r="D545" s="166">
        <f>CustomOperations!$F$37</f>
        <v>0</v>
      </c>
      <c r="E545" s="166">
        <f>CustomOperations!$F$38*$C$511</f>
        <v>0</v>
      </c>
      <c r="F545" s="166">
        <f t="shared" ref="F545:F559" si="41">D545*E545</f>
        <v>0</v>
      </c>
      <c r="G545" s="166"/>
    </row>
    <row r="546" spans="2:7">
      <c r="B546" t="str">
        <f>CustomOperations!$B$39</f>
        <v>Hauling, Custom</v>
      </c>
      <c r="C546" s="137" t="str">
        <f>CustomOperations!$C$39</f>
        <v>mile</v>
      </c>
      <c r="D546" s="166">
        <f>CustomOperations!$F$39</f>
        <v>0</v>
      </c>
      <c r="E546" s="166">
        <f>CustomOperations!$F$40*$C$511</f>
        <v>0</v>
      </c>
      <c r="F546" s="166">
        <f t="shared" si="41"/>
        <v>0</v>
      </c>
      <c r="G546" s="166"/>
    </row>
    <row r="547" spans="2:7">
      <c r="B547" t="str">
        <f>CustomOperations!$B$41</f>
        <v>Gin Cotton/Drying/Swathing, Custom</v>
      </c>
      <c r="C547" s="137" t="str">
        <f>CustomOperations!$C$41</f>
        <v>bale</v>
      </c>
      <c r="D547" s="166">
        <f>CustomOperations!$F$41</f>
        <v>0</v>
      </c>
      <c r="E547" s="166">
        <f>CustomOperations!$F$42*$C$511</f>
        <v>0</v>
      </c>
      <c r="F547" s="166">
        <f t="shared" si="41"/>
        <v>0</v>
      </c>
      <c r="G547" s="166"/>
    </row>
    <row r="548" spans="2:7">
      <c r="B548" t="str">
        <f>CustomOperations!$B$24</f>
        <v>Drill, Custom</v>
      </c>
      <c r="C548" s="137" t="str">
        <f>CustomOperations!$C$24</f>
        <v>acre</v>
      </c>
      <c r="D548" s="166">
        <f>CustomOperations!$F$24</f>
        <v>0</v>
      </c>
      <c r="E548" s="166">
        <f>CustomOperations!$F$25*$C$511</f>
        <v>0</v>
      </c>
      <c r="F548" s="166">
        <f t="shared" si="41"/>
        <v>0</v>
      </c>
      <c r="G548" s="166"/>
    </row>
    <row r="549" spans="2:7">
      <c r="B549" t="str">
        <f>CustomOperations!$B$26</f>
        <v>Row Planter, Custom</v>
      </c>
      <c r="C549" s="137" t="str">
        <f>CustomOperations!$C$26</f>
        <v>acre</v>
      </c>
      <c r="D549" s="166">
        <f>CustomOperations!$F$26</f>
        <v>0</v>
      </c>
      <c r="E549" s="166">
        <f>CustomOperations!$F$27*$C$511</f>
        <v>0</v>
      </c>
      <c r="F549" s="166">
        <f t="shared" si="41"/>
        <v>0</v>
      </c>
      <c r="G549" s="166"/>
    </row>
    <row r="550" spans="2:7">
      <c r="B550" t="str">
        <f>CustomOperations!$B$28</f>
        <v>Row Cultivator, Custom</v>
      </c>
      <c r="C550" s="137" t="str">
        <f>CustomOperations!$C$28</f>
        <v>acre</v>
      </c>
      <c r="D550" s="166">
        <f>CustomOperations!$F$28</f>
        <v>0</v>
      </c>
      <c r="E550" s="166">
        <f>CustomOperations!$F$29*$C$511</f>
        <v>0</v>
      </c>
      <c r="F550" s="166">
        <f t="shared" si="41"/>
        <v>0</v>
      </c>
      <c r="G550" s="166"/>
    </row>
    <row r="551" spans="2:7">
      <c r="B551" t="str">
        <f>CustomOperations!$B$5</f>
        <v>V Ripper, Custom</v>
      </c>
      <c r="C551" s="137" t="str">
        <f>CustomOperations!$C$5</f>
        <v>acre</v>
      </c>
      <c r="D551" s="166">
        <f>CustomOperations!$F$5</f>
        <v>44.25</v>
      </c>
      <c r="E551" s="166">
        <f>CustomOperations!$F$6*$C$511</f>
        <v>0</v>
      </c>
      <c r="F551" s="166">
        <f t="shared" si="41"/>
        <v>0</v>
      </c>
      <c r="G551" s="166"/>
    </row>
    <row r="552" spans="2:7">
      <c r="B552" t="str">
        <f>CustomOperations!$B$7</f>
        <v>Disk, Custom</v>
      </c>
      <c r="C552" s="137" t="str">
        <f>CustomOperations!$C$7</f>
        <v>acre</v>
      </c>
      <c r="D552" s="166">
        <f>CustomOperations!$F$7</f>
        <v>0</v>
      </c>
      <c r="E552" s="166">
        <f>CustomOperations!$F$8*$C$511</f>
        <v>0</v>
      </c>
      <c r="F552" s="166">
        <f t="shared" si="41"/>
        <v>0</v>
      </c>
      <c r="G552" s="166"/>
    </row>
    <row r="553" spans="2:7">
      <c r="B553" t="str">
        <f>CustomOperations!$B$9</f>
        <v>Drag, Custom</v>
      </c>
      <c r="C553" s="137" t="str">
        <f>CustomOperations!$C$9</f>
        <v>acre</v>
      </c>
      <c r="D553" s="166">
        <f>CustomOperations!$F$9</f>
        <v>0</v>
      </c>
      <c r="E553" s="166">
        <f>CustomOperations!$F$10*$C$511</f>
        <v>0</v>
      </c>
      <c r="F553" s="166">
        <f t="shared" si="41"/>
        <v>0</v>
      </c>
      <c r="G553" s="166"/>
    </row>
    <row r="554" spans="2:7">
      <c r="B554" t="str">
        <f>CustomOperations!$B$11</f>
        <v>Chisel, Custom</v>
      </c>
      <c r="C554" s="137" t="str">
        <f>CustomOperations!$C$11</f>
        <v>acre</v>
      </c>
      <c r="D554" s="166">
        <f>CustomOperations!$F$11</f>
        <v>0</v>
      </c>
      <c r="E554" s="166">
        <f>CustomOperations!$F$12*$C$511</f>
        <v>0</v>
      </c>
      <c r="F554" s="166">
        <f t="shared" si="41"/>
        <v>0</v>
      </c>
      <c r="G554" s="166"/>
    </row>
    <row r="555" spans="2:7">
      <c r="B555" t="str">
        <f>CustomOperations!$B$13</f>
        <v>Moldboard Plow, Custom</v>
      </c>
      <c r="C555" s="137" t="str">
        <f>CustomOperations!$C$13</f>
        <v>acre</v>
      </c>
      <c r="D555" s="166">
        <f>CustomOperations!$F$13</f>
        <v>0</v>
      </c>
      <c r="E555" s="166">
        <f>CustomOperations!$F$14*$C$511</f>
        <v>0</v>
      </c>
      <c r="F555" s="166">
        <f t="shared" si="41"/>
        <v>0</v>
      </c>
      <c r="G555" s="166"/>
    </row>
    <row r="556" spans="2:7">
      <c r="B556" t="str">
        <f>CustomOperations!$B$15</f>
        <v>Landplane, Custom</v>
      </c>
      <c r="C556" s="137" t="str">
        <f>CustomOperations!$C$15</f>
        <v>acre</v>
      </c>
      <c r="D556" s="166">
        <f>CustomOperations!$F$15</f>
        <v>17.940000000000001</v>
      </c>
      <c r="E556" s="166">
        <f>CustomOperations!$F$16*$C$511</f>
        <v>0</v>
      </c>
      <c r="F556" s="166">
        <f t="shared" si="41"/>
        <v>0</v>
      </c>
      <c r="G556" s="166"/>
    </row>
    <row r="557" spans="2:7">
      <c r="B557" t="str">
        <f>CustomOperations!$B$17</f>
        <v>Float, Custom</v>
      </c>
      <c r="C557" s="137" t="str">
        <f>CustomOperations!$C$17</f>
        <v>acre</v>
      </c>
      <c r="D557" s="166">
        <f>CustomOperations!$F$17</f>
        <v>17.940000000000001</v>
      </c>
      <c r="E557" s="166">
        <f>CustomOperations!$F$18*$C$511</f>
        <v>0</v>
      </c>
      <c r="F557" s="166">
        <f t="shared" si="41"/>
        <v>0</v>
      </c>
      <c r="G557" s="166"/>
    </row>
    <row r="558" spans="2:7">
      <c r="B558" t="str">
        <f>CustomOperations!$B$19</f>
        <v>Lister, Custom</v>
      </c>
      <c r="C558" s="137" t="str">
        <f>CustomOperations!$C$19</f>
        <v>acre</v>
      </c>
      <c r="D558" s="166">
        <f>CustomOperations!$F$19</f>
        <v>20.38</v>
      </c>
      <c r="E558" s="166">
        <f>CustomOperations!$F$20*$C$511</f>
        <v>0</v>
      </c>
      <c r="F558" s="166">
        <f t="shared" si="41"/>
        <v>0</v>
      </c>
      <c r="G558" s="166"/>
    </row>
    <row r="559" spans="2:7">
      <c r="B559" t="str">
        <f>CustomOperations!$B$21</f>
        <v>Bed Shape, Custom</v>
      </c>
      <c r="C559" s="137" t="str">
        <f>CustomOperations!$C$21</f>
        <v>acre</v>
      </c>
      <c r="D559" s="166">
        <f>CustomOperations!$F$21</f>
        <v>13.69</v>
      </c>
      <c r="E559" s="166">
        <f>CustomOperations!$F$22*$C$511</f>
        <v>0</v>
      </c>
      <c r="F559" s="166">
        <f t="shared" si="41"/>
        <v>0</v>
      </c>
      <c r="G559" s="166"/>
    </row>
    <row r="560" spans="2:7">
      <c r="B560" t="str">
        <f>CustomOperations!$B$32</f>
        <v>Fertilizer Spreader, Custom</v>
      </c>
      <c r="C560" s="137" t="str">
        <f>CustomOperations!$C$32</f>
        <v>acre</v>
      </c>
      <c r="D560" s="166">
        <f>CustomOperations!$F$32</f>
        <v>10.08</v>
      </c>
      <c r="E560" s="166">
        <f>CustomOperations!$F$33*$C$511</f>
        <v>0</v>
      </c>
      <c r="F560" s="166">
        <f>D560*E560</f>
        <v>0</v>
      </c>
      <c r="G560" s="166"/>
    </row>
    <row r="561" spans="2:7">
      <c r="B561" t="str">
        <f>CustomOperations!$B$34</f>
        <v>Laser Landplaning, Custom</v>
      </c>
      <c r="C561" s="137" t="str">
        <f>CustomOperations!$C$34</f>
        <v>acre</v>
      </c>
      <c r="D561" s="166">
        <f>CustomOperations!$F$34</f>
        <v>0</v>
      </c>
      <c r="E561" s="166">
        <f>CustomOperations!$F$35*$C$511</f>
        <v>0</v>
      </c>
      <c r="F561" s="166">
        <f>D561*E561</f>
        <v>0</v>
      </c>
      <c r="G561" s="166"/>
    </row>
    <row r="562" spans="2:7">
      <c r="B562" t="str">
        <f>CustomOperations!$B$30</f>
        <v>Boom Sprayer, Custom</v>
      </c>
      <c r="C562" s="137" t="str">
        <f>CustomOperations!$C$30</f>
        <v>acre</v>
      </c>
      <c r="D562" s="166">
        <f>CustomOperations!$F$30</f>
        <v>10.050000000000001</v>
      </c>
      <c r="E562" s="166">
        <f>CustomOperations!$F$31*$C$511</f>
        <v>0</v>
      </c>
      <c r="F562" s="166">
        <f t="shared" ref="F562:F584" si="42">D562*E562</f>
        <v>0</v>
      </c>
      <c r="G562" s="166"/>
    </row>
    <row r="563" spans="2:7">
      <c r="B563" s="463" t="str">
        <f>TillageOperations!$B$7&amp;" (Repairs, maint., fuel &amp; lube)"</f>
        <v>V-Ripper (Repairs, maint., fuel &amp; lube)</v>
      </c>
      <c r="C563" s="464" t="s">
        <v>157</v>
      </c>
      <c r="D563" s="166">
        <f>PubMachineryTables!$AM$49+PubMachineryTables!$AN$49</f>
        <v>30.16333889180672</v>
      </c>
      <c r="E563" s="166">
        <f>TillageOperations!$E$7*$C$511</f>
        <v>0</v>
      </c>
      <c r="F563" s="166">
        <f t="shared" si="42"/>
        <v>0</v>
      </c>
      <c r="G563" s="166"/>
    </row>
    <row r="564" spans="2:7">
      <c r="B564" s="463" t="str">
        <f>TillageOperations!$B$7&amp;" (Labor)"</f>
        <v>V-Ripper (Labor)</v>
      </c>
      <c r="C564" s="464" t="s">
        <v>157</v>
      </c>
      <c r="D564" s="166">
        <f>PubMachineryTables!$AL$49</f>
        <v>13.529312500000001</v>
      </c>
      <c r="E564" s="166">
        <f>TillageOperations!$E$7*$C$511</f>
        <v>0</v>
      </c>
      <c r="F564" s="166">
        <f t="shared" si="42"/>
        <v>0</v>
      </c>
      <c r="G564" s="166"/>
    </row>
    <row r="565" spans="2:7">
      <c r="B565" s="463" t="str">
        <f>TillageOperations!$B$8&amp;" (Repairs, maint., fuel &amp; lube)"</f>
        <v>Offset Disk (Repairs, maint., fuel &amp; lube)</v>
      </c>
      <c r="C565" s="464" t="s">
        <v>157</v>
      </c>
      <c r="D565" s="166">
        <f>PubMachineryTables!$AN$50+PubMachineryTables!$AM$50</f>
        <v>10.332318567950058</v>
      </c>
      <c r="E565" s="166">
        <f>TillageOperations!$E$8*$C$511</f>
        <v>15</v>
      </c>
      <c r="F565" s="166">
        <f t="shared" si="42"/>
        <v>154.98477851925085</v>
      </c>
      <c r="G565" s="166"/>
    </row>
    <row r="566" spans="2:7">
      <c r="B566" s="463" t="str">
        <f>TillageOperations!$B$8&amp;" (Labor)"</f>
        <v>Offset Disk (Labor)</v>
      </c>
      <c r="C566" s="464" t="s">
        <v>157</v>
      </c>
      <c r="D566" s="166">
        <f>PubMachineryTables!$AL$50</f>
        <v>4.7161002178649252</v>
      </c>
      <c r="E566" s="166">
        <f>TillageOperations!$E$8*$C$511</f>
        <v>15</v>
      </c>
      <c r="F566" s="166">
        <f t="shared" si="42"/>
        <v>70.741503267973883</v>
      </c>
      <c r="G566" s="166"/>
    </row>
    <row r="567" spans="2:7">
      <c r="B567" s="463" t="str">
        <f>TillageOperations!$B$9&amp;" (Repairs, maint., fuel &amp; lube)"</f>
        <v>Drag (Repairs, maint., fuel &amp; lube)</v>
      </c>
      <c r="C567" s="464" t="s">
        <v>157</v>
      </c>
      <c r="D567" s="166">
        <f>PubMachineryTables!$AN$51+PubMachineryTables!$AM$51</f>
        <v>2.4803921568627447</v>
      </c>
      <c r="E567" s="166">
        <f>TillageOperations!$E$9*$C$511</f>
        <v>0</v>
      </c>
      <c r="F567" s="166">
        <f t="shared" si="42"/>
        <v>0</v>
      </c>
      <c r="G567" s="166"/>
    </row>
    <row r="568" spans="2:7">
      <c r="B568" s="463" t="str">
        <f>TillageOperations!$B$9&amp;" (Labor)"</f>
        <v>Drag (Labor)</v>
      </c>
      <c r="C568" s="464" t="s">
        <v>157</v>
      </c>
      <c r="D568" s="166">
        <f>PubMachineryTables!$AL$51</f>
        <v>2.1222450980392158</v>
      </c>
      <c r="E568" s="166">
        <f>TillageOperations!$E$9*$C$511</f>
        <v>0</v>
      </c>
      <c r="F568" s="166">
        <f t="shared" si="42"/>
        <v>0</v>
      </c>
      <c r="G568" s="166"/>
    </row>
    <row r="569" spans="2:7">
      <c r="B569" s="463" t="str">
        <f>TillageOperations!$B$10&amp;" (Repairs, maint., fuel &amp; lube)"</f>
        <v>Chisel (Repairs, maint., fuel &amp; lube)</v>
      </c>
      <c r="C569" s="464" t="s">
        <v>157</v>
      </c>
      <c r="D569" s="166">
        <f>PubMachineryTables!$AN$52+PubMachineryTables!$AM$52</f>
        <v>8.5884820270019766</v>
      </c>
      <c r="E569" s="166">
        <f>TillageOperations!$E$10*$C$511</f>
        <v>0</v>
      </c>
      <c r="F569" s="166">
        <f t="shared" si="42"/>
        <v>0</v>
      </c>
      <c r="G569" s="166"/>
    </row>
    <row r="570" spans="2:7">
      <c r="B570" s="463" t="str">
        <f>TillageOperations!$B$10&amp;" (Labor)"</f>
        <v>Chisel (Labor)</v>
      </c>
      <c r="C570" s="464" t="s">
        <v>157</v>
      </c>
      <c r="D570" s="166">
        <f>PubMachineryTables!$AL$52</f>
        <v>3.9792095588235301</v>
      </c>
      <c r="E570" s="166">
        <f>TillageOperations!$E$10*$C$511</f>
        <v>0</v>
      </c>
      <c r="F570" s="166">
        <f t="shared" si="42"/>
        <v>0</v>
      </c>
      <c r="G570" s="166"/>
    </row>
    <row r="571" spans="2:7">
      <c r="B571" s="463" t="str">
        <f>TillageOperations!$B$11&amp;" (Repairs, maint., fuel &amp; lube)"</f>
        <v>Moldboard Plow (Repairs, maint., fuel &amp; lube)</v>
      </c>
      <c r="C571" s="464" t="s">
        <v>157</v>
      </c>
      <c r="D571" s="166">
        <f>PubMachineryTables!$AN$53+PubMachineryTables!$AM$53</f>
        <v>14.457142857142856</v>
      </c>
      <c r="E571" s="166">
        <f>TillageOperations!$E$11*$C$511</f>
        <v>0</v>
      </c>
      <c r="F571" s="166">
        <f t="shared" si="42"/>
        <v>0</v>
      </c>
      <c r="G571" s="166"/>
    </row>
    <row r="572" spans="2:7">
      <c r="B572" s="463" t="str">
        <f>TillageOperations!$B$11&amp;" (Labor)"</f>
        <v>Moldboard Plow (Labor)</v>
      </c>
      <c r="C572" s="464" t="s">
        <v>157</v>
      </c>
      <c r="D572" s="166">
        <f>PubMachineryTables!$AL$53</f>
        <v>7.7310357142857153</v>
      </c>
      <c r="E572" s="166">
        <f>TillageOperations!$E$11*$C$511</f>
        <v>0</v>
      </c>
      <c r="F572" s="166">
        <f t="shared" si="42"/>
        <v>0</v>
      </c>
      <c r="G572" s="166"/>
    </row>
    <row r="573" spans="2:7">
      <c r="B573" s="463" t="str">
        <f>TillageOperations!$B$12&amp;" (Repairs, maint., fuel &amp; lube)"</f>
        <v>Cultivator (Repairs, maint., fuel &amp; lube)</v>
      </c>
      <c r="C573" s="464" t="s">
        <v>157</v>
      </c>
      <c r="D573" s="166">
        <f>PubMachineryTables!$AN$54+PubMachineryTables!$AM$54</f>
        <v>5.7828571428571429</v>
      </c>
      <c r="E573" s="166">
        <f>TillageOperations!$E$12*$C$511</f>
        <v>0</v>
      </c>
      <c r="F573" s="166">
        <f t="shared" si="42"/>
        <v>0</v>
      </c>
      <c r="G573" s="166"/>
    </row>
    <row r="574" spans="2:7">
      <c r="B574" s="463" t="str">
        <f>TillageOperations!$B$12&amp;" (Labor)"</f>
        <v>Cultivator (Labor)</v>
      </c>
      <c r="C574" s="464" t="s">
        <v>157</v>
      </c>
      <c r="D574" s="166">
        <f>PubMachineryTables!$AL$54</f>
        <v>3.0924142857142862</v>
      </c>
      <c r="E574" s="166">
        <f>TillageOperations!$E$12*$C$511</f>
        <v>0</v>
      </c>
      <c r="F574" s="166">
        <f t="shared" si="42"/>
        <v>0</v>
      </c>
      <c r="G574" s="166"/>
    </row>
    <row r="575" spans="2:7">
      <c r="B575" s="463" t="str">
        <f>TillageOperations!$B$13&amp;" (Repairs, maint., fuel &amp; lube)"</f>
        <v>Landplane (Repairs, maint., fuel &amp; lube)</v>
      </c>
      <c r="C575" s="464" t="s">
        <v>157</v>
      </c>
      <c r="D575" s="166">
        <f>PubMachineryTables!$AN$55+PubMachineryTables!$AM$55</f>
        <v>8.0445253976590632</v>
      </c>
      <c r="E575" s="166">
        <f>TillageOperations!$E$13*$C$511</f>
        <v>0</v>
      </c>
      <c r="F575" s="166">
        <f t="shared" si="42"/>
        <v>0</v>
      </c>
      <c r="G575" s="166"/>
    </row>
    <row r="576" spans="2:7">
      <c r="B576" s="463" t="str">
        <f>TillageOperations!$B$13&amp;" (Labor)"</f>
        <v>Landplane (Labor)</v>
      </c>
      <c r="C576" s="464" t="s">
        <v>157</v>
      </c>
      <c r="D576" s="166">
        <f>PubMachineryTables!$AL$55</f>
        <v>3.8655178571428577</v>
      </c>
      <c r="E576" s="166">
        <f>TillageOperations!$E$13*$C$511</f>
        <v>0</v>
      </c>
      <c r="F576" s="166">
        <f t="shared" si="42"/>
        <v>0</v>
      </c>
      <c r="G576" s="166"/>
    </row>
    <row r="577" spans="2:7">
      <c r="B577" s="463" t="str">
        <f>TillageOperations!$B$14&amp;" (Repairs, maint., fuel &amp; lube)"</f>
        <v>Float (Repairs, maint., fuel &amp; lube)</v>
      </c>
      <c r="C577" s="464" t="s">
        <v>157</v>
      </c>
      <c r="D577" s="166">
        <f>PubMachineryTables!$AN$56+PubMachineryTables!$AM$56</f>
        <v>5.1632653061224492</v>
      </c>
      <c r="E577" s="166">
        <f>TillageOperations!$E$14*$C$511</f>
        <v>0</v>
      </c>
      <c r="F577" s="166">
        <f t="shared" si="42"/>
        <v>0</v>
      </c>
      <c r="G577" s="166"/>
    </row>
    <row r="578" spans="2:7">
      <c r="B578" s="463" t="str">
        <f>TillageOperations!$B$14&amp;" (Labor)"</f>
        <v>Float (Labor)</v>
      </c>
      <c r="C578" s="464" t="s">
        <v>157</v>
      </c>
      <c r="D578" s="166">
        <f>PubMachineryTables!$AL$56</f>
        <v>4.4177346938775521</v>
      </c>
      <c r="E578" s="166">
        <f>TillageOperations!$E$14*$C$511</f>
        <v>0</v>
      </c>
      <c r="F578" s="166">
        <f t="shared" si="42"/>
        <v>0</v>
      </c>
      <c r="G578" s="166"/>
    </row>
    <row r="579" spans="2:7">
      <c r="B579" s="463" t="str">
        <f>TillageOperations!$B$15&amp;" (Repairs, maint., fuel &amp; lube)"</f>
        <v>Lister (Repairs, maint., fuel &amp; lube)</v>
      </c>
      <c r="C579" s="464" t="s">
        <v>157</v>
      </c>
      <c r="D579" s="166">
        <f>PubMachineryTables!$AN$57+PubMachineryTables!$AM$57</f>
        <v>11.879642797844287</v>
      </c>
      <c r="E579" s="166">
        <f>TillageOperations!$E$15*$C$511</f>
        <v>0</v>
      </c>
      <c r="F579" s="166">
        <f t="shared" si="42"/>
        <v>0</v>
      </c>
      <c r="G579" s="166"/>
    </row>
    <row r="580" spans="2:7">
      <c r="B580" s="463" t="str">
        <f>TillageOperations!$B$15&amp;" (Labor)"</f>
        <v>Lister (Labor)</v>
      </c>
      <c r="C580" s="464" t="s">
        <v>157</v>
      </c>
      <c r="D580" s="166">
        <f>PubMachineryTables!$AL$57</f>
        <v>6.1848285714285725</v>
      </c>
      <c r="E580" s="166">
        <f>TillageOperations!$E$15*$C$511</f>
        <v>0</v>
      </c>
      <c r="F580" s="166">
        <f t="shared" si="42"/>
        <v>0</v>
      </c>
      <c r="G580" s="166"/>
    </row>
    <row r="581" spans="2:7">
      <c r="B581" s="463" t="str">
        <f>TillageOperations!$B$16&amp;" (Repairs, maint., fuel &amp; lube)"</f>
        <v>Bed Shaper (Repairs, maint., fuel &amp; lube)</v>
      </c>
      <c r="C581" s="464" t="s">
        <v>157</v>
      </c>
      <c r="D581" s="166">
        <f>PubMachineryTables!$AN$58+PubMachineryTables!$AM$58</f>
        <v>5.9574634784635725</v>
      </c>
      <c r="E581" s="166">
        <f>TillageOperations!$E$16*$C$511</f>
        <v>0</v>
      </c>
      <c r="F581" s="166">
        <f t="shared" si="42"/>
        <v>0</v>
      </c>
      <c r="G581" s="166"/>
    </row>
    <row r="582" spans="2:7">
      <c r="B582" s="463" t="str">
        <f>TillageOperations!$B$16&amp;" (Labor)"</f>
        <v>Bed Shaper (Labor)</v>
      </c>
      <c r="C582" s="464" t="s">
        <v>157</v>
      </c>
      <c r="D582" s="166">
        <f>PubMachineryTables!$AL$58</f>
        <v>3.0924142857142862</v>
      </c>
      <c r="E582" s="166">
        <f>TillageOperations!$E$16*$C$511</f>
        <v>0</v>
      </c>
      <c r="F582" s="166">
        <f t="shared" si="42"/>
        <v>0</v>
      </c>
      <c r="G582" s="166"/>
    </row>
    <row r="583" spans="2:7">
      <c r="B583" s="463" t="str">
        <f>TillageOperations!$B$19&amp;" (Repairs, maint., fuel &amp; lube)"</f>
        <v>Row Planter (Repairs, maint., fuel &amp; lube)</v>
      </c>
      <c r="C583" s="464" t="s">
        <v>157</v>
      </c>
      <c r="D583" s="166">
        <f>PubMachineryTables!$AN$60+PubMachineryTables!$AM$60</f>
        <v>8.8400048303091552</v>
      </c>
      <c r="E583" s="166">
        <f>TillageOperations!$E$19*$C$511</f>
        <v>0</v>
      </c>
      <c r="F583" s="166">
        <f t="shared" si="42"/>
        <v>0</v>
      </c>
      <c r="G583" s="166"/>
    </row>
    <row r="584" spans="2:7">
      <c r="B584" s="463" t="str">
        <f>TillageOperations!$B$19&amp;" (Labor)"</f>
        <v>Row Planter (Labor)</v>
      </c>
      <c r="C584" s="464" t="s">
        <v>157</v>
      </c>
      <c r="D584" s="166">
        <f>PubMachineryTables!$AL$60</f>
        <v>4.5097708333333344</v>
      </c>
      <c r="E584" s="166">
        <f>TillageOperations!$E$19*$C$511</f>
        <v>0</v>
      </c>
      <c r="F584" s="166">
        <f t="shared" si="42"/>
        <v>0</v>
      </c>
      <c r="G584" s="166"/>
    </row>
    <row r="585" spans="2:7">
      <c r="B585" s="463" t="str">
        <f>TillageOperations!$B$20&amp;" (Repairs, maint., fuel &amp; lube)"</f>
        <v>Row Cultivator (Repairs, maint., fuel &amp; lube)</v>
      </c>
      <c r="C585" s="464" t="s">
        <v>157</v>
      </c>
      <c r="D585" s="166">
        <f>PubMachineryTables!$AN$61+PubMachineryTables!$AM$61</f>
        <v>3.5823141032725374</v>
      </c>
      <c r="E585" s="166">
        <f>TillageOperations!$E$20*$C$511</f>
        <v>0</v>
      </c>
      <c r="F585" s="166">
        <f>D585*E585</f>
        <v>0</v>
      </c>
      <c r="G585" s="166"/>
    </row>
    <row r="586" spans="2:7">
      <c r="B586" s="463" t="str">
        <f>TillageOperations!$B$20&amp;" (Labor)"</f>
        <v>Row Cultivator (Labor)</v>
      </c>
      <c r="C586" s="464" t="s">
        <v>157</v>
      </c>
      <c r="D586" s="166">
        <f>PubMachineryTables!$AL$61</f>
        <v>3.0065138888888892</v>
      </c>
      <c r="E586" s="166">
        <f>TillageOperations!$E$20*$C$511</f>
        <v>0</v>
      </c>
      <c r="F586" s="166">
        <f>D586*E586</f>
        <v>0</v>
      </c>
      <c r="G586" s="166"/>
    </row>
    <row r="587" spans="2:7">
      <c r="B587" s="463" t="str">
        <f>TillageOperations!$B$21&amp;" (Repairs, maint., fuel &amp; lube)"</f>
        <v>Drill (Repairs, maint., fuel &amp; lube)</v>
      </c>
      <c r="C587" s="464" t="s">
        <v>157</v>
      </c>
      <c r="D587" s="166">
        <f>PubMachineryTables!$AN$62+PubMachineryTables!$AM$62</f>
        <v>7.6986395922631168</v>
      </c>
      <c r="E587" s="166">
        <f>TillageOperations!$E$21*$C$511</f>
        <v>0</v>
      </c>
      <c r="F587" s="166">
        <f>D587*E587</f>
        <v>0</v>
      </c>
      <c r="G587" s="166"/>
    </row>
    <row r="588" spans="2:7">
      <c r="B588" s="463" t="str">
        <f>TillageOperations!$B$21&amp;" (Labor)"</f>
        <v>Drill (Labor)</v>
      </c>
      <c r="C588" s="464" t="s">
        <v>157</v>
      </c>
      <c r="D588" s="166">
        <f>PubMachineryTables!$AL$62</f>
        <v>5.4117250000000006</v>
      </c>
      <c r="E588" s="166">
        <f>TillageOperations!$E$21*$C$511</f>
        <v>0</v>
      </c>
      <c r="F588" s="166">
        <f>D588*E588</f>
        <v>0</v>
      </c>
      <c r="G588" s="166"/>
    </row>
    <row r="589" spans="2:7">
      <c r="B589" s="75" t="str">
        <f>TillageOperations!$B$27&amp;" (Repairs, maint., fuel &amp; lube)"</f>
        <v>Cotton Picker (Repairs, maint., fuel &amp; lube)</v>
      </c>
      <c r="C589" s="464" t="s">
        <v>157</v>
      </c>
      <c r="D589" s="166">
        <f>PubMachineryTables!$AN$67+PubMachineryTables!$AM$67</f>
        <v>20.587703435804702</v>
      </c>
      <c r="E589" s="166">
        <f>TillageOperations!$E$27*$C$511</f>
        <v>0</v>
      </c>
      <c r="F589" s="166">
        <f t="shared" ref="F589:F596" si="43">D589*E589</f>
        <v>0</v>
      </c>
      <c r="G589" s="166"/>
    </row>
    <row r="590" spans="2:7">
      <c r="B590" t="str">
        <f>TillageOperations!$B$27&amp;" (Labor)"</f>
        <v>Cotton Picker (Labor)</v>
      </c>
      <c r="C590" s="464" t="s">
        <v>157</v>
      </c>
      <c r="D590" s="166">
        <f>PubMachineryTables!$AL$67</f>
        <v>7.3395908679927677</v>
      </c>
      <c r="E590" s="166">
        <f>TillageOperations!$E$27*$C$511</f>
        <v>0</v>
      </c>
      <c r="F590" s="166">
        <f t="shared" si="43"/>
        <v>0</v>
      </c>
      <c r="G590" s="166"/>
    </row>
    <row r="591" spans="2:7">
      <c r="B591" s="75" t="str">
        <f>TillageOperations!$B$28&amp;" (Repairs, maint., fuel &amp; lube)"</f>
        <v>Module Unit (Repairs, maint., fuel &amp; lube)</v>
      </c>
      <c r="C591" s="464" t="s">
        <v>157</v>
      </c>
      <c r="D591" s="166">
        <f>PubMachineryTables!$AN$68+PubMachineryTables!$AM$68</f>
        <v>7.0644080416976918</v>
      </c>
      <c r="E591" s="166">
        <f>TillageOperations!$E$28*$C$511</f>
        <v>0</v>
      </c>
      <c r="F591" s="166">
        <f t="shared" si="43"/>
        <v>0</v>
      </c>
      <c r="G591" s="166"/>
    </row>
    <row r="592" spans="2:7">
      <c r="B592" t="str">
        <f>TillageOperations!$B$28&amp;" (Labor)"</f>
        <v>Module Unit (Labor)</v>
      </c>
      <c r="C592" s="464" t="s">
        <v>157</v>
      </c>
      <c r="D592" s="166">
        <f>PubMachineryTables!$AL$68</f>
        <v>6.0443689501116911</v>
      </c>
      <c r="E592" s="166">
        <f>TillageOperations!$E$28*$C$511</f>
        <v>0</v>
      </c>
      <c r="F592" s="166">
        <f t="shared" si="43"/>
        <v>0</v>
      </c>
      <c r="G592" s="166"/>
    </row>
    <row r="593" spans="2:7">
      <c r="B593" t="str">
        <f>TillageOperations!$B$29&amp;" (Repairs, maint., fuel &amp; lube)"</f>
        <v>Haul Cotton (Repairs, maint., fuel &amp; lube)</v>
      </c>
      <c r="C593" s="464" t="s">
        <v>157</v>
      </c>
      <c r="D593" s="166">
        <f>PubMachineryTables!$AN$69+PubMachineryTables!$AM$69</f>
        <v>7.0644080416976918</v>
      </c>
      <c r="E593" s="166">
        <f>TillageOperations!$E$29*$C$511</f>
        <v>0</v>
      </c>
      <c r="F593" s="166">
        <f t="shared" si="43"/>
        <v>0</v>
      </c>
      <c r="G593" s="166"/>
    </row>
    <row r="594" spans="2:7">
      <c r="B594" t="str">
        <f>TillageOperations!$B$29&amp;" (Labor)"</f>
        <v>Haul Cotton (Labor)</v>
      </c>
      <c r="C594" s="464" t="s">
        <v>157</v>
      </c>
      <c r="D594" s="166">
        <f>PubMachineryTables!$AL$69</f>
        <v>6.0443689501116911</v>
      </c>
      <c r="E594" s="166">
        <f>TillageOperations!$E$29*$C$511</f>
        <v>0</v>
      </c>
      <c r="F594" s="166">
        <f t="shared" si="43"/>
        <v>0</v>
      </c>
      <c r="G594" s="166"/>
    </row>
    <row r="595" spans="2:7">
      <c r="B595" t="str">
        <f>TillageOperations!$B$17&amp;" (Repairs, maint., fuel &amp; lube)"</f>
        <v>Cotton Shredder/Root Puller (Repairs, maint., fuel &amp; lube)</v>
      </c>
      <c r="C595" s="464" t="s">
        <v>157</v>
      </c>
      <c r="D595" s="166">
        <f>PubMachineryTables!$AN$59+PubMachineryTables!$AM$59</f>
        <v>3.4657534246575339</v>
      </c>
      <c r="E595" s="166">
        <f>TillageOperations!$E$17*$C$511</f>
        <v>0</v>
      </c>
      <c r="F595" s="166">
        <f t="shared" si="43"/>
        <v>0</v>
      </c>
      <c r="G595" s="166"/>
    </row>
    <row r="596" spans="2:7">
      <c r="B596" t="str">
        <f>TillageOperations!$B$17&amp;" (Labor)"</f>
        <v>Cotton Shredder/Root Puller (Labor)</v>
      </c>
      <c r="C596" s="464" t="s">
        <v>157</v>
      </c>
      <c r="D596" s="166">
        <f>PubMachineryTables!$AL$59</f>
        <v>2.965328767123288</v>
      </c>
      <c r="E596" s="166">
        <f>TillageOperations!$E$17*$C$511</f>
        <v>0</v>
      </c>
      <c r="F596" s="166">
        <f t="shared" si="43"/>
        <v>0</v>
      </c>
      <c r="G596" s="166"/>
    </row>
    <row r="597" spans="2:7">
      <c r="B597" t="str">
        <f>TillageOperations!$B$30&amp;" (Repairs, maint., fuel &amp; lube)"</f>
        <v>Combine (Repairs, maint., fuel &amp; lube)</v>
      </c>
      <c r="C597" s="464" t="s">
        <v>157</v>
      </c>
      <c r="D597" s="166">
        <f>PubMachineryTables!$AN$70+PubMachineryTables!$AM$70</f>
        <v>4.8939818019913757</v>
      </c>
      <c r="E597" s="166">
        <f>TillageOperations!$E$30*$C$511</f>
        <v>0</v>
      </c>
      <c r="F597" s="166">
        <f>D597*E597</f>
        <v>0</v>
      </c>
      <c r="G597" s="166"/>
    </row>
    <row r="598" spans="2:7">
      <c r="B598" t="str">
        <f>TillageOperations!$B$30&amp;" (Labor)"</f>
        <v>Combine (Labor)</v>
      </c>
      <c r="C598" s="464" t="s">
        <v>157</v>
      </c>
      <c r="D598" s="166">
        <f>PubMachineryTables!$AL$70</f>
        <v>1.591683823529412</v>
      </c>
      <c r="E598" s="166">
        <f>TillageOperations!$E$30*$C$511</f>
        <v>0</v>
      </c>
      <c r="F598" s="166">
        <f>D598*E598</f>
        <v>0</v>
      </c>
      <c r="G598" s="166"/>
    </row>
    <row r="599" spans="2:7">
      <c r="B599" t="str">
        <f>TillageOperations!$B$31&amp;" (Repairs, maint., fuel &amp; lube)"</f>
        <v>Grain Cart (Repairs, maint., fuel &amp; lube)</v>
      </c>
      <c r="C599" s="464" t="s">
        <v>157</v>
      </c>
      <c r="D599" s="166">
        <f>PubMachineryTables!$AN$71+PubMachineryTables!$AM$71</f>
        <v>3.2163097667975675</v>
      </c>
      <c r="E599" s="166">
        <f>TillageOperations!$E$31*$C$511</f>
        <v>0</v>
      </c>
      <c r="F599" s="166">
        <f>D599*E599</f>
        <v>0</v>
      </c>
      <c r="G599" s="166"/>
    </row>
    <row r="600" spans="2:7">
      <c r="B600" t="str">
        <f>TillageOperations!$B$31&amp;" (Labor)"</f>
        <v>Grain Cart (Labor)</v>
      </c>
      <c r="C600" s="464" t="s">
        <v>157</v>
      </c>
      <c r="D600" s="166">
        <f>PubMachineryTables!$AL$71</f>
        <v>1.591683823529412</v>
      </c>
      <c r="E600" s="166">
        <f>TillageOperations!$E$31*$C$511</f>
        <v>0</v>
      </c>
      <c r="F600" s="166">
        <f>D600*E600</f>
        <v>0</v>
      </c>
      <c r="G600" s="166"/>
    </row>
    <row r="601" spans="2:7">
      <c r="B601" t="str">
        <f>TillageOperations!$B$32&amp;" (Repairs, maint., fuel &amp; lube)"</f>
        <v>Swather (Repairs, maint., fuel &amp; lube)</v>
      </c>
      <c r="C601" s="464" t="s">
        <v>157</v>
      </c>
      <c r="D601" s="166">
        <f>PubMachineryTables!$AN$72+PubMachineryTables!$AM$72</f>
        <v>2.0239999999999996</v>
      </c>
      <c r="E601" s="166">
        <f>TillageOperations!$E$32*$C$511</f>
        <v>0</v>
      </c>
      <c r="F601" s="166">
        <f t="shared" ref="F601:F625" si="44">D601*E601</f>
        <v>0</v>
      </c>
      <c r="G601" s="166"/>
    </row>
    <row r="602" spans="2:7">
      <c r="B602" t="str">
        <f>TillageOperations!$B$32&amp;" (Labor)"</f>
        <v>Swather (Labor)</v>
      </c>
      <c r="C602" s="464" t="s">
        <v>157</v>
      </c>
      <c r="D602" s="166">
        <f>PubMachineryTables!$AL$72</f>
        <v>2.1646900000000002</v>
      </c>
      <c r="E602" s="166">
        <f>TillageOperations!$E$32*$C$511</f>
        <v>0</v>
      </c>
      <c r="F602" s="166">
        <f t="shared" si="44"/>
        <v>0</v>
      </c>
      <c r="G602" s="166"/>
    </row>
    <row r="603" spans="2:7">
      <c r="B603" t="str">
        <f>TillageOperations!$B$33&amp;" (Repairs, maint., fuel &amp; lube)"</f>
        <v>Baler (Repairs, maint., fuel &amp; lube)</v>
      </c>
      <c r="C603" s="464" t="s">
        <v>157</v>
      </c>
      <c r="D603" s="166">
        <f>PubMachineryTables!$AN$73+PubMachineryTables!$AM$73</f>
        <v>3.953125</v>
      </c>
      <c r="E603" s="166">
        <f>TillageOperations!$E$33*$C$511</f>
        <v>0</v>
      </c>
      <c r="F603" s="166">
        <f t="shared" si="44"/>
        <v>0</v>
      </c>
      <c r="G603" s="166"/>
    </row>
    <row r="604" spans="2:7">
      <c r="B604" t="str">
        <f>TillageOperations!$B$33&amp;" (Labor)"</f>
        <v>Baler (Labor)</v>
      </c>
      <c r="C604" s="464" t="s">
        <v>157</v>
      </c>
      <c r="D604" s="166">
        <f>PubMachineryTables!$AL$73</f>
        <v>3.3823281250000004</v>
      </c>
      <c r="E604" s="166">
        <f>TillageOperations!$E$33*$C$511</f>
        <v>0</v>
      </c>
      <c r="F604" s="166">
        <f t="shared" si="44"/>
        <v>0</v>
      </c>
      <c r="G604" s="166"/>
    </row>
    <row r="605" spans="2:7">
      <c r="B605" t="str">
        <f>TillageOperations!$B$34&amp;" (Repairs, maint., fuel &amp; lube)"</f>
        <v>Swather (Repairs, maint., fuel &amp; lube)</v>
      </c>
      <c r="C605" s="464" t="s">
        <v>157</v>
      </c>
      <c r="D605" s="166">
        <f>PubMachineryTables!$AN$74+PubMachineryTables!$AM$74</f>
        <v>19.46153846153846</v>
      </c>
      <c r="E605" s="166">
        <f>TillageOperations!$E$34*$C$511</f>
        <v>0</v>
      </c>
      <c r="F605" s="166">
        <f t="shared" si="44"/>
        <v>0</v>
      </c>
      <c r="G605" s="166"/>
    </row>
    <row r="606" spans="2:7">
      <c r="B606" t="str">
        <f>TillageOperations!$B$34&amp;" (Labor)"</f>
        <v>Swather (Labor)</v>
      </c>
      <c r="C606" s="464" t="s">
        <v>157</v>
      </c>
      <c r="D606" s="166">
        <f>PubMachineryTables!$AL$74</f>
        <v>20.814326923076923</v>
      </c>
      <c r="E606" s="166">
        <f>TillageOperations!$E$34*$C$511</f>
        <v>0</v>
      </c>
      <c r="F606" s="166">
        <f t="shared" si="44"/>
        <v>0</v>
      </c>
      <c r="G606" s="166"/>
    </row>
    <row r="607" spans="2:7">
      <c r="B607" t="str">
        <f>TillageOperations!$B$35&amp;" (Repairs, maint., fuel &amp; lube)"</f>
        <v>Baler (Repairs, maint., fuel &amp; lube)</v>
      </c>
      <c r="C607" s="464" t="s">
        <v>157</v>
      </c>
      <c r="D607" s="166">
        <f>PubMachineryTables!$AN$75+PubMachineryTables!$AM$75</f>
        <v>24.326923076923073</v>
      </c>
      <c r="E607" s="166">
        <f>TillageOperations!$E$35*$C$511</f>
        <v>0</v>
      </c>
      <c r="F607" s="166">
        <f t="shared" si="44"/>
        <v>0</v>
      </c>
      <c r="G607" s="166"/>
    </row>
    <row r="608" spans="2:7">
      <c r="B608" t="str">
        <f>TillageOperations!$B$35&amp;" (Labor)"</f>
        <v>Baler (Labor)</v>
      </c>
      <c r="C608" s="464" t="s">
        <v>157</v>
      </c>
      <c r="D608" s="166">
        <f>PubMachineryTables!$AL$75</f>
        <v>20.814326923076923</v>
      </c>
      <c r="E608" s="166">
        <f>TillageOperations!$E$35*$C$511</f>
        <v>0</v>
      </c>
      <c r="F608" s="166">
        <f t="shared" si="44"/>
        <v>0</v>
      </c>
      <c r="G608" s="166"/>
    </row>
    <row r="609" spans="2:7">
      <c r="B609" t="str">
        <f>'Inputs&amp;PricesbyCrop'!$B$31</f>
        <v xml:space="preserve">   - Baling Twine</v>
      </c>
      <c r="C609" s="137" t="str">
        <f>'Inputs&amp;PricesbyCrop'!$C$31</f>
        <v>acre</v>
      </c>
      <c r="D609" s="166">
        <f>'Inputs&amp;PricesbyCrop'!$F$31</f>
        <v>0</v>
      </c>
      <c r="E609" s="166">
        <f>C511</f>
        <v>150</v>
      </c>
      <c r="F609" s="166">
        <f t="shared" si="44"/>
        <v>0</v>
      </c>
      <c r="G609" s="166"/>
    </row>
    <row r="610" spans="2:7">
      <c r="B610" t="str">
        <f>TillageOperations!$B$36&amp;" (Repairs, maint., fuel &amp; lube)"</f>
        <v>Bale Wagon (Repairs, maint., fuel &amp; lube)</v>
      </c>
      <c r="C610" s="464" t="s">
        <v>157</v>
      </c>
      <c r="D610" s="166">
        <f>PubMachineryTables!$AN$76+PubMachineryTables!$AM$76</f>
        <v>3.1624999999999996</v>
      </c>
      <c r="E610" s="166">
        <f>TillageOperations!$E$36*$C$511</f>
        <v>0</v>
      </c>
      <c r="F610" s="166">
        <f t="shared" si="44"/>
        <v>0</v>
      </c>
      <c r="G610" s="166"/>
    </row>
    <row r="611" spans="2:7">
      <c r="B611" t="str">
        <f>TillageOperations!$B$36&amp;" (Labor)"</f>
        <v>Bale Wagon (Labor)</v>
      </c>
      <c r="C611" s="464" t="s">
        <v>157</v>
      </c>
      <c r="D611" s="166">
        <f>PubMachineryTables!$AL$76</f>
        <v>3.3823281250000004</v>
      </c>
      <c r="E611" s="166">
        <f>TillageOperations!$E$36*$C$511</f>
        <v>0</v>
      </c>
      <c r="F611" s="166">
        <f t="shared" si="44"/>
        <v>0</v>
      </c>
      <c r="G611" s="166"/>
    </row>
    <row r="612" spans="2:7">
      <c r="B612" t="str">
        <f>TillageOperations!$B$23&amp;" (Repairs, maint., fuel &amp; lube)"</f>
        <v>Fertilizer Spreader (Repairs, maint., fuel &amp; lube)</v>
      </c>
      <c r="C612" s="464" t="s">
        <v>157</v>
      </c>
      <c r="D612" s="166">
        <f>PubMachineryTables!$AM$64+PubMachineryTables!$AN$64</f>
        <v>2.6573732562743069</v>
      </c>
      <c r="E612" s="166">
        <f>TillageOperations!$E$23*$C$511</f>
        <v>0</v>
      </c>
      <c r="F612" s="168">
        <f t="shared" si="44"/>
        <v>0</v>
      </c>
      <c r="G612" s="168"/>
    </row>
    <row r="613" spans="2:7">
      <c r="B613" t="str">
        <f>TillageOperations!$B$23&amp;" (Labor)"</f>
        <v>Fertilizer Spreader (Labor)</v>
      </c>
      <c r="C613" s="464" t="s">
        <v>157</v>
      </c>
      <c r="D613" s="166">
        <f>PubMachineryTables!$AL$64</f>
        <v>1.879071180555556</v>
      </c>
      <c r="E613" s="166">
        <f>TillageOperations!$E$23*$C$511</f>
        <v>0</v>
      </c>
      <c r="F613" s="168">
        <f t="shared" si="44"/>
        <v>0</v>
      </c>
      <c r="G613" s="168"/>
    </row>
    <row r="614" spans="2:7">
      <c r="B614" t="str">
        <f>TillageOperations!$B$24&amp;" (Repairs, maint., fuel &amp; lube)"</f>
        <v>Fertilizer Injection System (Repairs, maint., fuel &amp; lube)</v>
      </c>
      <c r="C614" s="464" t="s">
        <v>157</v>
      </c>
      <c r="D614" s="166">
        <f>PubMachineryTables!$AM$65+PubMachineryTables!$AN$65</f>
        <v>8.4333333333333336</v>
      </c>
      <c r="E614" s="166">
        <f>TillageOperations!$E$24*$C$511</f>
        <v>0</v>
      </c>
      <c r="F614" s="168">
        <f t="shared" si="44"/>
        <v>0</v>
      </c>
      <c r="G614" s="168"/>
    </row>
    <row r="615" spans="2:7">
      <c r="B615" t="str">
        <f>TillageOperations!$B$24&amp;" (Labor)"</f>
        <v>Fertilizer Injection System (Labor)</v>
      </c>
      <c r="C615" s="464" t="s">
        <v>157</v>
      </c>
      <c r="D615" s="166">
        <f>PubMachineryTables!$AL$65</f>
        <v>4.5097708333333344</v>
      </c>
      <c r="E615" s="166">
        <f>TillageOperations!$E$24*$C$511</f>
        <v>0</v>
      </c>
      <c r="F615" s="168">
        <f t="shared" si="44"/>
        <v>0</v>
      </c>
      <c r="G615" s="168"/>
    </row>
    <row r="616" spans="2:7">
      <c r="B616" t="str">
        <f>TillageOperations!$B$25&amp;" (Repairs, maint., fuel &amp; lube)"</f>
        <v>Boom Sprayer (Repairs, maint., fuel &amp; lube)</v>
      </c>
      <c r="C616" s="464" t="s">
        <v>157</v>
      </c>
      <c r="D616" s="166">
        <f>PubMachineryTables!AN$66+PubMachineryTables!$AM$66</f>
        <v>1.5996307048468115</v>
      </c>
      <c r="E616" s="166">
        <f>TillageOperations!$E$25*$C$511</f>
        <v>0</v>
      </c>
      <c r="F616" s="166">
        <f t="shared" si="44"/>
        <v>0</v>
      </c>
      <c r="G616" s="166"/>
    </row>
    <row r="617" spans="2:7">
      <c r="B617" t="str">
        <f>TillageOperations!$B$25&amp;" (Labor)"</f>
        <v>Boom Sprayer (Labor)</v>
      </c>
      <c r="C617" s="464" t="s">
        <v>157</v>
      </c>
      <c r="D617" s="166">
        <f>PubMachineryTables!$AL$66</f>
        <v>1.1893901098901098</v>
      </c>
      <c r="E617" s="166">
        <f>TillageOperations!$E$25*$C$511</f>
        <v>0</v>
      </c>
      <c r="F617" s="166">
        <f t="shared" si="44"/>
        <v>0</v>
      </c>
      <c r="G617" s="166"/>
    </row>
    <row r="618" spans="2:7">
      <c r="B618" t="str">
        <f>TillageOperations!$B$22&amp;" (Repairs, maint., fuel &amp; lube)"</f>
        <v>Transplanter (Repairs, maint., fuel &amp; lube)</v>
      </c>
      <c r="C618" s="464" t="s">
        <v>157</v>
      </c>
      <c r="D618" s="166">
        <f>PubMachineryTables!AN$63+PubMachineryTables!$AM$63</f>
        <v>61.668749999999996</v>
      </c>
      <c r="E618" s="166">
        <f>TillageOperations!$E$22*$C$511</f>
        <v>0</v>
      </c>
      <c r="F618" s="166">
        <f>D618*E618</f>
        <v>0</v>
      </c>
      <c r="G618" s="166"/>
    </row>
    <row r="619" spans="2:7">
      <c r="B619" t="str">
        <f>TillageOperations!$B$22&amp;" (Labor)"</f>
        <v>Transplanter (Labor)</v>
      </c>
      <c r="C619" s="464" t="s">
        <v>157</v>
      </c>
      <c r="D619" s="166">
        <f>PubMachineryTables!$AL$63</f>
        <v>20.293968750000001</v>
      </c>
      <c r="E619" s="166">
        <f>TillageOperations!$E$22*$C$511</f>
        <v>0</v>
      </c>
      <c r="F619" s="166">
        <f t="shared" si="44"/>
        <v>0</v>
      </c>
      <c r="G619" s="166"/>
    </row>
    <row r="620" spans="2:7">
      <c r="B620" t="str">
        <f>'Inputs&amp;PricesbyCrop'!$B$14</f>
        <v>Additional Land Prep. Labor</v>
      </c>
      <c r="C620" s="137" t="str">
        <f>'Inputs&amp;PricesbyCrop'!$C$14</f>
        <v>hour</v>
      </c>
      <c r="D620" s="166">
        <f>GeneralInputPrices!$D$30</f>
        <v>14.55</v>
      </c>
      <c r="E620" s="166">
        <f>'Inputs&amp;PricesbyCrop'!$F$14*BASEBUDGETS!$C$511</f>
        <v>0</v>
      </c>
      <c r="F620" s="166">
        <f t="shared" si="44"/>
        <v>0</v>
      </c>
      <c r="G620" s="166"/>
    </row>
    <row r="621" spans="2:7">
      <c r="B621" t="str">
        <f>'Inputs&amp;PricesbyCrop'!$B$15</f>
        <v>Additional Land Prep. Labor</v>
      </c>
      <c r="C621" s="137" t="str">
        <f>'Inputs&amp;PricesbyCrop'!$C$15</f>
        <v>hour</v>
      </c>
      <c r="D621" s="166">
        <f>GeneralInputPrices!$D$30</f>
        <v>14.55</v>
      </c>
      <c r="E621" s="166">
        <f>'Inputs&amp;PricesbyCrop'!$F$15*BASEBUDGETS!$C$511</f>
        <v>0</v>
      </c>
      <c r="F621" s="166">
        <f t="shared" si="44"/>
        <v>0</v>
      </c>
      <c r="G621" s="166"/>
    </row>
    <row r="622" spans="2:7">
      <c r="B622" t="str">
        <f>'Inputs&amp;PricesbyCrop'!$B$17</f>
        <v>Additional Crop Prod. Labor</v>
      </c>
      <c r="C622" s="137" t="str">
        <f>'Inputs&amp;PricesbyCrop'!$C$17</f>
        <v>hour</v>
      </c>
      <c r="D622" s="166">
        <f>GeneralInputPrices!$D$31</f>
        <v>14.55</v>
      </c>
      <c r="E622" s="166">
        <f>'Inputs&amp;PricesbyCrop'!$F$17*BASEBUDGETS!$C$511</f>
        <v>0</v>
      </c>
      <c r="F622" s="166">
        <f t="shared" si="44"/>
        <v>0</v>
      </c>
      <c r="G622" s="166"/>
    </row>
    <row r="623" spans="2:7">
      <c r="B623" t="str">
        <f>'Inputs&amp;PricesbyCrop'!$B$18</f>
        <v>Additional Crop Prod. Labor</v>
      </c>
      <c r="C623" s="137" t="str">
        <f>'Inputs&amp;PricesbyCrop'!$C$18</f>
        <v>hour</v>
      </c>
      <c r="D623" s="166">
        <f>GeneralInputPrices!$D$31</f>
        <v>14.55</v>
      </c>
      <c r="E623" s="166">
        <f>'Inputs&amp;PricesbyCrop'!$F$18*BASEBUDGETS!$C$511</f>
        <v>0</v>
      </c>
      <c r="F623" s="166">
        <f t="shared" si="44"/>
        <v>0</v>
      </c>
      <c r="G623" s="166"/>
    </row>
    <row r="624" spans="2:7">
      <c r="B624" t="str">
        <f>'Inputs&amp;PricesbyCrop'!$B$20</f>
        <v>Additional Harvest Labor</v>
      </c>
      <c r="C624" s="137" t="str">
        <f>'Inputs&amp;PricesbyCrop'!$C$20</f>
        <v>hour</v>
      </c>
      <c r="D624" s="166">
        <f>GeneralInputPrices!$D$32</f>
        <v>17.89</v>
      </c>
      <c r="E624" s="166">
        <f>'Inputs&amp;PricesbyCrop'!$F$20*BASEBUDGETS!$C$511</f>
        <v>0</v>
      </c>
      <c r="F624" s="166">
        <f t="shared" si="44"/>
        <v>0</v>
      </c>
      <c r="G624" s="166"/>
    </row>
    <row r="625" spans="2:7">
      <c r="B625" t="str">
        <f>'Inputs&amp;PricesbyCrop'!$B$21</f>
        <v>Additional Harvest Labor</v>
      </c>
      <c r="C625" s="137" t="str">
        <f>'Inputs&amp;PricesbyCrop'!$C$21</f>
        <v>hour</v>
      </c>
      <c r="D625" s="166">
        <f>GeneralInputPrices!$D$32</f>
        <v>17.89</v>
      </c>
      <c r="E625" s="166">
        <f>'Inputs&amp;PricesbyCrop'!$F$21*BASEBUDGETS!$C$511</f>
        <v>0</v>
      </c>
      <c r="F625" s="166">
        <f t="shared" si="44"/>
        <v>0</v>
      </c>
      <c r="G625" s="166"/>
    </row>
    <row r="626" spans="2:7">
      <c r="B626" t="s">
        <v>59</v>
      </c>
      <c r="C626" s="137" t="str">
        <f>GeneralInputPrices!$C$34</f>
        <v>percent</v>
      </c>
      <c r="D626" s="138">
        <f>GeneralInputPrices!$D$34</f>
        <v>0.05</v>
      </c>
      <c r="E626" s="75" t="s">
        <v>10</v>
      </c>
      <c r="F626" s="37">
        <f>SUM(F520:F625)*D626</f>
        <v>1979.5363140893614</v>
      </c>
      <c r="G626" s="37"/>
    </row>
    <row r="627" spans="2:7">
      <c r="B627" t="s">
        <v>60</v>
      </c>
      <c r="C627" s="137" t="str">
        <f>GeneralInputPrices!$C$34</f>
        <v>percent</v>
      </c>
      <c r="D627" s="138">
        <f>GeneralInputPrices!$D$35</f>
        <v>0.06</v>
      </c>
      <c r="F627" s="139">
        <f>SUM(F520:F626)*((D627/12)*GeneralInputPrices!$D$39)</f>
        <v>1247.1078778762976</v>
      </c>
      <c r="G627" s="139"/>
    </row>
    <row r="628" spans="2:7">
      <c r="B628" t="s">
        <v>61</v>
      </c>
      <c r="D628" s="454"/>
      <c r="F628" s="37">
        <f>SUM(F520:F627)</f>
        <v>42817.370473752882</v>
      </c>
      <c r="G628" s="37"/>
    </row>
    <row r="629" spans="2:7">
      <c r="D629" s="454"/>
    </row>
    <row r="630" spans="2:7">
      <c r="B630" s="140" t="s">
        <v>129</v>
      </c>
      <c r="C630" s="458" t="s">
        <v>1</v>
      </c>
      <c r="D630" s="459" t="s">
        <v>24</v>
      </c>
      <c r="E630" s="460" t="s">
        <v>25</v>
      </c>
      <c r="F630" s="460" t="s">
        <v>0</v>
      </c>
      <c r="G630" s="277"/>
    </row>
    <row r="631" spans="2:7">
      <c r="B631" t="str">
        <f>GeneralInputPrices!$B$15&amp;" - Upfront Costs for New System"</f>
        <v>Flood - Upfront Costs for New System</v>
      </c>
      <c r="C631" s="453" t="str">
        <f>GeneralInputPrices!$C$16</f>
        <v>acre</v>
      </c>
      <c r="D631">
        <f>IF('BreakevenInputs&amp;Resources'!T$16=0,0,(('BreakevenInputs&amp;Resources'!T$16/GeneralInputPrices!$D$17)*('AcresYieldsPrices&amp;Water'!$Q$29/'AcresYieldsPrices&amp;Water'!$Q$31))/$C511)</f>
        <v>0</v>
      </c>
      <c r="E631" s="166">
        <f>$C511</f>
        <v>150</v>
      </c>
      <c r="F631" s="166">
        <f>D631*E631</f>
        <v>0</v>
      </c>
      <c r="G631" s="163"/>
    </row>
    <row r="632" spans="2:7">
      <c r="B632" t="str">
        <f>GeneralInputPrices!$B$19&amp;" - Upfront Costs for New System"</f>
        <v>Drip-tape - Upfront Costs for New System</v>
      </c>
      <c r="C632" s="453" t="str">
        <f>GeneralInputPrices!$C$20</f>
        <v>acre</v>
      </c>
      <c r="D632">
        <f>IF('BreakevenInputs&amp;Resources'!T$17=0,0,(('BreakevenInputs&amp;Resources'!T$17/GeneralInputPrices!$D$21)*('AcresYieldsPrices&amp;Water'!$Q$29/'AcresYieldsPrices&amp;Water'!$Q$31))/$C511)</f>
        <v>0</v>
      </c>
      <c r="E632" s="166">
        <f>$C511</f>
        <v>150</v>
      </c>
      <c r="F632" s="166">
        <f>D632*E632</f>
        <v>0</v>
      </c>
      <c r="G632" s="163"/>
    </row>
    <row r="633" spans="2:7">
      <c r="B633" t="str">
        <f>GeneralInputPrices!$B$23&amp;" - Upfront Costs for New System"</f>
        <v>Sprinkler - Upfront Costs for New System</v>
      </c>
      <c r="C633" s="453" t="str">
        <f>GeneralInputPrices!$C$24</f>
        <v>acre</v>
      </c>
      <c r="D633">
        <f>IF('BreakevenInputs&amp;Resources'!T$18=0,0,(('BreakevenInputs&amp;Resources'!T$18/GeneralInputPrices!$D$25)*('AcresYieldsPrices&amp;Water'!$Q$29/'AcresYieldsPrices&amp;Water'!$Q$31))/$C511)</f>
        <v>0</v>
      </c>
      <c r="E633" s="166">
        <f>$C511</f>
        <v>150</v>
      </c>
      <c r="F633" s="166">
        <f>D633*E633</f>
        <v>0</v>
      </c>
      <c r="G633" s="163"/>
    </row>
    <row r="634" spans="2:7">
      <c r="B634" s="463" t="str">
        <f>TillageOperations!$B$7</f>
        <v>V-Ripper</v>
      </c>
      <c r="C634" s="464" t="s">
        <v>157</v>
      </c>
      <c r="D634" s="166">
        <f>PubMachineryTables!$AO$49</f>
        <v>209.18701372031111</v>
      </c>
      <c r="E634" s="166">
        <f>E563</f>
        <v>0</v>
      </c>
      <c r="F634" s="168">
        <f t="shared" ref="F634:F645" si="45">D634*E634</f>
        <v>0</v>
      </c>
      <c r="G634" s="168"/>
    </row>
    <row r="635" spans="2:7">
      <c r="B635" s="463" t="str">
        <f>TillageOperations!$B$8</f>
        <v>Offset Disk</v>
      </c>
      <c r="C635" s="464" t="s">
        <v>157</v>
      </c>
      <c r="D635" s="166">
        <f>PubMachineryTables!$AO$50</f>
        <v>42.467441655558019</v>
      </c>
      <c r="E635" s="166">
        <f>E565</f>
        <v>15</v>
      </c>
      <c r="F635" s="166">
        <f t="shared" si="45"/>
        <v>637.01162483337032</v>
      </c>
      <c r="G635" s="166"/>
    </row>
    <row r="636" spans="2:7">
      <c r="B636" s="463" t="str">
        <f>TillageOperations!$B$9</f>
        <v>Drag</v>
      </c>
      <c r="C636" s="464" t="s">
        <v>157</v>
      </c>
      <c r="D636" s="166">
        <f>PubMachineryTables!$AO$51</f>
        <v>0</v>
      </c>
      <c r="E636" s="166">
        <f>E567</f>
        <v>0</v>
      </c>
      <c r="F636" s="166">
        <f t="shared" si="45"/>
        <v>0</v>
      </c>
      <c r="G636" s="166"/>
    </row>
    <row r="637" spans="2:7">
      <c r="B637" s="463" t="str">
        <f>TillageOperations!$B$10</f>
        <v>Chisel</v>
      </c>
      <c r="C637" s="464" t="s">
        <v>157</v>
      </c>
      <c r="D637" s="166">
        <f>PubMachineryTables!$AO$52</f>
        <v>40.724752902248241</v>
      </c>
      <c r="E637" s="166">
        <f>E569</f>
        <v>0</v>
      </c>
      <c r="F637" s="166">
        <f t="shared" si="45"/>
        <v>0</v>
      </c>
      <c r="G637" s="166"/>
    </row>
    <row r="638" spans="2:7">
      <c r="B638" s="463" t="str">
        <f>TillageOperations!$B$11</f>
        <v>Moldboard Plow</v>
      </c>
      <c r="C638" s="464" t="s">
        <v>157</v>
      </c>
      <c r="D638" s="166">
        <f>PubMachineryTables!$AO$53</f>
        <v>0</v>
      </c>
      <c r="E638" s="166">
        <f>E571</f>
        <v>0</v>
      </c>
      <c r="F638" s="166">
        <f t="shared" si="45"/>
        <v>0</v>
      </c>
      <c r="G638" s="166"/>
    </row>
    <row r="639" spans="2:7">
      <c r="B639" s="463" t="str">
        <f>TillageOperations!$B$12</f>
        <v>Cultivator</v>
      </c>
      <c r="C639" s="464" t="s">
        <v>157</v>
      </c>
      <c r="D639" s="166">
        <f>PubMachineryTables!$AO$54</f>
        <v>0</v>
      </c>
      <c r="E639" s="166">
        <f>E573</f>
        <v>0</v>
      </c>
      <c r="F639" s="166">
        <f t="shared" si="45"/>
        <v>0</v>
      </c>
      <c r="G639" s="166"/>
    </row>
    <row r="640" spans="2:7">
      <c r="B640" s="463" t="str">
        <f>TillageOperations!$B$13</f>
        <v>Landplane</v>
      </c>
      <c r="C640" s="464" t="s">
        <v>157</v>
      </c>
      <c r="D640" s="166">
        <f>PubMachineryTables!$AO$55</f>
        <v>107.77752986339607</v>
      </c>
      <c r="E640" s="166">
        <f>E575</f>
        <v>0</v>
      </c>
      <c r="F640" s="166">
        <f t="shared" si="45"/>
        <v>0</v>
      </c>
      <c r="G640" s="166"/>
    </row>
    <row r="641" spans="2:7">
      <c r="B641" s="463" t="str">
        <f>TillageOperations!$B$14</f>
        <v>Float</v>
      </c>
      <c r="C641" s="464" t="s">
        <v>157</v>
      </c>
      <c r="D641" s="166">
        <f>PubMachineryTables!$AO$56</f>
        <v>0</v>
      </c>
      <c r="E641" s="166">
        <f>E577</f>
        <v>0</v>
      </c>
      <c r="F641" s="166">
        <f t="shared" si="45"/>
        <v>0</v>
      </c>
      <c r="G641" s="166"/>
    </row>
    <row r="642" spans="2:7">
      <c r="B642" s="463" t="str">
        <f>TillageOperations!$B$15</f>
        <v>Lister</v>
      </c>
      <c r="C642" s="464" t="s">
        <v>157</v>
      </c>
      <c r="D642" s="166">
        <f>PubMachineryTables!$AO$57</f>
        <v>72.676050764764099</v>
      </c>
      <c r="E642" s="166">
        <f>E579</f>
        <v>0</v>
      </c>
      <c r="F642" s="166">
        <f t="shared" si="45"/>
        <v>0</v>
      </c>
      <c r="G642" s="166"/>
    </row>
    <row r="643" spans="2:7">
      <c r="B643" s="463" t="str">
        <f>TillageOperations!$B$16</f>
        <v>Bed Shaper</v>
      </c>
      <c r="C643" s="464" t="s">
        <v>157</v>
      </c>
      <c r="D643" s="166">
        <f>PubMachineryTables!$AO$58</f>
        <v>50.420091551988918</v>
      </c>
      <c r="E643" s="166">
        <f>E581</f>
        <v>0</v>
      </c>
      <c r="F643" s="166">
        <f t="shared" si="45"/>
        <v>0</v>
      </c>
      <c r="G643" s="166"/>
    </row>
    <row r="644" spans="2:7">
      <c r="B644" s="463" t="str">
        <f>TillageOperations!$B$19</f>
        <v>Row Planter</v>
      </c>
      <c r="C644" s="464" t="s">
        <v>157</v>
      </c>
      <c r="D644" s="166">
        <f>PubMachineryTables!$AO$60</f>
        <v>218.60367298033367</v>
      </c>
      <c r="E644" s="166">
        <f>E583</f>
        <v>0</v>
      </c>
      <c r="F644" s="166">
        <f t="shared" si="45"/>
        <v>0</v>
      </c>
      <c r="G644" s="166"/>
    </row>
    <row r="645" spans="2:7">
      <c r="B645" s="463" t="str">
        <f>TillageOperations!$B$20</f>
        <v>Row Cultivator</v>
      </c>
      <c r="C645" s="464" t="s">
        <v>157</v>
      </c>
      <c r="D645" s="166">
        <f>PubMachineryTables!$AO$61</f>
        <v>74.064902712939798</v>
      </c>
      <c r="E645" s="166">
        <f>E585</f>
        <v>0</v>
      </c>
      <c r="F645" s="166">
        <f t="shared" si="45"/>
        <v>0</v>
      </c>
      <c r="G645" s="166"/>
    </row>
    <row r="646" spans="2:7">
      <c r="B646" s="465" t="str">
        <f>TillageOperations!$B$21</f>
        <v>Drill</v>
      </c>
      <c r="C646" s="464" t="s">
        <v>157</v>
      </c>
      <c r="D646" s="166">
        <f>PubMachineryTables!$AO$62</f>
        <v>51.837941761576523</v>
      </c>
      <c r="E646" s="166">
        <f>E587</f>
        <v>0</v>
      </c>
      <c r="F646" s="166">
        <f t="shared" ref="F646:F650" si="46">D646*E646</f>
        <v>0</v>
      </c>
      <c r="G646" s="166"/>
    </row>
    <row r="647" spans="2:7">
      <c r="B647" s="463" t="str">
        <f>TillageOperations!$B$27</f>
        <v>Cotton Picker</v>
      </c>
      <c r="C647" s="464" t="s">
        <v>157</v>
      </c>
      <c r="D647" s="166">
        <f>PubMachineryTables!$AO$67</f>
        <v>0</v>
      </c>
      <c r="E647" s="166">
        <f>E589</f>
        <v>0</v>
      </c>
      <c r="F647" s="166">
        <f t="shared" si="46"/>
        <v>0</v>
      </c>
      <c r="G647" s="166"/>
    </row>
    <row r="648" spans="2:7">
      <c r="B648" s="463" t="str">
        <f>TillageOperations!$B$28</f>
        <v>Module Unit</v>
      </c>
      <c r="C648" s="464" t="s">
        <v>157</v>
      </c>
      <c r="D648" s="166">
        <f>PubMachineryTables!$AO$68</f>
        <v>0</v>
      </c>
      <c r="E648" s="166">
        <f>E591</f>
        <v>0</v>
      </c>
      <c r="F648" s="166">
        <f t="shared" si="46"/>
        <v>0</v>
      </c>
      <c r="G648" s="166"/>
    </row>
    <row r="649" spans="2:7">
      <c r="B649" s="463" t="str">
        <f>TillageOperations!$B$29</f>
        <v>Haul Cotton</v>
      </c>
      <c r="C649" s="464" t="s">
        <v>157</v>
      </c>
      <c r="D649" s="166">
        <f>PubMachineryTables!$AO$69</f>
        <v>0</v>
      </c>
      <c r="E649" s="166">
        <f>E593</f>
        <v>0</v>
      </c>
      <c r="F649" s="166">
        <f t="shared" si="46"/>
        <v>0</v>
      </c>
      <c r="G649" s="166"/>
    </row>
    <row r="650" spans="2:7">
      <c r="B650" s="465" t="str">
        <f>TillageOperations!$B$17</f>
        <v>Cotton Shredder/Root Puller</v>
      </c>
      <c r="C650" s="464" t="s">
        <v>157</v>
      </c>
      <c r="D650" s="166">
        <f>PubMachineryTables!$AO$59</f>
        <v>0</v>
      </c>
      <c r="E650" s="166">
        <f>E595</f>
        <v>0</v>
      </c>
      <c r="F650" s="166">
        <f t="shared" si="46"/>
        <v>0</v>
      </c>
      <c r="G650" s="166"/>
    </row>
    <row r="651" spans="2:7">
      <c r="B651" s="102" t="str">
        <f>TillageOperations!$B$30</f>
        <v>Combine</v>
      </c>
      <c r="C651" s="464" t="s">
        <v>157</v>
      </c>
      <c r="D651" s="166">
        <f>PubMachineryTables!$AO$70</f>
        <v>154.43457969840463</v>
      </c>
      <c r="E651" s="166">
        <f>E597</f>
        <v>0</v>
      </c>
      <c r="F651" s="166">
        <f>D651*E651</f>
        <v>0</v>
      </c>
      <c r="G651" s="166"/>
    </row>
    <row r="652" spans="2:7">
      <c r="B652" s="102" t="str">
        <f>TillageOperations!$B$31</f>
        <v>Grain Cart</v>
      </c>
      <c r="C652" s="464" t="s">
        <v>157</v>
      </c>
      <c r="D652" s="166">
        <f>PubMachineryTables!$AO$71</f>
        <v>25.28843211678571</v>
      </c>
      <c r="E652" s="166">
        <f>E599</f>
        <v>0</v>
      </c>
      <c r="F652" s="166">
        <f>D652*E652</f>
        <v>0</v>
      </c>
      <c r="G652" s="166"/>
    </row>
    <row r="653" spans="2:7">
      <c r="B653" s="102" t="str">
        <f>TillageOperations!$B$32</f>
        <v>Swather</v>
      </c>
      <c r="C653" s="464" t="s">
        <v>157</v>
      </c>
      <c r="D653" s="166">
        <f>PubMachineryTables!$AO$72</f>
        <v>0</v>
      </c>
      <c r="E653" s="166">
        <f>E601</f>
        <v>0</v>
      </c>
      <c r="F653" s="166">
        <f t="shared" ref="F653:F661" si="47">D653*E653</f>
        <v>0</v>
      </c>
      <c r="G653" s="166"/>
    </row>
    <row r="654" spans="2:7">
      <c r="B654" s="102" t="str">
        <f>TillageOperations!$B$33</f>
        <v>Baler</v>
      </c>
      <c r="C654" s="464" t="s">
        <v>157</v>
      </c>
      <c r="D654" s="166">
        <f>PubMachineryTables!$AO$73</f>
        <v>0</v>
      </c>
      <c r="E654" s="166">
        <f>E603</f>
        <v>0</v>
      </c>
      <c r="F654" s="166">
        <f t="shared" si="47"/>
        <v>0</v>
      </c>
      <c r="G654" s="166"/>
    </row>
    <row r="655" spans="2:7">
      <c r="B655" s="102" t="str">
        <f>TillageOperations!$B$34</f>
        <v>Swather</v>
      </c>
      <c r="C655" s="464" t="s">
        <v>157</v>
      </c>
      <c r="D655" s="166">
        <f>PubMachineryTables!$AO$74</f>
        <v>0</v>
      </c>
      <c r="E655" s="166">
        <f>E605</f>
        <v>0</v>
      </c>
      <c r="F655" s="166">
        <f t="shared" si="47"/>
        <v>0</v>
      </c>
      <c r="G655" s="166"/>
    </row>
    <row r="656" spans="2:7">
      <c r="B656" s="102" t="str">
        <f>TillageOperations!$B$35</f>
        <v>Baler</v>
      </c>
      <c r="C656" s="464" t="s">
        <v>157</v>
      </c>
      <c r="D656" s="166">
        <f>PubMachineryTables!$AO$75</f>
        <v>0</v>
      </c>
      <c r="E656" s="166">
        <f>E607</f>
        <v>0</v>
      </c>
      <c r="F656" s="166">
        <f t="shared" si="47"/>
        <v>0</v>
      </c>
      <c r="G656" s="166"/>
    </row>
    <row r="657" spans="2:10">
      <c r="B657" s="102" t="str">
        <f>TillageOperations!$B$36</f>
        <v>Bale Wagon</v>
      </c>
      <c r="C657" s="464" t="s">
        <v>157</v>
      </c>
      <c r="D657" s="166">
        <f>PubMachineryTables!$AO$76</f>
        <v>0</v>
      </c>
      <c r="E657" s="166">
        <f>E610</f>
        <v>0</v>
      </c>
      <c r="F657" s="166">
        <f t="shared" si="47"/>
        <v>0</v>
      </c>
      <c r="G657" s="166"/>
    </row>
    <row r="658" spans="2:10">
      <c r="B658" s="102" t="str">
        <f>TillageOperations!$B$23</f>
        <v>Fertilizer Spreader</v>
      </c>
      <c r="C658" s="464" t="s">
        <v>157</v>
      </c>
      <c r="D658" s="166">
        <f>PubMachineryTables!$AO$64</f>
        <v>93.913865291400512</v>
      </c>
      <c r="E658" s="166">
        <f>E612</f>
        <v>0</v>
      </c>
      <c r="F658" s="166">
        <f t="shared" si="47"/>
        <v>0</v>
      </c>
      <c r="G658" s="166"/>
    </row>
    <row r="659" spans="2:10">
      <c r="B659" s="102" t="str">
        <f>TillageOperations!$B$24</f>
        <v>Fertilizer Injection System</v>
      </c>
      <c r="C659" s="464" t="s">
        <v>157</v>
      </c>
      <c r="D659" s="166">
        <f>PubMachineryTables!$AO$65</f>
        <v>0</v>
      </c>
      <c r="E659" s="166">
        <f>E614</f>
        <v>0</v>
      </c>
      <c r="F659" s="166">
        <f t="shared" si="47"/>
        <v>0</v>
      </c>
      <c r="G659" s="166"/>
    </row>
    <row r="660" spans="2:10">
      <c r="B660" s="102" t="str">
        <f>TillageOperations!$B$25</f>
        <v>Boom Sprayer</v>
      </c>
      <c r="C660" s="464" t="s">
        <v>157</v>
      </c>
      <c r="D660" s="166">
        <f>PubMachineryTables!$AO$66</f>
        <v>9.6826493425933542</v>
      </c>
      <c r="E660" s="166">
        <f>E616</f>
        <v>0</v>
      </c>
      <c r="F660" s="166">
        <f t="shared" si="47"/>
        <v>0</v>
      </c>
      <c r="G660" s="166"/>
    </row>
    <row r="661" spans="2:10">
      <c r="B661" s="102" t="str">
        <f>TillageOperations!$B$22</f>
        <v>Transplanter</v>
      </c>
      <c r="C661" s="464" t="s">
        <v>157</v>
      </c>
      <c r="D661" s="166">
        <f>PubMachineryTables!$AO$63</f>
        <v>0</v>
      </c>
      <c r="E661" s="166">
        <f>E618</f>
        <v>0</v>
      </c>
      <c r="F661" s="166">
        <f t="shared" si="47"/>
        <v>0</v>
      </c>
      <c r="G661" s="166"/>
    </row>
    <row r="662" spans="2:10">
      <c r="B662" t="str">
        <f>'Inputs&amp;PricesbyCrop'!$B$39</f>
        <v>Crop Insurance</v>
      </c>
      <c r="C662" s="464" t="s">
        <v>157</v>
      </c>
      <c r="D662" s="166">
        <f>'Inputs&amp;PricesbyCrop'!$F$39</f>
        <v>0</v>
      </c>
      <c r="E662" s="169">
        <f t="shared" ref="E662:E667" si="48">$C$511</f>
        <v>150</v>
      </c>
      <c r="F662" s="166">
        <f>D662*E662</f>
        <v>0</v>
      </c>
      <c r="G662" s="166"/>
    </row>
    <row r="663" spans="2:10">
      <c r="B663" t="str">
        <f>'Inputs&amp;PricesbyCrop'!$B$40</f>
        <v>Property Insurance</v>
      </c>
      <c r="C663" s="464" t="s">
        <v>157</v>
      </c>
      <c r="D663" s="166">
        <f>'Inputs&amp;PricesbyCrop'!$F$40</f>
        <v>0</v>
      </c>
      <c r="E663" s="169">
        <f t="shared" si="48"/>
        <v>150</v>
      </c>
      <c r="F663" s="166">
        <f>D663*E663</f>
        <v>0</v>
      </c>
      <c r="G663" s="166"/>
    </row>
    <row r="664" spans="2:10">
      <c r="B664" t="str">
        <f>'Inputs&amp;PricesbyCrop'!$B$41</f>
        <v>Property Taxes</v>
      </c>
      <c r="C664" s="464" t="s">
        <v>157</v>
      </c>
      <c r="D664" s="166">
        <f>'Inputs&amp;PricesbyCrop'!$F$41</f>
        <v>0</v>
      </c>
      <c r="E664" s="169">
        <f t="shared" si="48"/>
        <v>150</v>
      </c>
      <c r="F664" s="166">
        <f t="shared" ref="F664:F667" si="49">D664*E664</f>
        <v>0</v>
      </c>
      <c r="G664" s="166"/>
    </row>
    <row r="665" spans="2:10">
      <c r="B665" t="str">
        <f>'Inputs&amp;PricesbyCrop'!$B$42</f>
        <v>Annual Cash Rent Payment</v>
      </c>
      <c r="C665" s="464" t="s">
        <v>157</v>
      </c>
      <c r="D665" s="166">
        <f>'Inputs&amp;PricesbyCrop'!$F$42</f>
        <v>170</v>
      </c>
      <c r="E665" s="169">
        <f t="shared" si="48"/>
        <v>150</v>
      </c>
      <c r="F665" s="166">
        <f t="shared" si="49"/>
        <v>25500</v>
      </c>
      <c r="G665" s="166"/>
    </row>
    <row r="666" spans="2:10">
      <c r="B666" t="s">
        <v>484</v>
      </c>
      <c r="C666" s="464" t="s">
        <v>157</v>
      </c>
      <c r="D666" s="166">
        <f>'Guayule Harvest'!I104</f>
        <v>0</v>
      </c>
      <c r="E666" s="169">
        <f t="shared" si="48"/>
        <v>150</v>
      </c>
      <c r="F666" s="166">
        <f t="shared" ref="F666" si="50">D666*E666</f>
        <v>0</v>
      </c>
      <c r="G666" s="166"/>
    </row>
    <row r="667" spans="2:10">
      <c r="B667" t="str">
        <f>'Inputs&amp;PricesbyCrop'!$B$49</f>
        <v>Licenses and Fees</v>
      </c>
      <c r="C667" s="464" t="s">
        <v>157</v>
      </c>
      <c r="D667" s="166">
        <f>'Inputs&amp;PricesbyCrop'!$F$49</f>
        <v>0</v>
      </c>
      <c r="E667" s="169">
        <f t="shared" si="48"/>
        <v>150</v>
      </c>
      <c r="F667" s="170">
        <f t="shared" si="49"/>
        <v>0</v>
      </c>
      <c r="G667" s="170"/>
    </row>
    <row r="668" spans="2:10">
      <c r="B668" t="s">
        <v>131</v>
      </c>
      <c r="D668" s="454"/>
      <c r="F668" s="37">
        <f>SUM(F631:F667)</f>
        <v>26137.011624833369</v>
      </c>
      <c r="G668" s="37"/>
    </row>
    <row r="669" spans="2:10">
      <c r="D669" s="454"/>
      <c r="F669" s="37">
        <f>F670/75</f>
        <v>919.39176131448335</v>
      </c>
    </row>
    <row r="670" spans="2:10">
      <c r="B670" t="s">
        <v>63</v>
      </c>
      <c r="D670" s="454"/>
      <c r="F670" s="37">
        <f>(F668+F628)*(1+'NewCrop&amp;WholeFarmNetReturns'!$B$10)</f>
        <v>68954.382098586255</v>
      </c>
      <c r="G670" s="37">
        <f>F670*(1+'NewCrop&amp;WholeFarmNetReturns'!$B$17)</f>
        <v>75849.820308444891</v>
      </c>
      <c r="H670" s="37">
        <f>F670*(1+'NewCrop&amp;WholeFarmNetReturns'!$B$24)</f>
        <v>62058.943888727634</v>
      </c>
      <c r="I670">
        <v>4180.51</v>
      </c>
      <c r="J670" s="37">
        <f>F670-I670</f>
        <v>64773.872098586253</v>
      </c>
    </row>
    <row r="671" spans="2:10">
      <c r="B671" t="s">
        <v>64</v>
      </c>
      <c r="D671" s="454"/>
      <c r="F671" s="37">
        <f>F517-F670</f>
        <v>195045.61790141376</v>
      </c>
      <c r="G671" s="37">
        <f>F517-G670</f>
        <v>188150.17969155509</v>
      </c>
      <c r="H671" s="37">
        <f>F517-H670</f>
        <v>201941.05611127237</v>
      </c>
    </row>
    <row r="672" spans="2:10">
      <c r="B672" s="249" t="s">
        <v>276</v>
      </c>
      <c r="C672" s="249" t="s">
        <v>4</v>
      </c>
      <c r="D672" s="250" t="s">
        <v>277</v>
      </c>
      <c r="E672" s="249" t="s">
        <v>278</v>
      </c>
      <c r="F672" s="249" t="s">
        <v>279</v>
      </c>
      <c r="G672" s="249"/>
    </row>
    <row r="673" spans="2:7">
      <c r="B673" s="135" t="str">
        <f>B678</f>
        <v>Hemp for CBD Oil</v>
      </c>
      <c r="D673" s="454"/>
      <c r="F673" s="37">
        <f>F671/75</f>
        <v>2600.6082386855169</v>
      </c>
    </row>
    <row r="674" spans="2:7">
      <c r="B674" t="s">
        <v>16</v>
      </c>
      <c r="C674" s="102">
        <f>IF('AcresYieldsPrices&amp;Water'!D6=0,0,'AcresYieldsPrices&amp;Water'!D6)</f>
        <v>0</v>
      </c>
      <c r="D674" s="454" t="s">
        <v>17</v>
      </c>
    </row>
    <row r="675" spans="2:7">
      <c r="D675" s="454"/>
    </row>
    <row r="676" spans="2:7">
      <c r="B676" t="s">
        <v>22</v>
      </c>
      <c r="D676" s="454"/>
    </row>
    <row r="677" spans="2:7">
      <c r="B677" s="455" t="s">
        <v>23</v>
      </c>
      <c r="C677" s="458" t="s">
        <v>1</v>
      </c>
      <c r="D677" s="459" t="s">
        <v>24</v>
      </c>
      <c r="E677" s="460" t="s">
        <v>25</v>
      </c>
      <c r="F677" s="460" t="s">
        <v>0</v>
      </c>
      <c r="G677" s="277"/>
    </row>
    <row r="678" spans="2:7">
      <c r="B678" t="str">
        <f>'AcresYieldsPrices&amp;Water'!J7</f>
        <v>Hemp for CBD Oil</v>
      </c>
      <c r="C678" s="137" t="str">
        <f>'AcresYieldsPrices&amp;Water'!L7</f>
        <v>pound</v>
      </c>
      <c r="D678" s="469">
        <f>'AcresYieldsPrices&amp;Water'!M7</f>
        <v>1</v>
      </c>
      <c r="E678" s="470">
        <f>'AcresYieldsPrices&amp;Water'!N7*$C$674</f>
        <v>0</v>
      </c>
      <c r="F678" s="165">
        <f>D678*E678</f>
        <v>0</v>
      </c>
      <c r="G678" s="165"/>
    </row>
    <row r="679" spans="2:7">
      <c r="B679" t="s">
        <v>27</v>
      </c>
      <c r="D679" s="163"/>
      <c r="E679" s="163"/>
      <c r="F679" s="163">
        <f>F678</f>
        <v>0</v>
      </c>
      <c r="G679" s="163" t="e">
        <f>F679/C$674</f>
        <v>#DIV/0!</v>
      </c>
    </row>
    <row r="680" spans="2:7">
      <c r="D680" s="454"/>
    </row>
    <row r="681" spans="2:7">
      <c r="B681" s="455" t="s">
        <v>33</v>
      </c>
      <c r="C681" s="458" t="s">
        <v>1</v>
      </c>
      <c r="D681" s="459" t="s">
        <v>24</v>
      </c>
      <c r="E681" s="460" t="s">
        <v>25</v>
      </c>
      <c r="F681" s="460" t="s">
        <v>0</v>
      </c>
      <c r="G681" s="277"/>
    </row>
    <row r="682" spans="2:7">
      <c r="B682" t="str">
        <f>'Inputs&amp;PricesbyCrop'!B$74</f>
        <v xml:space="preserve">   - Seed</v>
      </c>
      <c r="C682" s="137" t="str">
        <f>'Inputs&amp;PricesbyCrop'!C$91</f>
        <v>pounds</v>
      </c>
      <c r="D682" s="454">
        <f>'Inputs&amp;PricesbyCrop'!$H$5</f>
        <v>0.25</v>
      </c>
      <c r="E682" s="462">
        <f>'Inputs&amp;PricesbyCrop'!$H$6*$C$674</f>
        <v>0</v>
      </c>
      <c r="F682" s="37">
        <f t="shared" ref="F682:F706" si="51">D682*E682</f>
        <v>0</v>
      </c>
      <c r="G682" s="37"/>
    </row>
    <row r="683" spans="2:7">
      <c r="B683" t="str">
        <f>GeneralInputPrices!$B$3</f>
        <v xml:space="preserve">   - Inoculant</v>
      </c>
      <c r="C683" s="137" t="str">
        <f>GeneralInputPrices!$C$3</f>
        <v>pounds</v>
      </c>
      <c r="D683" s="166">
        <f>GeneralInputPrices!$D$3</f>
        <v>3</v>
      </c>
      <c r="E683" s="166">
        <f>'Inputs&amp;PricesbyCrop'!$H$22*$C$674</f>
        <v>0</v>
      </c>
      <c r="F683" s="166">
        <f t="shared" si="51"/>
        <v>0</v>
      </c>
      <c r="G683" s="166"/>
    </row>
    <row r="684" spans="2:7">
      <c r="B684" t="str">
        <f>GeneralInputPrices!B$5</f>
        <v xml:space="preserve">   - Nitrogen</v>
      </c>
      <c r="C684" s="137" t="str">
        <f>GeneralInputPrices!$C$5</f>
        <v>pounds</v>
      </c>
      <c r="D684" s="166">
        <f>GeneralInputPrices!$D$5</f>
        <v>0.46</v>
      </c>
      <c r="E684" s="166">
        <f>'Inputs&amp;PricesbyCrop'!$H$23*$C$674</f>
        <v>0</v>
      </c>
      <c r="F684" s="166">
        <f t="shared" si="51"/>
        <v>0</v>
      </c>
      <c r="G684" s="166"/>
    </row>
    <row r="685" spans="2:7">
      <c r="B685" t="str">
        <f>GeneralInputPrices!B$6</f>
        <v xml:space="preserve">   - Phosphorus</v>
      </c>
      <c r="C685" s="137" t="str">
        <f>GeneralInputPrices!$C$6</f>
        <v>pounds</v>
      </c>
      <c r="D685" s="166">
        <f>GeneralInputPrices!$D$6</f>
        <v>0.36</v>
      </c>
      <c r="E685" s="166">
        <f>'Inputs&amp;PricesbyCrop'!$H$24*$C$674</f>
        <v>0</v>
      </c>
      <c r="F685" s="166">
        <f t="shared" si="51"/>
        <v>0</v>
      </c>
      <c r="G685" s="166"/>
    </row>
    <row r="686" spans="2:7">
      <c r="B686" t="str">
        <f>GeneralInputPrices!B$7</f>
        <v xml:space="preserve">   - Anhydrous Ammonia</v>
      </c>
      <c r="C686" s="137" t="str">
        <f>GeneralInputPrices!$C$7</f>
        <v>pounds</v>
      </c>
      <c r="D686" s="166">
        <f>GeneralInputPrices!$D$7</f>
        <v>0.21</v>
      </c>
      <c r="E686" s="166">
        <f>'Inputs&amp;PricesbyCrop'!$H$25*$C$674</f>
        <v>0</v>
      </c>
      <c r="F686" s="166">
        <f t="shared" si="51"/>
        <v>0</v>
      </c>
      <c r="G686" s="166"/>
    </row>
    <row r="687" spans="2:7">
      <c r="B687" t="str">
        <f>GeneralInputPrices!$B$8</f>
        <v xml:space="preserve">   - Trace Elements</v>
      </c>
      <c r="C687" s="137" t="str">
        <f>GeneralInputPrices!$C$8</f>
        <v>pounds</v>
      </c>
      <c r="D687" s="166">
        <f>GeneralInputPrices!$D$8</f>
        <v>0.24</v>
      </c>
      <c r="E687" s="166">
        <f>'Inputs&amp;PricesbyCrop'!$H$26*$C$674</f>
        <v>0</v>
      </c>
      <c r="F687" s="166">
        <f t="shared" si="51"/>
        <v>0</v>
      </c>
      <c r="G687" s="166"/>
    </row>
    <row r="688" spans="2:7">
      <c r="B688" t="str">
        <f>'Inputs&amp;PricesbyCrop'!$B$32</f>
        <v xml:space="preserve">   - Nitrogen</v>
      </c>
      <c r="C688" s="137" t="str">
        <f>'Inputs&amp;PricesbyCrop'!$C$32</f>
        <v>acre</v>
      </c>
      <c r="D688" s="166">
        <f>'Inputs&amp;PricesbyCrop'!$H$32</f>
        <v>650</v>
      </c>
      <c r="E688" s="166">
        <f>$C$674</f>
        <v>0</v>
      </c>
      <c r="F688" s="166">
        <f t="shared" si="51"/>
        <v>0</v>
      </c>
      <c r="G688" s="166"/>
    </row>
    <row r="689" spans="2:7">
      <c r="B689" t="str">
        <f>'Inputs&amp;PricesbyCrop'!$B$33</f>
        <v xml:space="preserve">   - Phosphorus</v>
      </c>
      <c r="C689" s="137" t="str">
        <f>'Inputs&amp;PricesbyCrop'!$C$33</f>
        <v>acre</v>
      </c>
      <c r="D689" s="166">
        <f>'Inputs&amp;PricesbyCrop'!$H$33</f>
        <v>0</v>
      </c>
      <c r="E689" s="166">
        <f>$C$674</f>
        <v>0</v>
      </c>
      <c r="F689" s="166">
        <f t="shared" si="51"/>
        <v>0</v>
      </c>
      <c r="G689" s="166"/>
    </row>
    <row r="690" spans="2:7">
      <c r="B690" t="str">
        <f>'Inputs&amp;PricesbyCrop'!$B$34</f>
        <v xml:space="preserve">   - Fertilizer - Anhydrous Applicator</v>
      </c>
      <c r="C690" s="137" t="str">
        <f>'Inputs&amp;PricesbyCrop'!$C$34</f>
        <v>acre</v>
      </c>
      <c r="D690" s="166">
        <f>'Inputs&amp;PricesbyCrop'!$H$34</f>
        <v>0</v>
      </c>
      <c r="E690" s="166">
        <f>$C$674</f>
        <v>0</v>
      </c>
      <c r="F690" s="166">
        <f t="shared" si="51"/>
        <v>0</v>
      </c>
      <c r="G690" s="166"/>
    </row>
    <row r="691" spans="2:7">
      <c r="B691" t="str">
        <f>GeneralInputPrices!$B$10</f>
        <v xml:space="preserve">   - Prowl</v>
      </c>
      <c r="C691" s="137" t="str">
        <f>GeneralInputPrices!$C$10</f>
        <v>pints</v>
      </c>
      <c r="D691" s="166">
        <f>GeneralInputPrices!$D$10</f>
        <v>6.0625</v>
      </c>
      <c r="E691" s="166">
        <f>'Inputs&amp;PricesbyCrop'!$H$27*$C$674</f>
        <v>0</v>
      </c>
      <c r="F691" s="166">
        <f t="shared" si="51"/>
        <v>0</v>
      </c>
      <c r="G691" s="166"/>
    </row>
    <row r="692" spans="2:7">
      <c r="B692" t="str">
        <f>GeneralInputPrices!$B$11</f>
        <v xml:space="preserve">   - Aim</v>
      </c>
      <c r="C692" s="137" t="str">
        <f>GeneralInputPrices!$C$11</f>
        <v>ounces</v>
      </c>
      <c r="D692" s="166">
        <f>GeneralInputPrices!$D$11</f>
        <v>5.9375</v>
      </c>
      <c r="E692" s="166">
        <f>'Inputs&amp;PricesbyCrop'!$H$28*$C$674</f>
        <v>0</v>
      </c>
      <c r="F692" s="166">
        <f t="shared" si="51"/>
        <v>0</v>
      </c>
      <c r="G692" s="166"/>
    </row>
    <row r="693" spans="2:7">
      <c r="B693" t="str">
        <f>GeneralInputPrices!$B$12</f>
        <v xml:space="preserve">   - Fusilade</v>
      </c>
      <c r="C693" s="137" t="str">
        <f>GeneralInputPrices!$C$12</f>
        <v>ounces</v>
      </c>
      <c r="D693" s="166">
        <f>GeneralInputPrices!$D$12</f>
        <v>1.25</v>
      </c>
      <c r="E693" s="166">
        <f>'Inputs&amp;PricesbyCrop'!$H$29*$C$674</f>
        <v>0</v>
      </c>
      <c r="F693" s="166">
        <f t="shared" si="51"/>
        <v>0</v>
      </c>
      <c r="G693" s="166"/>
    </row>
    <row r="694" spans="2:7">
      <c r="B694" t="str">
        <f>'Inputs&amp;PricesbyCrop'!$B$35</f>
        <v xml:space="preserve">   - Herbicides</v>
      </c>
      <c r="C694" s="137" t="str">
        <f>'Inputs&amp;PricesbyCrop'!$C$35</f>
        <v>acre</v>
      </c>
      <c r="D694" s="166">
        <f>'Inputs&amp;PricesbyCrop'!$H$35</f>
        <v>0</v>
      </c>
      <c r="E694" s="166">
        <f>$C$674</f>
        <v>0</v>
      </c>
      <c r="F694" s="166">
        <f t="shared" si="51"/>
        <v>0</v>
      </c>
      <c r="G694" s="166"/>
    </row>
    <row r="695" spans="2:7">
      <c r="B695" t="str">
        <f>'Inputs&amp;PricesbyCrop'!$B$36</f>
        <v xml:space="preserve">   - Herbicide - #2</v>
      </c>
      <c r="C695" s="137" t="str">
        <f>'Inputs&amp;PricesbyCrop'!$C$36</f>
        <v>acre</v>
      </c>
      <c r="D695" s="166">
        <f>'Inputs&amp;PricesbyCrop'!$H$36</f>
        <v>0</v>
      </c>
      <c r="E695" s="166">
        <f>$C$674</f>
        <v>0</v>
      </c>
      <c r="F695" s="166">
        <f t="shared" si="51"/>
        <v>0</v>
      </c>
      <c r="G695" s="166"/>
    </row>
    <row r="696" spans="2:7">
      <c r="B696" t="str">
        <f>'Inputs&amp;PricesbyCrop'!$B$37</f>
        <v xml:space="preserve">   - Insecticides</v>
      </c>
      <c r="C696" s="137" t="str">
        <f>'Inputs&amp;PricesbyCrop'!$C$37</f>
        <v>acre</v>
      </c>
      <c r="D696" s="166">
        <f>'Inputs&amp;PricesbyCrop'!$H$37</f>
        <v>0</v>
      </c>
      <c r="E696" s="166">
        <f>$C$674</f>
        <v>0</v>
      </c>
      <c r="F696" s="166">
        <f t="shared" si="51"/>
        <v>0</v>
      </c>
      <c r="G696" s="166"/>
    </row>
    <row r="697" spans="2:7">
      <c r="B697" t="str">
        <f>'Inputs&amp;PricesbyCrop'!$B$38</f>
        <v xml:space="preserve">   - Insecticide - #2</v>
      </c>
      <c r="C697" s="137" t="str">
        <f>'Inputs&amp;PricesbyCrop'!$C$38</f>
        <v>acre</v>
      </c>
      <c r="D697" s="166">
        <f>'Inputs&amp;PricesbyCrop'!$H$38</f>
        <v>0</v>
      </c>
      <c r="E697" s="166">
        <f>$C$674</f>
        <v>0</v>
      </c>
      <c r="F697" s="166">
        <f t="shared" si="51"/>
        <v>0</v>
      </c>
      <c r="G697" s="166"/>
    </row>
    <row r="698" spans="2:7">
      <c r="B698" t="str">
        <f>'Inputs&amp;PricesbyCrop'!$B$7</f>
        <v>Flood - Irrigation Water</v>
      </c>
      <c r="C698" s="137" t="str">
        <f>'Inputs&amp;PricesbyCrop'!$C$7</f>
        <v>ac ft</v>
      </c>
      <c r="D698" s="166">
        <f>GeneralInputPrices!$D$13</f>
        <v>55</v>
      </c>
      <c r="E698" s="102">
        <f>('AcresYieldsPrices&amp;Water'!$E$6*'Inputs&amp;PricesbyCrop'!$H$7)*$C674</f>
        <v>0</v>
      </c>
      <c r="F698" s="166">
        <f t="shared" si="51"/>
        <v>0</v>
      </c>
      <c r="G698" s="166"/>
    </row>
    <row r="699" spans="2:7">
      <c r="B699" t="str">
        <f>'Inputs&amp;PricesbyCrop'!$B$8</f>
        <v>Flood - Irrigation Labor</v>
      </c>
      <c r="C699" s="137" t="str">
        <f>'Inputs&amp;PricesbyCrop'!$C$8</f>
        <v>hour</v>
      </c>
      <c r="D699" s="166">
        <f>GeneralInputPrices!$D$28</f>
        <v>14.55</v>
      </c>
      <c r="E699" s="166">
        <f>('AcresYieldsPrices&amp;Water'!$E$6*'Inputs&amp;PricesbyCrop'!$H$8)*$C674</f>
        <v>0</v>
      </c>
      <c r="F699" s="166">
        <f t="shared" si="51"/>
        <v>0</v>
      </c>
      <c r="G699" s="166"/>
    </row>
    <row r="700" spans="2:7">
      <c r="B700" t="str">
        <f>GeneralInputPrices!$B$18</f>
        <v xml:space="preserve">   - Annual Repairs &amp; Maintenance</v>
      </c>
      <c r="C700" s="453" t="str">
        <f>GeneralInputPrices!$C$18</f>
        <v>acre</v>
      </c>
      <c r="D700" s="166">
        <f>GeneralInputPrices!$D$18</f>
        <v>3</v>
      </c>
      <c r="E700" s="166">
        <f>'AcresYieldsPrices&amp;Water'!$E$6*$C674</f>
        <v>0</v>
      </c>
      <c r="F700" s="166">
        <f t="shared" si="51"/>
        <v>0</v>
      </c>
      <c r="G700" s="166"/>
    </row>
    <row r="701" spans="2:7">
      <c r="B701" t="str">
        <f>'Inputs&amp;PricesbyCrop'!$B$9</f>
        <v>Drip-tape - Irrigation Water</v>
      </c>
      <c r="C701" s="137" t="str">
        <f>'Inputs&amp;PricesbyCrop'!$C$9</f>
        <v>ac ft</v>
      </c>
      <c r="D701" s="166">
        <f>GeneralInputPrices!$D$13</f>
        <v>55</v>
      </c>
      <c r="E701" s="166">
        <f>('AcresYieldsPrices&amp;Water'!$F$6*'Inputs&amp;PricesbyCrop'!$H$9)*$C674</f>
        <v>0</v>
      </c>
      <c r="F701" s="166">
        <f t="shared" si="51"/>
        <v>0</v>
      </c>
      <c r="G701" s="166"/>
    </row>
    <row r="702" spans="2:7">
      <c r="B702" t="str">
        <f>'Inputs&amp;PricesbyCrop'!$B$10</f>
        <v>Drip-tape - Irrigation Labor</v>
      </c>
      <c r="C702" s="137" t="str">
        <f>'Inputs&amp;PricesbyCrop'!$C$10</f>
        <v>hour</v>
      </c>
      <c r="D702" s="166">
        <f>GeneralInputPrices!$D$28</f>
        <v>14.55</v>
      </c>
      <c r="E702" s="166">
        <f>('AcresYieldsPrices&amp;Water'!$F$6*'Inputs&amp;PricesbyCrop'!$H$10)*$C674</f>
        <v>0</v>
      </c>
      <c r="F702" s="166">
        <f t="shared" si="51"/>
        <v>0</v>
      </c>
      <c r="G702" s="166"/>
    </row>
    <row r="703" spans="2:7">
      <c r="B703" t="str">
        <f>GeneralInputPrices!$B$22</f>
        <v xml:space="preserve">   - Annual Repairs &amp; Maintenance</v>
      </c>
      <c r="C703" s="453" t="str">
        <f>GeneralInputPrices!$C$22</f>
        <v>acre</v>
      </c>
      <c r="D703" s="166">
        <f>GeneralInputPrices!$D$22</f>
        <v>7.5</v>
      </c>
      <c r="E703" s="166">
        <f>'AcresYieldsPrices&amp;Water'!$F$6*C674</f>
        <v>0</v>
      </c>
      <c r="F703" s="166">
        <f t="shared" si="51"/>
        <v>0</v>
      </c>
      <c r="G703" s="166"/>
    </row>
    <row r="704" spans="2:7">
      <c r="B704" t="str">
        <f>'Inputs&amp;PricesbyCrop'!$B$11</f>
        <v>Sprinkler - Irrigation Water</v>
      </c>
      <c r="C704" s="137" t="str">
        <f>'Inputs&amp;PricesbyCrop'!$C$11</f>
        <v>ac ft</v>
      </c>
      <c r="D704" s="166">
        <f>GeneralInputPrices!$D$13</f>
        <v>55</v>
      </c>
      <c r="E704" s="166">
        <f>('AcresYieldsPrices&amp;Water'!$G$6*'Inputs&amp;PricesbyCrop'!$H$11)*$C674</f>
        <v>0</v>
      </c>
      <c r="F704" s="166">
        <f t="shared" si="51"/>
        <v>0</v>
      </c>
      <c r="G704" s="166"/>
    </row>
    <row r="705" spans="2:7">
      <c r="B705" t="str">
        <f>'Inputs&amp;PricesbyCrop'!$B$12</f>
        <v>Sprinkler - Irrigation Labor</v>
      </c>
      <c r="C705" s="137" t="str">
        <f>'Inputs&amp;PricesbyCrop'!$C$12</f>
        <v>hour</v>
      </c>
      <c r="D705" s="166">
        <f>GeneralInputPrices!$D$28</f>
        <v>14.55</v>
      </c>
      <c r="E705" s="166">
        <f>('AcresYieldsPrices&amp;Water'!$G$6*'Inputs&amp;PricesbyCrop'!$H$12)*$C674</f>
        <v>0</v>
      </c>
      <c r="F705" s="166">
        <f t="shared" si="51"/>
        <v>0</v>
      </c>
      <c r="G705" s="166"/>
    </row>
    <row r="706" spans="2:7">
      <c r="B706" t="str">
        <f>GeneralInputPrices!$B$26</f>
        <v xml:space="preserve">   - Annual Repairs &amp; Maintenance</v>
      </c>
      <c r="C706" s="453" t="str">
        <f>GeneralInputPrices!$C$26</f>
        <v>acre</v>
      </c>
      <c r="D706" s="166">
        <f>GeneralInputPrices!$D$26</f>
        <v>15</v>
      </c>
      <c r="E706" s="166">
        <f>'AcresYieldsPrices&amp;Water'!$G$6*$C674</f>
        <v>0</v>
      </c>
      <c r="F706" s="166">
        <f t="shared" si="51"/>
        <v>0</v>
      </c>
      <c r="G706" s="166"/>
    </row>
    <row r="707" spans="2:7">
      <c r="B707" t="str">
        <f>CustomOperations!$B$37</f>
        <v>Harvest, Custom</v>
      </c>
      <c r="C707" s="137" t="str">
        <f>CustomOperations!$C$37</f>
        <v>acre</v>
      </c>
      <c r="D707" s="166">
        <f>CustomOperations!$H$37</f>
        <v>0</v>
      </c>
      <c r="E707" s="166">
        <f>CustomOperations!$H$38*$C$674</f>
        <v>0</v>
      </c>
      <c r="F707" s="166">
        <f t="shared" ref="F707:F721" si="52">D707*E707</f>
        <v>0</v>
      </c>
      <c r="G707" s="166"/>
    </row>
    <row r="708" spans="2:7">
      <c r="B708" t="str">
        <f>CustomOperations!$B$39</f>
        <v>Hauling, Custom</v>
      </c>
      <c r="C708" s="137" t="str">
        <f>CustomOperations!$C$39</f>
        <v>mile</v>
      </c>
      <c r="D708" s="166">
        <f>CustomOperations!$H$39</f>
        <v>0</v>
      </c>
      <c r="E708" s="166">
        <f>CustomOperations!$H$40*$C$674</f>
        <v>0</v>
      </c>
      <c r="F708" s="166">
        <f t="shared" si="52"/>
        <v>0</v>
      </c>
      <c r="G708" s="166"/>
    </row>
    <row r="709" spans="2:7">
      <c r="B709" t="str">
        <f>CustomOperations!$B$41</f>
        <v>Gin Cotton/Drying/Swathing, Custom</v>
      </c>
      <c r="C709" s="137" t="str">
        <f>CustomOperations!$C$41</f>
        <v>bale</v>
      </c>
      <c r="D709" s="166">
        <f>CustomOperations!$H$41</f>
        <v>0</v>
      </c>
      <c r="E709" s="166">
        <f>CustomOperations!$H$42*$C$674</f>
        <v>0</v>
      </c>
      <c r="F709" s="166">
        <f t="shared" si="52"/>
        <v>0</v>
      </c>
      <c r="G709" s="166"/>
    </row>
    <row r="710" spans="2:7">
      <c r="B710" t="str">
        <f>CustomOperations!$B$24</f>
        <v>Drill, Custom</v>
      </c>
      <c r="C710" s="137" t="str">
        <f>CustomOperations!$C$24</f>
        <v>acre</v>
      </c>
      <c r="D710" s="166">
        <f>CustomOperations!$H$24</f>
        <v>700</v>
      </c>
      <c r="E710" s="166">
        <f>CustomOperations!$H$25*$C$674</f>
        <v>0</v>
      </c>
      <c r="F710" s="166">
        <f t="shared" si="52"/>
        <v>0</v>
      </c>
      <c r="G710" s="166"/>
    </row>
    <row r="711" spans="2:7">
      <c r="B711" t="str">
        <f>CustomOperations!$B$26</f>
        <v>Row Planter, Custom</v>
      </c>
      <c r="C711" s="137" t="str">
        <f>CustomOperations!$C$26</f>
        <v>acre</v>
      </c>
      <c r="D711" s="166">
        <f>CustomOperations!$H$26</f>
        <v>150</v>
      </c>
      <c r="E711" s="166">
        <f>CustomOperations!$H$27*$C$674</f>
        <v>0</v>
      </c>
      <c r="F711" s="166">
        <f t="shared" si="52"/>
        <v>0</v>
      </c>
      <c r="G711" s="166"/>
    </row>
    <row r="712" spans="2:7">
      <c r="B712" t="str">
        <f>CustomOperations!$B$28</f>
        <v>Row Cultivator, Custom</v>
      </c>
      <c r="C712" s="137" t="str">
        <f>CustomOperations!$C$28</f>
        <v>acre</v>
      </c>
      <c r="D712" s="166">
        <f>CustomOperations!$H$28</f>
        <v>0</v>
      </c>
      <c r="E712" s="166">
        <f>CustomOperations!$H$29*$C$674</f>
        <v>0</v>
      </c>
      <c r="F712" s="166">
        <f t="shared" si="52"/>
        <v>0</v>
      </c>
      <c r="G712" s="166"/>
    </row>
    <row r="713" spans="2:7">
      <c r="B713" t="str">
        <f>CustomOperations!$B$5</f>
        <v>V Ripper, Custom</v>
      </c>
      <c r="C713" s="137" t="str">
        <f>CustomOperations!$C$5</f>
        <v>acre</v>
      </c>
      <c r="D713" s="166">
        <f>CustomOperations!$H$5</f>
        <v>44.25</v>
      </c>
      <c r="E713" s="166">
        <f>CustomOperations!$H$6*$C$674</f>
        <v>0</v>
      </c>
      <c r="F713" s="166">
        <f t="shared" si="52"/>
        <v>0</v>
      </c>
      <c r="G713" s="166"/>
    </row>
    <row r="714" spans="2:7">
      <c r="B714" t="str">
        <f>CustomOperations!$B$7</f>
        <v>Disk, Custom</v>
      </c>
      <c r="C714" s="137" t="str">
        <f>CustomOperations!$C$7</f>
        <v>acre</v>
      </c>
      <c r="D714" s="166">
        <f>CustomOperations!$H$7</f>
        <v>0</v>
      </c>
      <c r="E714" s="166">
        <f>CustomOperations!$H$8*$C$674</f>
        <v>0</v>
      </c>
      <c r="F714" s="166">
        <f t="shared" si="52"/>
        <v>0</v>
      </c>
      <c r="G714" s="166"/>
    </row>
    <row r="715" spans="2:7">
      <c r="B715" t="str">
        <f>CustomOperations!$B$9</f>
        <v>Drag, Custom</v>
      </c>
      <c r="C715" s="137" t="str">
        <f>CustomOperations!$C$9</f>
        <v>acre</v>
      </c>
      <c r="D715" s="166">
        <f>CustomOperations!$H$9</f>
        <v>0</v>
      </c>
      <c r="E715" s="166">
        <f>CustomOperations!$H$10*$C$674</f>
        <v>0</v>
      </c>
      <c r="F715" s="166">
        <f t="shared" si="52"/>
        <v>0</v>
      </c>
      <c r="G715" s="166"/>
    </row>
    <row r="716" spans="2:7">
      <c r="B716" t="str">
        <f>CustomOperations!$B$11</f>
        <v>Chisel, Custom</v>
      </c>
      <c r="C716" s="137" t="str">
        <f>CustomOperations!$C$11</f>
        <v>acre</v>
      </c>
      <c r="D716" s="166">
        <f>CustomOperations!$H$11</f>
        <v>0</v>
      </c>
      <c r="E716" s="166">
        <f>CustomOperations!$H$12*$C$674</f>
        <v>0</v>
      </c>
      <c r="F716" s="166">
        <f t="shared" si="52"/>
        <v>0</v>
      </c>
      <c r="G716" s="166"/>
    </row>
    <row r="717" spans="2:7">
      <c r="B717" t="str">
        <f>CustomOperations!$B$13</f>
        <v>Moldboard Plow, Custom</v>
      </c>
      <c r="C717" s="137" t="str">
        <f>CustomOperations!$C$13</f>
        <v>acre</v>
      </c>
      <c r="D717" s="166">
        <f>CustomOperations!$H$13</f>
        <v>0</v>
      </c>
      <c r="E717" s="166">
        <f>CustomOperations!$H$14*$C$674</f>
        <v>0</v>
      </c>
      <c r="F717" s="166">
        <f t="shared" si="52"/>
        <v>0</v>
      </c>
      <c r="G717" s="166"/>
    </row>
    <row r="718" spans="2:7">
      <c r="B718" t="str">
        <f>CustomOperations!$B$15</f>
        <v>Landplane, Custom</v>
      </c>
      <c r="C718" s="137" t="str">
        <f>CustomOperations!$C$15</f>
        <v>acre</v>
      </c>
      <c r="D718" s="166">
        <f>CustomOperations!$H$15</f>
        <v>17.940000000000001</v>
      </c>
      <c r="E718" s="166">
        <f>CustomOperations!$H$16*$C$674</f>
        <v>0</v>
      </c>
      <c r="F718" s="166">
        <f t="shared" si="52"/>
        <v>0</v>
      </c>
      <c r="G718" s="166"/>
    </row>
    <row r="719" spans="2:7">
      <c r="B719" t="str">
        <f>CustomOperations!$B$17</f>
        <v>Float, Custom</v>
      </c>
      <c r="C719" s="137" t="str">
        <f>CustomOperations!$C$17</f>
        <v>acre</v>
      </c>
      <c r="D719" s="166">
        <f>CustomOperations!$H$17</f>
        <v>17.940000000000001</v>
      </c>
      <c r="E719" s="166">
        <f>CustomOperations!$H$18*$C$674</f>
        <v>0</v>
      </c>
      <c r="F719" s="166">
        <f t="shared" si="52"/>
        <v>0</v>
      </c>
      <c r="G719" s="166"/>
    </row>
    <row r="720" spans="2:7">
      <c r="B720" t="str">
        <f>CustomOperations!$B$19</f>
        <v>Lister, Custom</v>
      </c>
      <c r="C720" s="137" t="str">
        <f>CustomOperations!$C$19</f>
        <v>acre</v>
      </c>
      <c r="D720" s="166">
        <f>CustomOperations!$H$19</f>
        <v>20.38</v>
      </c>
      <c r="E720" s="166">
        <f>CustomOperations!$H$20*$C$674</f>
        <v>0</v>
      </c>
      <c r="F720" s="166">
        <f t="shared" si="52"/>
        <v>0</v>
      </c>
      <c r="G720" s="166"/>
    </row>
    <row r="721" spans="2:7">
      <c r="B721" t="str">
        <f>CustomOperations!$B$21</f>
        <v>Bed Shape, Custom</v>
      </c>
      <c r="C721" s="137" t="str">
        <f>CustomOperations!$C$21</f>
        <v>acre</v>
      </c>
      <c r="D721" s="166">
        <f>CustomOperations!$H$21</f>
        <v>13.69</v>
      </c>
      <c r="E721" s="166">
        <f>CustomOperations!$H$22*$C$674</f>
        <v>0</v>
      </c>
      <c r="F721" s="166">
        <f t="shared" si="52"/>
        <v>0</v>
      </c>
      <c r="G721" s="166"/>
    </row>
    <row r="722" spans="2:7">
      <c r="B722" t="str">
        <f>CustomOperations!$B$32</f>
        <v>Fertilizer Spreader, Custom</v>
      </c>
      <c r="C722" s="137" t="str">
        <f>CustomOperations!$C$32</f>
        <v>acre</v>
      </c>
      <c r="D722" s="166">
        <f>CustomOperations!$H$32</f>
        <v>10.08</v>
      </c>
      <c r="E722" s="166">
        <f>CustomOperations!$H$33*$C$674</f>
        <v>0</v>
      </c>
      <c r="F722" s="166">
        <f>D722*E722</f>
        <v>0</v>
      </c>
      <c r="G722" s="166"/>
    </row>
    <row r="723" spans="2:7">
      <c r="B723" t="str">
        <f>CustomOperations!$B$34</f>
        <v>Laser Landplaning, Custom</v>
      </c>
      <c r="C723" s="137" t="str">
        <f>CustomOperations!$C$34</f>
        <v>acre</v>
      </c>
      <c r="D723" s="166">
        <f>CustomOperations!$H$34</f>
        <v>411</v>
      </c>
      <c r="E723" s="166">
        <f>CustomOperations!$H$35*$C$674</f>
        <v>0</v>
      </c>
      <c r="F723" s="166">
        <f>D723*E723</f>
        <v>0</v>
      </c>
      <c r="G723" s="166"/>
    </row>
    <row r="724" spans="2:7">
      <c r="B724" t="str">
        <f>CustomOperations!$B$30</f>
        <v>Boom Sprayer, Custom</v>
      </c>
      <c r="C724" s="137" t="str">
        <f>CustomOperations!$C$30</f>
        <v>acre</v>
      </c>
      <c r="D724" s="166">
        <f>CustomOperations!$H$30</f>
        <v>10.050000000000001</v>
      </c>
      <c r="E724" s="166">
        <f>CustomOperations!$H$31*$C$674</f>
        <v>0</v>
      </c>
      <c r="F724" s="166">
        <f t="shared" ref="F724:F746" si="53">D724*E724</f>
        <v>0</v>
      </c>
      <c r="G724" s="166"/>
    </row>
    <row r="725" spans="2:7">
      <c r="B725" s="463" t="str">
        <f>TillageOperations!$B$7&amp;" (Repairs, maint., fuel &amp; lube)"</f>
        <v>V-Ripper (Repairs, maint., fuel &amp; lube)</v>
      </c>
      <c r="C725" s="464" t="s">
        <v>157</v>
      </c>
      <c r="D725" s="166">
        <f>PubMachineryTables!$AM$49+PubMachineryTables!$AN$49</f>
        <v>30.16333889180672</v>
      </c>
      <c r="E725" s="166">
        <f>TillageOperations!$G$7*$C$674</f>
        <v>0</v>
      </c>
      <c r="F725" s="166">
        <f t="shared" si="53"/>
        <v>0</v>
      </c>
      <c r="G725" s="166"/>
    </row>
    <row r="726" spans="2:7">
      <c r="B726" s="463" t="str">
        <f>TillageOperations!$B$7&amp;" (Labor)"</f>
        <v>V-Ripper (Labor)</v>
      </c>
      <c r="C726" s="464" t="s">
        <v>157</v>
      </c>
      <c r="D726" s="166">
        <f>PubMachineryTables!$AL$49</f>
        <v>13.529312500000001</v>
      </c>
      <c r="E726" s="166">
        <f>TillageOperations!$G$7*$C$674</f>
        <v>0</v>
      </c>
      <c r="F726" s="166">
        <f t="shared" si="53"/>
        <v>0</v>
      </c>
      <c r="G726" s="166"/>
    </row>
    <row r="727" spans="2:7">
      <c r="B727" s="463" t="str">
        <f>TillageOperations!$B$8&amp;" (Repairs, maint., fuel &amp; lube)"</f>
        <v>Offset Disk (Repairs, maint., fuel &amp; lube)</v>
      </c>
      <c r="C727" s="464" t="s">
        <v>157</v>
      </c>
      <c r="D727" s="166">
        <f>PubMachineryTables!$AN$50+PubMachineryTables!$AM$50</f>
        <v>10.332318567950058</v>
      </c>
      <c r="E727" s="166">
        <f>TillageOperations!$G$8*$C$674</f>
        <v>0</v>
      </c>
      <c r="F727" s="166">
        <f t="shared" si="53"/>
        <v>0</v>
      </c>
      <c r="G727" s="166"/>
    </row>
    <row r="728" spans="2:7">
      <c r="B728" s="463" t="str">
        <f>TillageOperations!$B$8&amp;" (Labor)"</f>
        <v>Offset Disk (Labor)</v>
      </c>
      <c r="C728" s="464" t="s">
        <v>157</v>
      </c>
      <c r="D728" s="166">
        <f>PubMachineryTables!$AL$50</f>
        <v>4.7161002178649252</v>
      </c>
      <c r="E728" s="166">
        <f>TillageOperations!$G$8*$C$674</f>
        <v>0</v>
      </c>
      <c r="F728" s="166">
        <f t="shared" si="53"/>
        <v>0</v>
      </c>
      <c r="G728" s="166"/>
    </row>
    <row r="729" spans="2:7">
      <c r="B729" s="463" t="str">
        <f>TillageOperations!$B$9&amp;" (Repairs, maint., fuel &amp; lube)"</f>
        <v>Drag (Repairs, maint., fuel &amp; lube)</v>
      </c>
      <c r="C729" s="464" t="s">
        <v>157</v>
      </c>
      <c r="D729" s="166">
        <f>PubMachineryTables!$AN$51+PubMachineryTables!$AM$51</f>
        <v>2.4803921568627447</v>
      </c>
      <c r="E729" s="166">
        <f>TillageOperations!$G$9*$C$674</f>
        <v>0</v>
      </c>
      <c r="F729" s="166">
        <f t="shared" si="53"/>
        <v>0</v>
      </c>
      <c r="G729" s="166"/>
    </row>
    <row r="730" spans="2:7">
      <c r="B730" s="463" t="str">
        <f>TillageOperations!$B$9&amp;" (Labor)"</f>
        <v>Drag (Labor)</v>
      </c>
      <c r="C730" s="464" t="s">
        <v>157</v>
      </c>
      <c r="D730" s="166">
        <f>PubMachineryTables!$AL$51</f>
        <v>2.1222450980392158</v>
      </c>
      <c r="E730" s="166">
        <f>TillageOperations!$G$9*$C$674</f>
        <v>0</v>
      </c>
      <c r="F730" s="166">
        <f t="shared" si="53"/>
        <v>0</v>
      </c>
      <c r="G730" s="166"/>
    </row>
    <row r="731" spans="2:7">
      <c r="B731" s="463" t="str">
        <f>TillageOperations!$B$10&amp;" (Repairs, maint., fuel &amp; lube)"</f>
        <v>Chisel (Repairs, maint., fuel &amp; lube)</v>
      </c>
      <c r="C731" s="464" t="s">
        <v>157</v>
      </c>
      <c r="D731" s="166">
        <f>PubMachineryTables!$AN$52+PubMachineryTables!$AM$52</f>
        <v>8.5884820270019766</v>
      </c>
      <c r="E731" s="166">
        <f>TillageOperations!$G$10*$C$674</f>
        <v>0</v>
      </c>
      <c r="F731" s="166">
        <f t="shared" si="53"/>
        <v>0</v>
      </c>
      <c r="G731" s="166"/>
    </row>
    <row r="732" spans="2:7">
      <c r="B732" s="463" t="str">
        <f>TillageOperations!$B$10&amp;" (Labor)"</f>
        <v>Chisel (Labor)</v>
      </c>
      <c r="C732" s="464" t="s">
        <v>157</v>
      </c>
      <c r="D732" s="166">
        <f>PubMachineryTables!$AL$52</f>
        <v>3.9792095588235301</v>
      </c>
      <c r="E732" s="166">
        <f>TillageOperations!$G$10*$C$674</f>
        <v>0</v>
      </c>
      <c r="F732" s="166">
        <f t="shared" si="53"/>
        <v>0</v>
      </c>
      <c r="G732" s="166"/>
    </row>
    <row r="733" spans="2:7">
      <c r="B733" s="463" t="str">
        <f>TillageOperations!$B$11&amp;" (Repairs, maint., fuel &amp; lube)"</f>
        <v>Moldboard Plow (Repairs, maint., fuel &amp; lube)</v>
      </c>
      <c r="C733" s="464" t="s">
        <v>157</v>
      </c>
      <c r="D733" s="166">
        <f>PubMachineryTables!$AN$53+PubMachineryTables!$AM$53</f>
        <v>14.457142857142856</v>
      </c>
      <c r="E733" s="166">
        <f>TillageOperations!$G$11*$C$674</f>
        <v>0</v>
      </c>
      <c r="F733" s="166">
        <f t="shared" si="53"/>
        <v>0</v>
      </c>
      <c r="G733" s="166"/>
    </row>
    <row r="734" spans="2:7">
      <c r="B734" s="463" t="str">
        <f>TillageOperations!$B$11&amp;" (Labor)"</f>
        <v>Moldboard Plow (Labor)</v>
      </c>
      <c r="C734" s="464" t="s">
        <v>157</v>
      </c>
      <c r="D734" s="166">
        <f>PubMachineryTables!$AL$53</f>
        <v>7.7310357142857153</v>
      </c>
      <c r="E734" s="166">
        <f>TillageOperations!$G$11*$C$674</f>
        <v>0</v>
      </c>
      <c r="F734" s="166">
        <f t="shared" si="53"/>
        <v>0</v>
      </c>
      <c r="G734" s="166"/>
    </row>
    <row r="735" spans="2:7">
      <c r="B735" s="463" t="str">
        <f>TillageOperations!$B$12&amp;" (Repairs, maint., fuel &amp; lube)"</f>
        <v>Cultivator (Repairs, maint., fuel &amp; lube)</v>
      </c>
      <c r="C735" s="464" t="s">
        <v>157</v>
      </c>
      <c r="D735" s="166">
        <f>PubMachineryTables!$AN$54+PubMachineryTables!$AM$54</f>
        <v>5.7828571428571429</v>
      </c>
      <c r="E735" s="166">
        <f>TillageOperations!$G$12*$C$674</f>
        <v>0</v>
      </c>
      <c r="F735" s="166">
        <f t="shared" si="53"/>
        <v>0</v>
      </c>
      <c r="G735" s="166"/>
    </row>
    <row r="736" spans="2:7">
      <c r="B736" s="463" t="str">
        <f>TillageOperations!$B$12&amp;" (Labor)"</f>
        <v>Cultivator (Labor)</v>
      </c>
      <c r="C736" s="464" t="s">
        <v>157</v>
      </c>
      <c r="D736" s="166">
        <f>PubMachineryTables!$AL$54</f>
        <v>3.0924142857142862</v>
      </c>
      <c r="E736" s="166">
        <f>TillageOperations!$G$12*$C$674</f>
        <v>0</v>
      </c>
      <c r="F736" s="166">
        <f t="shared" si="53"/>
        <v>0</v>
      </c>
      <c r="G736" s="166"/>
    </row>
    <row r="737" spans="2:7">
      <c r="B737" s="463" t="str">
        <f>TillageOperations!$B$13&amp;" (Repairs, maint., fuel &amp; lube)"</f>
        <v>Landplane (Repairs, maint., fuel &amp; lube)</v>
      </c>
      <c r="C737" s="464" t="s">
        <v>157</v>
      </c>
      <c r="D737" s="166">
        <f>PubMachineryTables!$AN$55+PubMachineryTables!$AM$55</f>
        <v>8.0445253976590632</v>
      </c>
      <c r="E737" s="166">
        <f>TillageOperations!$G$13*$C$674</f>
        <v>0</v>
      </c>
      <c r="F737" s="166">
        <f t="shared" si="53"/>
        <v>0</v>
      </c>
      <c r="G737" s="166"/>
    </row>
    <row r="738" spans="2:7">
      <c r="B738" s="463" t="str">
        <f>TillageOperations!$B$13&amp;" (Labor)"</f>
        <v>Landplane (Labor)</v>
      </c>
      <c r="C738" s="464" t="s">
        <v>157</v>
      </c>
      <c r="D738" s="166">
        <f>PubMachineryTables!$AL$55</f>
        <v>3.8655178571428577</v>
      </c>
      <c r="E738" s="166">
        <f>TillageOperations!$G$13*$C$674</f>
        <v>0</v>
      </c>
      <c r="F738" s="166">
        <f t="shared" si="53"/>
        <v>0</v>
      </c>
      <c r="G738" s="166"/>
    </row>
    <row r="739" spans="2:7">
      <c r="B739" s="463" t="str">
        <f>TillageOperations!$B$14&amp;" (Repairs, maint., fuel &amp; lube)"</f>
        <v>Float (Repairs, maint., fuel &amp; lube)</v>
      </c>
      <c r="C739" s="464" t="s">
        <v>157</v>
      </c>
      <c r="D739" s="166">
        <f>PubMachineryTables!$AN$56+PubMachineryTables!$AM$56</f>
        <v>5.1632653061224492</v>
      </c>
      <c r="E739" s="166">
        <f>TillageOperations!$G$14*$C$674</f>
        <v>0</v>
      </c>
      <c r="F739" s="166">
        <f t="shared" si="53"/>
        <v>0</v>
      </c>
      <c r="G739" s="166"/>
    </row>
    <row r="740" spans="2:7">
      <c r="B740" s="463" t="str">
        <f>TillageOperations!$B$14&amp;" (Labor)"</f>
        <v>Float (Labor)</v>
      </c>
      <c r="C740" s="464" t="s">
        <v>157</v>
      </c>
      <c r="D740" s="166">
        <f>PubMachineryTables!$AL$56</f>
        <v>4.4177346938775521</v>
      </c>
      <c r="E740" s="166">
        <f>TillageOperations!$G$14*$C$674</f>
        <v>0</v>
      </c>
      <c r="F740" s="166">
        <f t="shared" si="53"/>
        <v>0</v>
      </c>
      <c r="G740" s="166"/>
    </row>
    <row r="741" spans="2:7">
      <c r="B741" s="463" t="str">
        <f>TillageOperations!$B$15&amp;" (Repairs, maint., fuel &amp; lube)"</f>
        <v>Lister (Repairs, maint., fuel &amp; lube)</v>
      </c>
      <c r="C741" s="464" t="s">
        <v>157</v>
      </c>
      <c r="D741" s="166">
        <f>PubMachineryTables!$AN$57+PubMachineryTables!$AM$57</f>
        <v>11.879642797844287</v>
      </c>
      <c r="E741" s="166">
        <f>TillageOperations!$G$15*$C$674</f>
        <v>0</v>
      </c>
      <c r="F741" s="166">
        <f t="shared" si="53"/>
        <v>0</v>
      </c>
      <c r="G741" s="166"/>
    </row>
    <row r="742" spans="2:7">
      <c r="B742" s="463" t="str">
        <f>TillageOperations!$B$15&amp;" (Labor)"</f>
        <v>Lister (Labor)</v>
      </c>
      <c r="C742" s="464" t="s">
        <v>157</v>
      </c>
      <c r="D742" s="166">
        <f>PubMachineryTables!$AL$57</f>
        <v>6.1848285714285725</v>
      </c>
      <c r="E742" s="166">
        <f>TillageOperations!$G$15*$C$674</f>
        <v>0</v>
      </c>
      <c r="F742" s="166">
        <f t="shared" si="53"/>
        <v>0</v>
      </c>
      <c r="G742" s="166"/>
    </row>
    <row r="743" spans="2:7">
      <c r="B743" s="463" t="str">
        <f>TillageOperations!$B$16&amp;" (Repairs, maint., fuel &amp; lube)"</f>
        <v>Bed Shaper (Repairs, maint., fuel &amp; lube)</v>
      </c>
      <c r="C743" s="464" t="s">
        <v>157</v>
      </c>
      <c r="D743" s="166">
        <f>PubMachineryTables!$AN$58+PubMachineryTables!$AM$58</f>
        <v>5.9574634784635725</v>
      </c>
      <c r="E743" s="166">
        <f>TillageOperations!$G$16*$C$674</f>
        <v>0</v>
      </c>
      <c r="F743" s="166">
        <f t="shared" si="53"/>
        <v>0</v>
      </c>
      <c r="G743" s="166"/>
    </row>
    <row r="744" spans="2:7">
      <c r="B744" s="463" t="str">
        <f>TillageOperations!$B$16&amp;" (Labor)"</f>
        <v>Bed Shaper (Labor)</v>
      </c>
      <c r="C744" s="464" t="s">
        <v>157</v>
      </c>
      <c r="D744" s="166">
        <f>PubMachineryTables!$AL$58</f>
        <v>3.0924142857142862</v>
      </c>
      <c r="E744" s="166">
        <f>TillageOperations!$G$16*$C$674</f>
        <v>0</v>
      </c>
      <c r="F744" s="166">
        <f t="shared" si="53"/>
        <v>0</v>
      </c>
      <c r="G744" s="166"/>
    </row>
    <row r="745" spans="2:7">
      <c r="B745" s="463" t="str">
        <f>TillageOperations!$B$19&amp;" (Repairs, maint., fuel &amp; lube)"</f>
        <v>Row Planter (Repairs, maint., fuel &amp; lube)</v>
      </c>
      <c r="C745" s="464" t="s">
        <v>157</v>
      </c>
      <c r="D745" s="166">
        <f>PubMachineryTables!$AN$60+PubMachineryTables!$AM$60</f>
        <v>8.8400048303091552</v>
      </c>
      <c r="E745" s="166">
        <f>TillageOperations!$G$19*$C$674</f>
        <v>0</v>
      </c>
      <c r="F745" s="166">
        <f t="shared" si="53"/>
        <v>0</v>
      </c>
      <c r="G745" s="166"/>
    </row>
    <row r="746" spans="2:7">
      <c r="B746" s="463" t="str">
        <f>TillageOperations!$B$19&amp;" (Labor)"</f>
        <v>Row Planter (Labor)</v>
      </c>
      <c r="C746" s="464" t="s">
        <v>157</v>
      </c>
      <c r="D746" s="166">
        <f>PubMachineryTables!$AL$60</f>
        <v>4.5097708333333344</v>
      </c>
      <c r="E746" s="166">
        <f>TillageOperations!$G$19*$C$674</f>
        <v>0</v>
      </c>
      <c r="F746" s="166">
        <f t="shared" si="53"/>
        <v>0</v>
      </c>
      <c r="G746" s="166"/>
    </row>
    <row r="747" spans="2:7">
      <c r="B747" s="463" t="str">
        <f>TillageOperations!$B$20&amp;" (Repairs, maint., fuel &amp; lube)"</f>
        <v>Row Cultivator (Repairs, maint., fuel &amp; lube)</v>
      </c>
      <c r="C747" s="464" t="s">
        <v>157</v>
      </c>
      <c r="D747" s="166">
        <f>PubMachineryTables!$AN$61+PubMachineryTables!$AM$61</f>
        <v>3.5823141032725374</v>
      </c>
      <c r="E747" s="166">
        <f>TillageOperations!$G$20*$C$674</f>
        <v>0</v>
      </c>
      <c r="F747" s="166">
        <f>D747*E747</f>
        <v>0</v>
      </c>
      <c r="G747" s="166"/>
    </row>
    <row r="748" spans="2:7">
      <c r="B748" s="463" t="str">
        <f>TillageOperations!$B$20&amp;" (Labor)"</f>
        <v>Row Cultivator (Labor)</v>
      </c>
      <c r="C748" s="464" t="s">
        <v>157</v>
      </c>
      <c r="D748" s="166">
        <f>PubMachineryTables!$AL$61</f>
        <v>3.0065138888888892</v>
      </c>
      <c r="E748" s="166">
        <f>TillageOperations!$G$20*$C$674</f>
        <v>0</v>
      </c>
      <c r="F748" s="166">
        <f>D748*E748</f>
        <v>0</v>
      </c>
      <c r="G748" s="166"/>
    </row>
    <row r="749" spans="2:7">
      <c r="B749" s="463" t="str">
        <f>TillageOperations!$B$21&amp;" (Repairs, maint., fuel &amp; lube)"</f>
        <v>Drill (Repairs, maint., fuel &amp; lube)</v>
      </c>
      <c r="C749" s="464" t="s">
        <v>157</v>
      </c>
      <c r="D749" s="166">
        <f>PubMachineryTables!$AN$62+PubMachineryTables!$AM$62</f>
        <v>7.6986395922631168</v>
      </c>
      <c r="E749" s="166">
        <f>TillageOperations!$G$21*$C$674</f>
        <v>0</v>
      </c>
      <c r="F749" s="166">
        <f>D749*E749</f>
        <v>0</v>
      </c>
      <c r="G749" s="166"/>
    </row>
    <row r="750" spans="2:7">
      <c r="B750" s="463" t="str">
        <f>TillageOperations!$B$21&amp;" (Labor)"</f>
        <v>Drill (Labor)</v>
      </c>
      <c r="C750" s="464" t="s">
        <v>157</v>
      </c>
      <c r="D750" s="166">
        <f>PubMachineryTables!$AL$62</f>
        <v>5.4117250000000006</v>
      </c>
      <c r="E750" s="166">
        <f>TillageOperations!$G$21*$C$674</f>
        <v>0</v>
      </c>
      <c r="F750" s="166">
        <f>D750*E750</f>
        <v>0</v>
      </c>
      <c r="G750" s="166"/>
    </row>
    <row r="751" spans="2:7">
      <c r="B751" s="75" t="str">
        <f>TillageOperations!$B$27&amp;" (Repairs, maint., fuel &amp; lube)"</f>
        <v>Cotton Picker (Repairs, maint., fuel &amp; lube)</v>
      </c>
      <c r="C751" s="464" t="s">
        <v>157</v>
      </c>
      <c r="D751" s="166">
        <f>PubMachineryTables!$AN$67+PubMachineryTables!$AM$67</f>
        <v>20.587703435804702</v>
      </c>
      <c r="E751" s="166">
        <f>TillageOperations!$G$27*$C$674</f>
        <v>0</v>
      </c>
      <c r="F751" s="166">
        <f t="shared" ref="F751:F758" si="54">D751*E751</f>
        <v>0</v>
      </c>
      <c r="G751" s="166"/>
    </row>
    <row r="752" spans="2:7">
      <c r="B752" t="str">
        <f>TillageOperations!$B$27&amp;" (Labor)"</f>
        <v>Cotton Picker (Labor)</v>
      </c>
      <c r="C752" s="464" t="s">
        <v>157</v>
      </c>
      <c r="D752" s="166">
        <f>PubMachineryTables!$AL$67</f>
        <v>7.3395908679927677</v>
      </c>
      <c r="E752" s="166">
        <f>TillageOperations!$G$27*$C$674</f>
        <v>0</v>
      </c>
      <c r="F752" s="166">
        <f t="shared" si="54"/>
        <v>0</v>
      </c>
      <c r="G752" s="166"/>
    </row>
    <row r="753" spans="2:7">
      <c r="B753" s="75" t="str">
        <f>TillageOperations!$B$28&amp;" (Repairs, maint., fuel &amp; lube)"</f>
        <v>Module Unit (Repairs, maint., fuel &amp; lube)</v>
      </c>
      <c r="C753" s="464" t="s">
        <v>157</v>
      </c>
      <c r="D753" s="166">
        <f>PubMachineryTables!$AN$68+PubMachineryTables!$AM$68</f>
        <v>7.0644080416976918</v>
      </c>
      <c r="E753" s="166">
        <f>TillageOperations!$G$28*$C$674</f>
        <v>0</v>
      </c>
      <c r="F753" s="166">
        <f t="shared" si="54"/>
        <v>0</v>
      </c>
      <c r="G753" s="166"/>
    </row>
    <row r="754" spans="2:7">
      <c r="B754" t="str">
        <f>TillageOperations!$B$28&amp;" (Labor)"</f>
        <v>Module Unit (Labor)</v>
      </c>
      <c r="C754" s="464" t="s">
        <v>157</v>
      </c>
      <c r="D754" s="166">
        <f>PubMachineryTables!$AL$68</f>
        <v>6.0443689501116911</v>
      </c>
      <c r="E754" s="166">
        <f>TillageOperations!$G$28*$C$674</f>
        <v>0</v>
      </c>
      <c r="F754" s="166">
        <f t="shared" si="54"/>
        <v>0</v>
      </c>
      <c r="G754" s="166"/>
    </row>
    <row r="755" spans="2:7">
      <c r="B755" t="str">
        <f>TillageOperations!$B$29&amp;" (Repairs, maint., fuel &amp; lube)"</f>
        <v>Haul Cotton (Repairs, maint., fuel &amp; lube)</v>
      </c>
      <c r="C755" s="464" t="s">
        <v>157</v>
      </c>
      <c r="D755" s="166">
        <f>PubMachineryTables!$AN$69+PubMachineryTables!$AM$69</f>
        <v>7.0644080416976918</v>
      </c>
      <c r="E755" s="166">
        <f>TillageOperations!$G$29*$C$674</f>
        <v>0</v>
      </c>
      <c r="F755" s="166">
        <f t="shared" si="54"/>
        <v>0</v>
      </c>
      <c r="G755" s="166"/>
    </row>
    <row r="756" spans="2:7">
      <c r="B756" t="str">
        <f>TillageOperations!$B$29&amp;" (Labor)"</f>
        <v>Haul Cotton (Labor)</v>
      </c>
      <c r="C756" s="464" t="s">
        <v>157</v>
      </c>
      <c r="D756" s="166">
        <f>PubMachineryTables!$AL$69</f>
        <v>6.0443689501116911</v>
      </c>
      <c r="E756" s="166">
        <f>TillageOperations!$G$29*$C$674</f>
        <v>0</v>
      </c>
      <c r="F756" s="166">
        <f t="shared" si="54"/>
        <v>0</v>
      </c>
      <c r="G756" s="166"/>
    </row>
    <row r="757" spans="2:7">
      <c r="B757" t="str">
        <f>TillageOperations!$B$17&amp;" (Repairs, maint., fuel &amp; lube)"</f>
        <v>Cotton Shredder/Root Puller (Repairs, maint., fuel &amp; lube)</v>
      </c>
      <c r="C757" s="464" t="s">
        <v>157</v>
      </c>
      <c r="D757" s="166">
        <f>PubMachineryTables!$AN$59+PubMachineryTables!$AM$59</f>
        <v>3.4657534246575339</v>
      </c>
      <c r="E757" s="166">
        <f>TillageOperations!$G$17*$C$674</f>
        <v>0</v>
      </c>
      <c r="F757" s="166">
        <f t="shared" si="54"/>
        <v>0</v>
      </c>
      <c r="G757" s="166"/>
    </row>
    <row r="758" spans="2:7">
      <c r="B758" t="str">
        <f>TillageOperations!$B$17&amp;" (Labor)"</f>
        <v>Cotton Shredder/Root Puller (Labor)</v>
      </c>
      <c r="C758" s="464" t="s">
        <v>157</v>
      </c>
      <c r="D758" s="166">
        <f>PubMachineryTables!$AL$59</f>
        <v>2.965328767123288</v>
      </c>
      <c r="E758" s="166">
        <f>TillageOperations!$G$17*$C$674</f>
        <v>0</v>
      </c>
      <c r="F758" s="166">
        <f t="shared" si="54"/>
        <v>0</v>
      </c>
      <c r="G758" s="166"/>
    </row>
    <row r="759" spans="2:7">
      <c r="B759" t="str">
        <f>TillageOperations!$B$30&amp;" (Repairs, maint., fuel &amp; lube)"</f>
        <v>Combine (Repairs, maint., fuel &amp; lube)</v>
      </c>
      <c r="C759" s="464" t="s">
        <v>157</v>
      </c>
      <c r="D759" s="166">
        <f>PubMachineryTables!$AN$70+PubMachineryTables!$AM$70</f>
        <v>4.8939818019913757</v>
      </c>
      <c r="E759" s="166">
        <f>TillageOperations!$G$30*$C$674</f>
        <v>0</v>
      </c>
      <c r="F759" s="166">
        <f>D759*E759</f>
        <v>0</v>
      </c>
      <c r="G759" s="166"/>
    </row>
    <row r="760" spans="2:7">
      <c r="B760" t="str">
        <f>TillageOperations!$B$30&amp;" (Labor)"</f>
        <v>Combine (Labor)</v>
      </c>
      <c r="C760" s="464" t="s">
        <v>157</v>
      </c>
      <c r="D760" s="166">
        <f>PubMachineryTables!$AL$70</f>
        <v>1.591683823529412</v>
      </c>
      <c r="E760" s="166">
        <f>TillageOperations!$G$30*$C$674</f>
        <v>0</v>
      </c>
      <c r="F760" s="166">
        <f>D760*E760</f>
        <v>0</v>
      </c>
      <c r="G760" s="166"/>
    </row>
    <row r="761" spans="2:7">
      <c r="B761" t="str">
        <f>TillageOperations!$B$31&amp;" (Repairs, maint., fuel &amp; lube)"</f>
        <v>Grain Cart (Repairs, maint., fuel &amp; lube)</v>
      </c>
      <c r="C761" s="464" t="s">
        <v>157</v>
      </c>
      <c r="D761" s="166">
        <f>PubMachineryTables!$AN$71+PubMachineryTables!$AM$71</f>
        <v>3.2163097667975675</v>
      </c>
      <c r="E761" s="166">
        <f>TillageOperations!$G$31*$C$674</f>
        <v>0</v>
      </c>
      <c r="F761" s="166">
        <f>D761*E761</f>
        <v>0</v>
      </c>
      <c r="G761" s="166"/>
    </row>
    <row r="762" spans="2:7">
      <c r="B762" t="str">
        <f>TillageOperations!$B$31&amp;" (Labor)"</f>
        <v>Grain Cart (Labor)</v>
      </c>
      <c r="C762" s="464" t="s">
        <v>157</v>
      </c>
      <c r="D762" s="166">
        <f>PubMachineryTables!$AL$71</f>
        <v>1.591683823529412</v>
      </c>
      <c r="E762" s="166">
        <f>TillageOperations!$G$31*$C$674</f>
        <v>0</v>
      </c>
      <c r="F762" s="166">
        <f>D762*E762</f>
        <v>0</v>
      </c>
      <c r="G762" s="166"/>
    </row>
    <row r="763" spans="2:7">
      <c r="B763" t="str">
        <f>TillageOperations!$B$32&amp;" (Repairs, maint., fuel &amp; lube)"</f>
        <v>Swather (Repairs, maint., fuel &amp; lube)</v>
      </c>
      <c r="C763" s="464" t="s">
        <v>157</v>
      </c>
      <c r="D763" s="166">
        <f>PubMachineryTables!$AN$72+PubMachineryTables!$AM$72</f>
        <v>2.0239999999999996</v>
      </c>
      <c r="E763" s="166">
        <f>TillageOperations!$G$32*$C$674</f>
        <v>0</v>
      </c>
      <c r="F763" s="166">
        <f t="shared" ref="F763:F787" si="55">D763*E763</f>
        <v>0</v>
      </c>
      <c r="G763" s="166"/>
    </row>
    <row r="764" spans="2:7">
      <c r="B764" t="str">
        <f>TillageOperations!$B$32&amp;" (Labor)"</f>
        <v>Swather (Labor)</v>
      </c>
      <c r="C764" s="464" t="s">
        <v>157</v>
      </c>
      <c r="D764" s="166">
        <f>PubMachineryTables!$AL$72</f>
        <v>2.1646900000000002</v>
      </c>
      <c r="E764" s="166">
        <f>TillageOperations!$G$32*$C$674</f>
        <v>0</v>
      </c>
      <c r="F764" s="166">
        <f t="shared" si="55"/>
        <v>0</v>
      </c>
      <c r="G764" s="166"/>
    </row>
    <row r="765" spans="2:7">
      <c r="B765" t="str">
        <f>TillageOperations!$B$33&amp;" (Repairs, maint., fuel &amp; lube)"</f>
        <v>Baler (Repairs, maint., fuel &amp; lube)</v>
      </c>
      <c r="C765" s="464" t="s">
        <v>157</v>
      </c>
      <c r="D765" s="166">
        <f>PubMachineryTables!$AN$73+PubMachineryTables!$AM$73</f>
        <v>3.953125</v>
      </c>
      <c r="E765" s="166">
        <f>TillageOperations!$G$33*$C$674</f>
        <v>0</v>
      </c>
      <c r="F765" s="166">
        <f t="shared" si="55"/>
        <v>0</v>
      </c>
      <c r="G765" s="166"/>
    </row>
    <row r="766" spans="2:7">
      <c r="B766" t="str">
        <f>TillageOperations!$B$33&amp;" (Labor)"</f>
        <v>Baler (Labor)</v>
      </c>
      <c r="C766" s="464" t="s">
        <v>157</v>
      </c>
      <c r="D766" s="166">
        <f>PubMachineryTables!$AL$73</f>
        <v>3.3823281250000004</v>
      </c>
      <c r="E766" s="166">
        <f>TillageOperations!$G$33*$C$674</f>
        <v>0</v>
      </c>
      <c r="F766" s="166">
        <f t="shared" si="55"/>
        <v>0</v>
      </c>
      <c r="G766" s="166"/>
    </row>
    <row r="767" spans="2:7">
      <c r="B767" t="str">
        <f>TillageOperations!$B$34&amp;" (Repairs, maint., fuel &amp; lube)"</f>
        <v>Swather (Repairs, maint., fuel &amp; lube)</v>
      </c>
      <c r="C767" s="464" t="s">
        <v>157</v>
      </c>
      <c r="D767" s="166">
        <f>PubMachineryTables!$AN$74+PubMachineryTables!$AM$74</f>
        <v>19.46153846153846</v>
      </c>
      <c r="E767" s="166">
        <f>TillageOperations!$G$34*$C$674</f>
        <v>0</v>
      </c>
      <c r="F767" s="166">
        <f t="shared" si="55"/>
        <v>0</v>
      </c>
      <c r="G767" s="166"/>
    </row>
    <row r="768" spans="2:7">
      <c r="B768" t="str">
        <f>TillageOperations!$B$34&amp;" (Labor)"</f>
        <v>Swather (Labor)</v>
      </c>
      <c r="C768" s="464" t="s">
        <v>157</v>
      </c>
      <c r="D768" s="166">
        <f>PubMachineryTables!$AL$74</f>
        <v>20.814326923076923</v>
      </c>
      <c r="E768" s="166">
        <f>TillageOperations!$G$34*$C$674</f>
        <v>0</v>
      </c>
      <c r="F768" s="166">
        <f t="shared" si="55"/>
        <v>0</v>
      </c>
      <c r="G768" s="166"/>
    </row>
    <row r="769" spans="2:7">
      <c r="B769" t="str">
        <f>TillageOperations!$B$35&amp;" (Repairs, maint., fuel &amp; lube)"</f>
        <v>Baler (Repairs, maint., fuel &amp; lube)</v>
      </c>
      <c r="C769" s="464" t="s">
        <v>157</v>
      </c>
      <c r="D769" s="166">
        <f>PubMachineryTables!$AN$75+PubMachineryTables!$AM$75</f>
        <v>24.326923076923073</v>
      </c>
      <c r="E769" s="166">
        <f>TillageOperations!$G$35*$C$674</f>
        <v>0</v>
      </c>
      <c r="F769" s="166">
        <f t="shared" si="55"/>
        <v>0</v>
      </c>
      <c r="G769" s="166"/>
    </row>
    <row r="770" spans="2:7">
      <c r="B770" t="str">
        <f>TillageOperations!$B$35&amp;" (Labor)"</f>
        <v>Baler (Labor)</v>
      </c>
      <c r="C770" s="464" t="s">
        <v>157</v>
      </c>
      <c r="D770" s="166">
        <f>PubMachineryTables!$AL$75</f>
        <v>20.814326923076923</v>
      </c>
      <c r="E770" s="166">
        <f>TillageOperations!$G$35*$C$674</f>
        <v>0</v>
      </c>
      <c r="F770" s="166">
        <f t="shared" si="55"/>
        <v>0</v>
      </c>
      <c r="G770" s="166"/>
    </row>
    <row r="771" spans="2:7">
      <c r="B771" t="str">
        <f>'Inputs&amp;PricesbyCrop'!$B$31</f>
        <v xml:space="preserve">   - Baling Twine</v>
      </c>
      <c r="C771" s="137" t="str">
        <f>'Inputs&amp;PricesbyCrop'!$C$31</f>
        <v>acre</v>
      </c>
      <c r="D771" s="166">
        <f>'Inputs&amp;PricesbyCrop'!$H$31</f>
        <v>0</v>
      </c>
      <c r="E771" s="166">
        <f>C674</f>
        <v>0</v>
      </c>
      <c r="F771" s="166">
        <f t="shared" si="55"/>
        <v>0</v>
      </c>
      <c r="G771" s="166"/>
    </row>
    <row r="772" spans="2:7">
      <c r="B772" t="str">
        <f>TillageOperations!$B$36&amp;" (Repairs, maint., fuel &amp; lube)"</f>
        <v>Bale Wagon (Repairs, maint., fuel &amp; lube)</v>
      </c>
      <c r="C772" s="464" t="s">
        <v>157</v>
      </c>
      <c r="D772" s="166">
        <f>PubMachineryTables!$AN$76+PubMachineryTables!$AM$76</f>
        <v>3.1624999999999996</v>
      </c>
      <c r="E772" s="166">
        <f>TillageOperations!$G$36*$C$674</f>
        <v>0</v>
      </c>
      <c r="F772" s="166">
        <f t="shared" si="55"/>
        <v>0</v>
      </c>
      <c r="G772" s="166"/>
    </row>
    <row r="773" spans="2:7">
      <c r="B773" t="str">
        <f>TillageOperations!$B$36&amp;" (Labor)"</f>
        <v>Bale Wagon (Labor)</v>
      </c>
      <c r="C773" s="464" t="s">
        <v>157</v>
      </c>
      <c r="D773" s="166">
        <f>PubMachineryTables!$AL$76</f>
        <v>3.3823281250000004</v>
      </c>
      <c r="E773" s="166">
        <f>TillageOperations!$G$36*$C$674</f>
        <v>0</v>
      </c>
      <c r="F773" s="166">
        <f t="shared" si="55"/>
        <v>0</v>
      </c>
      <c r="G773" s="166"/>
    </row>
    <row r="774" spans="2:7">
      <c r="B774" t="str">
        <f>TillageOperations!$B$23&amp;" (Repairs, maint., fuel &amp; lube)"</f>
        <v>Fertilizer Spreader (Repairs, maint., fuel &amp; lube)</v>
      </c>
      <c r="C774" s="464" t="s">
        <v>157</v>
      </c>
      <c r="D774" s="166">
        <f>PubMachineryTables!$AM$64+PubMachineryTables!$AN$64</f>
        <v>2.6573732562743069</v>
      </c>
      <c r="E774" s="166">
        <f>TillageOperations!$G$23*$C$674</f>
        <v>0</v>
      </c>
      <c r="F774" s="168">
        <f t="shared" si="55"/>
        <v>0</v>
      </c>
      <c r="G774" s="168"/>
    </row>
    <row r="775" spans="2:7">
      <c r="B775" t="str">
        <f>TillageOperations!$B$23&amp;" (Labor)"</f>
        <v>Fertilizer Spreader (Labor)</v>
      </c>
      <c r="C775" s="464" t="s">
        <v>157</v>
      </c>
      <c r="D775" s="166">
        <f>PubMachineryTables!$AL$64</f>
        <v>1.879071180555556</v>
      </c>
      <c r="E775" s="166">
        <f>TillageOperations!$G$23*$C$674</f>
        <v>0</v>
      </c>
      <c r="F775" s="168">
        <f t="shared" si="55"/>
        <v>0</v>
      </c>
      <c r="G775" s="168"/>
    </row>
    <row r="776" spans="2:7">
      <c r="B776" t="str">
        <f>TillageOperations!$B$24&amp;" (Repairs, maint., fuel &amp; lube)"</f>
        <v>Fertilizer Injection System (Repairs, maint., fuel &amp; lube)</v>
      </c>
      <c r="C776" s="464" t="s">
        <v>157</v>
      </c>
      <c r="D776" s="166">
        <f>PubMachineryTables!$AM$65+PubMachineryTables!$AN$65</f>
        <v>8.4333333333333336</v>
      </c>
      <c r="E776" s="166">
        <f>TillageOperations!$G$24*$C$674</f>
        <v>0</v>
      </c>
      <c r="F776" s="168">
        <f t="shared" si="55"/>
        <v>0</v>
      </c>
      <c r="G776" s="168"/>
    </row>
    <row r="777" spans="2:7">
      <c r="B777" t="str">
        <f>TillageOperations!$B$24&amp;" (Labor)"</f>
        <v>Fertilizer Injection System (Labor)</v>
      </c>
      <c r="C777" s="464" t="s">
        <v>157</v>
      </c>
      <c r="D777" s="166">
        <f>PubMachineryTables!$AL$65</f>
        <v>4.5097708333333344</v>
      </c>
      <c r="E777" s="166">
        <f>TillageOperations!$G$24*$C$674</f>
        <v>0</v>
      </c>
      <c r="F777" s="168">
        <f t="shared" si="55"/>
        <v>0</v>
      </c>
      <c r="G777" s="168"/>
    </row>
    <row r="778" spans="2:7">
      <c r="B778" t="str">
        <f>TillageOperations!$B$25&amp;" (Repairs, maint., fuel &amp; lube)"</f>
        <v>Boom Sprayer (Repairs, maint., fuel &amp; lube)</v>
      </c>
      <c r="C778" s="464" t="s">
        <v>157</v>
      </c>
      <c r="D778" s="166">
        <f>PubMachineryTables!AN$66+PubMachineryTables!$AM$66</f>
        <v>1.5996307048468115</v>
      </c>
      <c r="E778" s="166">
        <f>TillageOperations!$G$25*$C$674</f>
        <v>0</v>
      </c>
      <c r="F778" s="166">
        <f t="shared" si="55"/>
        <v>0</v>
      </c>
      <c r="G778" s="166"/>
    </row>
    <row r="779" spans="2:7">
      <c r="B779" t="str">
        <f>TillageOperations!$B$25&amp;" (Labor)"</f>
        <v>Boom Sprayer (Labor)</v>
      </c>
      <c r="C779" s="464" t="s">
        <v>157</v>
      </c>
      <c r="D779" s="166">
        <f>PubMachineryTables!$AL$66</f>
        <v>1.1893901098901098</v>
      </c>
      <c r="E779" s="166">
        <f>TillageOperations!$G$25*$C$674</f>
        <v>0</v>
      </c>
      <c r="F779" s="166">
        <f t="shared" si="55"/>
        <v>0</v>
      </c>
      <c r="G779" s="166"/>
    </row>
    <row r="780" spans="2:7">
      <c r="B780" t="str">
        <f>TillageOperations!$B$22&amp;" (Repairs, maint., fuel &amp; lube)"</f>
        <v>Transplanter (Repairs, maint., fuel &amp; lube)</v>
      </c>
      <c r="C780" s="464" t="s">
        <v>157</v>
      </c>
      <c r="D780" s="166">
        <f>PubMachineryTables!AN$63+PubMachineryTables!$AM$63</f>
        <v>61.668749999999996</v>
      </c>
      <c r="E780" s="166">
        <f>TillageOperations!$G$22*$C$674</f>
        <v>0</v>
      </c>
      <c r="F780" s="166">
        <f>D780*E780</f>
        <v>0</v>
      </c>
      <c r="G780" s="166"/>
    </row>
    <row r="781" spans="2:7">
      <c r="B781" t="str">
        <f>TillageOperations!$B$22&amp;" (Labor)"</f>
        <v>Transplanter (Labor)</v>
      </c>
      <c r="C781" s="464" t="s">
        <v>157</v>
      </c>
      <c r="D781" s="166">
        <f>PubMachineryTables!$AL$63</f>
        <v>20.293968750000001</v>
      </c>
      <c r="E781" s="166">
        <f>TillageOperations!$G$22*$C$674</f>
        <v>0</v>
      </c>
      <c r="F781" s="166">
        <f t="shared" si="55"/>
        <v>0</v>
      </c>
      <c r="G781" s="166"/>
    </row>
    <row r="782" spans="2:7">
      <c r="B782" t="str">
        <f>'Inputs&amp;PricesbyCrop'!$B$14</f>
        <v>Additional Land Prep. Labor</v>
      </c>
      <c r="C782" s="137" t="str">
        <f>'Inputs&amp;PricesbyCrop'!$C$14</f>
        <v>hour</v>
      </c>
      <c r="D782" s="166">
        <f>GeneralInputPrices!$D$30</f>
        <v>14.55</v>
      </c>
      <c r="E782" s="166">
        <f>'Inputs&amp;PricesbyCrop'!$H$14*BASEBUDGETS!$C$674</f>
        <v>0</v>
      </c>
      <c r="F782" s="166">
        <f t="shared" si="55"/>
        <v>0</v>
      </c>
      <c r="G782" s="166"/>
    </row>
    <row r="783" spans="2:7">
      <c r="B783" t="str">
        <f>'Inputs&amp;PricesbyCrop'!$B$15</f>
        <v>Additional Land Prep. Labor</v>
      </c>
      <c r="C783" s="137" t="str">
        <f>'Inputs&amp;PricesbyCrop'!$C$15</f>
        <v>hour</v>
      </c>
      <c r="D783" s="166">
        <f>GeneralInputPrices!$D$30</f>
        <v>14.55</v>
      </c>
      <c r="E783" s="166">
        <f>'Inputs&amp;PricesbyCrop'!$H$15*BASEBUDGETS!$C$674</f>
        <v>0</v>
      </c>
      <c r="F783" s="166">
        <f t="shared" si="55"/>
        <v>0</v>
      </c>
      <c r="G783" s="166"/>
    </row>
    <row r="784" spans="2:7">
      <c r="B784" t="str">
        <f>'Inputs&amp;PricesbyCrop'!$B$17</f>
        <v>Additional Crop Prod. Labor</v>
      </c>
      <c r="C784" s="137" t="str">
        <f>'Inputs&amp;PricesbyCrop'!$C$17</f>
        <v>hour</v>
      </c>
      <c r="D784" s="166">
        <f>GeneralInputPrices!$D$31</f>
        <v>14.55</v>
      </c>
      <c r="E784" s="166">
        <f>'Inputs&amp;PricesbyCrop'!$H$17*BASEBUDGETS!$C$674</f>
        <v>0</v>
      </c>
      <c r="F784" s="166">
        <f t="shared" si="55"/>
        <v>0</v>
      </c>
      <c r="G784" s="166"/>
    </row>
    <row r="785" spans="2:7">
      <c r="B785" t="str">
        <f>'Inputs&amp;PricesbyCrop'!$B$18</f>
        <v>Additional Crop Prod. Labor</v>
      </c>
      <c r="C785" s="137" t="str">
        <f>'Inputs&amp;PricesbyCrop'!$C$18</f>
        <v>hour</v>
      </c>
      <c r="D785" s="166">
        <f>GeneralInputPrices!$D$31</f>
        <v>14.55</v>
      </c>
      <c r="E785" s="166">
        <f>'Inputs&amp;PricesbyCrop'!$H$18*BASEBUDGETS!$C$674</f>
        <v>0</v>
      </c>
      <c r="F785" s="166">
        <f t="shared" si="55"/>
        <v>0</v>
      </c>
      <c r="G785" s="166"/>
    </row>
    <row r="786" spans="2:7">
      <c r="B786" t="str">
        <f>'Inputs&amp;PricesbyCrop'!$B$20</f>
        <v>Additional Harvest Labor</v>
      </c>
      <c r="C786" s="137" t="str">
        <f>'Inputs&amp;PricesbyCrop'!$C$20</f>
        <v>hour</v>
      </c>
      <c r="D786" s="166">
        <f>GeneralInputPrices!$D$32</f>
        <v>17.89</v>
      </c>
      <c r="E786" s="166">
        <f>'Inputs&amp;PricesbyCrop'!$H$20*BASEBUDGETS!$C$674</f>
        <v>0</v>
      </c>
      <c r="F786" s="166">
        <f t="shared" si="55"/>
        <v>0</v>
      </c>
      <c r="G786" s="166"/>
    </row>
    <row r="787" spans="2:7">
      <c r="B787" t="str">
        <f>'Inputs&amp;PricesbyCrop'!$B$21</f>
        <v>Additional Harvest Labor</v>
      </c>
      <c r="C787" s="137" t="str">
        <f>'Inputs&amp;PricesbyCrop'!$C$21</f>
        <v>hour</v>
      </c>
      <c r="D787" s="166">
        <f>GeneralInputPrices!$D$32</f>
        <v>17.89</v>
      </c>
      <c r="E787" s="166">
        <f>'Inputs&amp;PricesbyCrop'!$H$21*BASEBUDGETS!$C$674</f>
        <v>0</v>
      </c>
      <c r="F787" s="166">
        <f t="shared" si="55"/>
        <v>0</v>
      </c>
      <c r="G787" s="166"/>
    </row>
    <row r="788" spans="2:7">
      <c r="B788" t="s">
        <v>59</v>
      </c>
      <c r="C788" s="137" t="str">
        <f>GeneralInputPrices!$C$34</f>
        <v>percent</v>
      </c>
      <c r="D788" s="138">
        <f>GeneralInputPrices!$D$34</f>
        <v>0.05</v>
      </c>
      <c r="E788" s="75" t="s">
        <v>10</v>
      </c>
      <c r="F788" s="37">
        <f>SUM(F682:F787)*D788</f>
        <v>0</v>
      </c>
      <c r="G788" s="37"/>
    </row>
    <row r="789" spans="2:7">
      <c r="B789" t="s">
        <v>60</v>
      </c>
      <c r="C789" s="137" t="str">
        <f>GeneralInputPrices!$C$34</f>
        <v>percent</v>
      </c>
      <c r="D789" s="138">
        <f>GeneralInputPrices!$D$35</f>
        <v>0.06</v>
      </c>
      <c r="F789" s="139">
        <f>SUM(F682:F788)*((D789/12)*GeneralInputPrices!$D$39)</f>
        <v>0</v>
      </c>
      <c r="G789" s="139"/>
    </row>
    <row r="790" spans="2:7">
      <c r="B790" t="s">
        <v>61</v>
      </c>
      <c r="D790" s="454"/>
      <c r="F790" s="37">
        <f>SUM(F682:F789)</f>
        <v>0</v>
      </c>
      <c r="G790" s="37"/>
    </row>
    <row r="791" spans="2:7">
      <c r="D791" s="454"/>
    </row>
    <row r="792" spans="2:7">
      <c r="B792" s="140" t="s">
        <v>129</v>
      </c>
      <c r="C792" s="458" t="s">
        <v>1</v>
      </c>
      <c r="D792" s="459" t="s">
        <v>24</v>
      </c>
      <c r="E792" s="460" t="s">
        <v>25</v>
      </c>
      <c r="F792" s="460" t="s">
        <v>0</v>
      </c>
      <c r="G792" s="277"/>
    </row>
    <row r="793" spans="2:7">
      <c r="B793" t="str">
        <f>GeneralInputPrices!$B$15&amp;" - Upfront Costs for New System"</f>
        <v>Flood - Upfront Costs for New System</v>
      </c>
      <c r="C793" s="453" t="str">
        <f>GeneralInputPrices!$C$16</f>
        <v>acre</v>
      </c>
      <c r="D793">
        <f>IF('BreakevenInputs&amp;Resources'!T$16=0,0,(('BreakevenInputs&amp;Resources'!T$16/GeneralInputPrices!$D$17)*('AcresYieldsPrices&amp;Water'!$Q$12/'AcresYieldsPrices&amp;Water'!$Q$31))/$C674)</f>
        <v>0</v>
      </c>
      <c r="E793" s="166">
        <f>$C674</f>
        <v>0</v>
      </c>
      <c r="F793" s="166">
        <f>D793*E793</f>
        <v>0</v>
      </c>
      <c r="G793" s="163"/>
    </row>
    <row r="794" spans="2:7">
      <c r="B794" t="str">
        <f>GeneralInputPrices!$B$19&amp;" - Upfront Costs for New System"</f>
        <v>Drip-tape - Upfront Costs for New System</v>
      </c>
      <c r="C794" s="453" t="str">
        <f>GeneralInputPrices!$C$20</f>
        <v>acre</v>
      </c>
      <c r="D794">
        <f>IF('BreakevenInputs&amp;Resources'!T$17=0,0,(('BreakevenInputs&amp;Resources'!T$17/GeneralInputPrices!$D$21)*('AcresYieldsPrices&amp;Water'!$Q$12/'AcresYieldsPrices&amp;Water'!$Q$31))/$C674)</f>
        <v>0</v>
      </c>
      <c r="E794" s="166">
        <f>$C674</f>
        <v>0</v>
      </c>
      <c r="F794" s="166">
        <f>D794*E794</f>
        <v>0</v>
      </c>
      <c r="G794" s="163"/>
    </row>
    <row r="795" spans="2:7">
      <c r="B795" t="str">
        <f>GeneralInputPrices!$B$23&amp;" - Upfront Costs for New System"</f>
        <v>Sprinkler - Upfront Costs for New System</v>
      </c>
      <c r="C795" s="453" t="str">
        <f>GeneralInputPrices!$C$24</f>
        <v>acre</v>
      </c>
      <c r="D795">
        <f>IF('BreakevenInputs&amp;Resources'!T$18=0,0,(('BreakevenInputs&amp;Resources'!T$18/GeneralInputPrices!$D$25)*('AcresYieldsPrices&amp;Water'!$Q$12/'AcresYieldsPrices&amp;Water'!$Q$31))/$C674)</f>
        <v>0</v>
      </c>
      <c r="E795" s="166">
        <f>$C674</f>
        <v>0</v>
      </c>
      <c r="F795" s="166">
        <f>D795*E795</f>
        <v>0</v>
      </c>
      <c r="G795" s="163"/>
    </row>
    <row r="796" spans="2:7">
      <c r="B796" s="463" t="str">
        <f>TillageOperations!$B$7</f>
        <v>V-Ripper</v>
      </c>
      <c r="C796" s="464" t="s">
        <v>157</v>
      </c>
      <c r="D796" s="166">
        <f>PubMachineryTables!$AO$49</f>
        <v>209.18701372031111</v>
      </c>
      <c r="E796" s="166">
        <f>E725</f>
        <v>0</v>
      </c>
      <c r="F796" s="168">
        <f t="shared" ref="F796:F807" si="56">D796*E796</f>
        <v>0</v>
      </c>
      <c r="G796" s="168"/>
    </row>
    <row r="797" spans="2:7">
      <c r="B797" s="463" t="str">
        <f>TillageOperations!$B$8</f>
        <v>Offset Disk</v>
      </c>
      <c r="C797" s="464" t="s">
        <v>157</v>
      </c>
      <c r="D797" s="166">
        <f>PubMachineryTables!$AO$50</f>
        <v>42.467441655558019</v>
      </c>
      <c r="E797" s="166">
        <f>E727</f>
        <v>0</v>
      </c>
      <c r="F797" s="166">
        <f t="shared" si="56"/>
        <v>0</v>
      </c>
      <c r="G797" s="166"/>
    </row>
    <row r="798" spans="2:7">
      <c r="B798" s="463" t="str">
        <f>TillageOperations!$B$9</f>
        <v>Drag</v>
      </c>
      <c r="C798" s="464" t="s">
        <v>157</v>
      </c>
      <c r="D798" s="166">
        <f>PubMachineryTables!$AO$51</f>
        <v>0</v>
      </c>
      <c r="E798" s="166">
        <f>E729</f>
        <v>0</v>
      </c>
      <c r="F798" s="166">
        <f t="shared" si="56"/>
        <v>0</v>
      </c>
      <c r="G798" s="166"/>
    </row>
    <row r="799" spans="2:7">
      <c r="B799" s="463" t="str">
        <f>TillageOperations!$B$10</f>
        <v>Chisel</v>
      </c>
      <c r="C799" s="464" t="s">
        <v>157</v>
      </c>
      <c r="D799" s="166">
        <f>PubMachineryTables!$AO$52</f>
        <v>40.724752902248241</v>
      </c>
      <c r="E799" s="166">
        <f>E731</f>
        <v>0</v>
      </c>
      <c r="F799" s="166">
        <f t="shared" si="56"/>
        <v>0</v>
      </c>
      <c r="G799" s="166"/>
    </row>
    <row r="800" spans="2:7">
      <c r="B800" s="463" t="str">
        <f>TillageOperations!$B$11</f>
        <v>Moldboard Plow</v>
      </c>
      <c r="C800" s="464" t="s">
        <v>157</v>
      </c>
      <c r="D800" s="166">
        <f>PubMachineryTables!$AO$53</f>
        <v>0</v>
      </c>
      <c r="E800" s="166">
        <f>E733</f>
        <v>0</v>
      </c>
      <c r="F800" s="166">
        <f t="shared" si="56"/>
        <v>0</v>
      </c>
      <c r="G800" s="166"/>
    </row>
    <row r="801" spans="2:7">
      <c r="B801" s="463" t="str">
        <f>TillageOperations!$B$12</f>
        <v>Cultivator</v>
      </c>
      <c r="C801" s="464" t="s">
        <v>157</v>
      </c>
      <c r="D801" s="166">
        <f>PubMachineryTables!$AO$54</f>
        <v>0</v>
      </c>
      <c r="E801" s="166">
        <f>E735</f>
        <v>0</v>
      </c>
      <c r="F801" s="166">
        <f t="shared" si="56"/>
        <v>0</v>
      </c>
      <c r="G801" s="166"/>
    </row>
    <row r="802" spans="2:7">
      <c r="B802" s="463" t="str">
        <f>TillageOperations!$B$13</f>
        <v>Landplane</v>
      </c>
      <c r="C802" s="464" t="s">
        <v>157</v>
      </c>
      <c r="D802" s="166">
        <f>PubMachineryTables!$AO$55</f>
        <v>107.77752986339607</v>
      </c>
      <c r="E802" s="166">
        <f>E737</f>
        <v>0</v>
      </c>
      <c r="F802" s="166">
        <f t="shared" si="56"/>
        <v>0</v>
      </c>
      <c r="G802" s="166"/>
    </row>
    <row r="803" spans="2:7">
      <c r="B803" s="463" t="str">
        <f>TillageOperations!$B$14</f>
        <v>Float</v>
      </c>
      <c r="C803" s="464" t="s">
        <v>157</v>
      </c>
      <c r="D803" s="166">
        <f>PubMachineryTables!$AO$56</f>
        <v>0</v>
      </c>
      <c r="E803" s="166">
        <f>E739</f>
        <v>0</v>
      </c>
      <c r="F803" s="166">
        <f t="shared" si="56"/>
        <v>0</v>
      </c>
      <c r="G803" s="166"/>
    </row>
    <row r="804" spans="2:7">
      <c r="B804" s="463" t="str">
        <f>TillageOperations!$B$15</f>
        <v>Lister</v>
      </c>
      <c r="C804" s="464" t="s">
        <v>157</v>
      </c>
      <c r="D804" s="166">
        <f>PubMachineryTables!$AO$57</f>
        <v>72.676050764764099</v>
      </c>
      <c r="E804" s="166">
        <f>E741</f>
        <v>0</v>
      </c>
      <c r="F804" s="166">
        <f t="shared" si="56"/>
        <v>0</v>
      </c>
      <c r="G804" s="166"/>
    </row>
    <row r="805" spans="2:7">
      <c r="B805" s="463" t="str">
        <f>TillageOperations!$B$16</f>
        <v>Bed Shaper</v>
      </c>
      <c r="C805" s="464" t="s">
        <v>157</v>
      </c>
      <c r="D805" s="166">
        <f>PubMachineryTables!$AO$58</f>
        <v>50.420091551988918</v>
      </c>
      <c r="E805" s="166">
        <f>E743</f>
        <v>0</v>
      </c>
      <c r="F805" s="166">
        <f t="shared" si="56"/>
        <v>0</v>
      </c>
      <c r="G805" s="166"/>
    </row>
    <row r="806" spans="2:7">
      <c r="B806" s="463" t="str">
        <f>TillageOperations!$B$19</f>
        <v>Row Planter</v>
      </c>
      <c r="C806" s="464" t="s">
        <v>157</v>
      </c>
      <c r="D806" s="166">
        <f>PubMachineryTables!$AO$60</f>
        <v>218.60367298033367</v>
      </c>
      <c r="E806" s="166">
        <f>E745</f>
        <v>0</v>
      </c>
      <c r="F806" s="166">
        <f t="shared" si="56"/>
        <v>0</v>
      </c>
      <c r="G806" s="166"/>
    </row>
    <row r="807" spans="2:7">
      <c r="B807" s="463" t="str">
        <f>TillageOperations!$B$20</f>
        <v>Row Cultivator</v>
      </c>
      <c r="C807" s="464" t="s">
        <v>157</v>
      </c>
      <c r="D807" s="166">
        <f>PubMachineryTables!$AO$61</f>
        <v>74.064902712939798</v>
      </c>
      <c r="E807" s="166">
        <f>E747</f>
        <v>0</v>
      </c>
      <c r="F807" s="166">
        <f t="shared" si="56"/>
        <v>0</v>
      </c>
      <c r="G807" s="166"/>
    </row>
    <row r="808" spans="2:7">
      <c r="B808" s="465" t="str">
        <f>TillageOperations!$B$21</f>
        <v>Drill</v>
      </c>
      <c r="C808" s="464" t="s">
        <v>157</v>
      </c>
      <c r="D808" s="166">
        <f>PubMachineryTables!$AO$62</f>
        <v>51.837941761576523</v>
      </c>
      <c r="E808" s="166">
        <f>E749</f>
        <v>0</v>
      </c>
      <c r="F808" s="166">
        <f t="shared" ref="F808:F812" si="57">D808*E808</f>
        <v>0</v>
      </c>
      <c r="G808" s="166"/>
    </row>
    <row r="809" spans="2:7">
      <c r="B809" s="463" t="str">
        <f>TillageOperations!$B$27</f>
        <v>Cotton Picker</v>
      </c>
      <c r="C809" s="464" t="s">
        <v>157</v>
      </c>
      <c r="D809" s="166">
        <f>PubMachineryTables!$AO$67</f>
        <v>0</v>
      </c>
      <c r="E809" s="166">
        <f>E751</f>
        <v>0</v>
      </c>
      <c r="F809" s="166">
        <f t="shared" si="57"/>
        <v>0</v>
      </c>
      <c r="G809" s="166"/>
    </row>
    <row r="810" spans="2:7">
      <c r="B810" s="463" t="str">
        <f>TillageOperations!$B$28</f>
        <v>Module Unit</v>
      </c>
      <c r="C810" s="464" t="s">
        <v>157</v>
      </c>
      <c r="D810" s="166">
        <f>PubMachineryTables!$AO$68</f>
        <v>0</v>
      </c>
      <c r="E810" s="166">
        <f>E753</f>
        <v>0</v>
      </c>
      <c r="F810" s="166">
        <f t="shared" si="57"/>
        <v>0</v>
      </c>
      <c r="G810" s="166"/>
    </row>
    <row r="811" spans="2:7">
      <c r="B811" s="463" t="str">
        <f>TillageOperations!$B$29</f>
        <v>Haul Cotton</v>
      </c>
      <c r="C811" s="464" t="s">
        <v>157</v>
      </c>
      <c r="D811" s="166">
        <f>PubMachineryTables!$AO$69</f>
        <v>0</v>
      </c>
      <c r="E811" s="166">
        <f>E755</f>
        <v>0</v>
      </c>
      <c r="F811" s="166">
        <f t="shared" si="57"/>
        <v>0</v>
      </c>
      <c r="G811" s="166"/>
    </row>
    <row r="812" spans="2:7">
      <c r="B812" s="465" t="str">
        <f>TillageOperations!$B$17</f>
        <v>Cotton Shredder/Root Puller</v>
      </c>
      <c r="C812" s="464" t="s">
        <v>157</v>
      </c>
      <c r="D812" s="166">
        <f>PubMachineryTables!$AO$59</f>
        <v>0</v>
      </c>
      <c r="E812" s="166">
        <f>E757</f>
        <v>0</v>
      </c>
      <c r="F812" s="166">
        <f t="shared" si="57"/>
        <v>0</v>
      </c>
      <c r="G812" s="166"/>
    </row>
    <row r="813" spans="2:7">
      <c r="B813" s="102" t="str">
        <f>TillageOperations!$B$30</f>
        <v>Combine</v>
      </c>
      <c r="C813" s="464" t="s">
        <v>157</v>
      </c>
      <c r="D813" s="166">
        <f>PubMachineryTables!$AO$70</f>
        <v>154.43457969840463</v>
      </c>
      <c r="E813" s="166">
        <f>E759</f>
        <v>0</v>
      </c>
      <c r="F813" s="166">
        <f>D813*E813</f>
        <v>0</v>
      </c>
      <c r="G813" s="166"/>
    </row>
    <row r="814" spans="2:7">
      <c r="B814" s="102" t="str">
        <f>TillageOperations!$B$31</f>
        <v>Grain Cart</v>
      </c>
      <c r="C814" s="464" t="s">
        <v>157</v>
      </c>
      <c r="D814" s="166">
        <f>PubMachineryTables!$AO$71</f>
        <v>25.28843211678571</v>
      </c>
      <c r="E814" s="166">
        <f>E761</f>
        <v>0</v>
      </c>
      <c r="F814" s="166">
        <f>D814*E814</f>
        <v>0</v>
      </c>
      <c r="G814" s="166"/>
    </row>
    <row r="815" spans="2:7">
      <c r="B815" s="102" t="str">
        <f>TillageOperations!$B$32</f>
        <v>Swather</v>
      </c>
      <c r="C815" s="464" t="s">
        <v>157</v>
      </c>
      <c r="D815" s="166">
        <f>PubMachineryTables!$AO$72</f>
        <v>0</v>
      </c>
      <c r="E815" s="166">
        <f>E763</f>
        <v>0</v>
      </c>
      <c r="F815" s="166">
        <f t="shared" ref="F815:F823" si="58">D815*E815</f>
        <v>0</v>
      </c>
      <c r="G815" s="166"/>
    </row>
    <row r="816" spans="2:7">
      <c r="B816" s="102" t="str">
        <f>TillageOperations!$B$33</f>
        <v>Baler</v>
      </c>
      <c r="C816" s="464" t="s">
        <v>157</v>
      </c>
      <c r="D816" s="166">
        <f>PubMachineryTables!$AO$73</f>
        <v>0</v>
      </c>
      <c r="E816" s="166">
        <f>E765</f>
        <v>0</v>
      </c>
      <c r="F816" s="166">
        <f t="shared" si="58"/>
        <v>0</v>
      </c>
      <c r="G816" s="166"/>
    </row>
    <row r="817" spans="2:7">
      <c r="B817" s="102" t="str">
        <f>TillageOperations!$B$34</f>
        <v>Swather</v>
      </c>
      <c r="C817" s="464" t="s">
        <v>157</v>
      </c>
      <c r="D817" s="166">
        <f>PubMachineryTables!$AO$74</f>
        <v>0</v>
      </c>
      <c r="E817" s="166">
        <f>E767</f>
        <v>0</v>
      </c>
      <c r="F817" s="166">
        <f t="shared" si="58"/>
        <v>0</v>
      </c>
      <c r="G817" s="166"/>
    </row>
    <row r="818" spans="2:7">
      <c r="B818" s="102" t="str">
        <f>TillageOperations!$B$35</f>
        <v>Baler</v>
      </c>
      <c r="C818" s="464" t="s">
        <v>157</v>
      </c>
      <c r="D818" s="166">
        <f>PubMachineryTables!$AO$75</f>
        <v>0</v>
      </c>
      <c r="E818" s="166">
        <f>E769</f>
        <v>0</v>
      </c>
      <c r="F818" s="166">
        <f t="shared" si="58"/>
        <v>0</v>
      </c>
      <c r="G818" s="166"/>
    </row>
    <row r="819" spans="2:7">
      <c r="B819" s="102" t="str">
        <f>TillageOperations!$B$36</f>
        <v>Bale Wagon</v>
      </c>
      <c r="C819" s="464" t="s">
        <v>157</v>
      </c>
      <c r="D819" s="166">
        <f>PubMachineryTables!$AO$76</f>
        <v>0</v>
      </c>
      <c r="E819" s="166">
        <f>E772</f>
        <v>0</v>
      </c>
      <c r="F819" s="166">
        <f t="shared" si="58"/>
        <v>0</v>
      </c>
      <c r="G819" s="166"/>
    </row>
    <row r="820" spans="2:7">
      <c r="B820" s="102" t="str">
        <f>TillageOperations!$B$23</f>
        <v>Fertilizer Spreader</v>
      </c>
      <c r="C820" s="464" t="s">
        <v>157</v>
      </c>
      <c r="D820" s="166">
        <f>PubMachineryTables!$AO$64</f>
        <v>93.913865291400512</v>
      </c>
      <c r="E820" s="166">
        <f>E774</f>
        <v>0</v>
      </c>
      <c r="F820" s="166">
        <f t="shared" si="58"/>
        <v>0</v>
      </c>
      <c r="G820" s="166"/>
    </row>
    <row r="821" spans="2:7">
      <c r="B821" s="102" t="str">
        <f>TillageOperations!$B$24</f>
        <v>Fertilizer Injection System</v>
      </c>
      <c r="C821" s="464" t="s">
        <v>157</v>
      </c>
      <c r="D821" s="166">
        <f>PubMachineryTables!$AO$65</f>
        <v>0</v>
      </c>
      <c r="E821" s="166">
        <f>E776</f>
        <v>0</v>
      </c>
      <c r="F821" s="166">
        <f t="shared" si="58"/>
        <v>0</v>
      </c>
      <c r="G821" s="166"/>
    </row>
    <row r="822" spans="2:7">
      <c r="B822" s="102" t="str">
        <f>TillageOperations!$B$25</f>
        <v>Boom Sprayer</v>
      </c>
      <c r="C822" s="464" t="s">
        <v>157</v>
      </c>
      <c r="D822" s="166">
        <f>PubMachineryTables!$AO$66</f>
        <v>9.6826493425933542</v>
      </c>
      <c r="E822" s="166">
        <f>E778</f>
        <v>0</v>
      </c>
      <c r="F822" s="166">
        <f t="shared" si="58"/>
        <v>0</v>
      </c>
      <c r="G822" s="166"/>
    </row>
    <row r="823" spans="2:7">
      <c r="B823" s="102" t="str">
        <f>TillageOperations!$B$22</f>
        <v>Transplanter</v>
      </c>
      <c r="C823" s="464" t="s">
        <v>157</v>
      </c>
      <c r="D823" s="166">
        <f>PubMachineryTables!$AO$63</f>
        <v>0</v>
      </c>
      <c r="E823" s="166">
        <f>E780</f>
        <v>0</v>
      </c>
      <c r="F823" s="166">
        <f t="shared" si="58"/>
        <v>0</v>
      </c>
      <c r="G823" s="166"/>
    </row>
    <row r="824" spans="2:7">
      <c r="B824" t="str">
        <f>'Inputs&amp;PricesbyCrop'!$B$39</f>
        <v>Crop Insurance</v>
      </c>
      <c r="C824" s="464" t="s">
        <v>157</v>
      </c>
      <c r="D824" s="166">
        <f>'Inputs&amp;PricesbyCrop'!$H$39</f>
        <v>0</v>
      </c>
      <c r="E824" s="169">
        <f t="shared" ref="E824:E829" si="59">$C$674</f>
        <v>0</v>
      </c>
      <c r="F824" s="166">
        <f>D824*E824</f>
        <v>0</v>
      </c>
      <c r="G824" s="166"/>
    </row>
    <row r="825" spans="2:7">
      <c r="B825" t="str">
        <f>'Inputs&amp;PricesbyCrop'!$B$40</f>
        <v>Property Insurance</v>
      </c>
      <c r="C825" s="464" t="s">
        <v>157</v>
      </c>
      <c r="D825" s="166">
        <f>'Inputs&amp;PricesbyCrop'!$H$40</f>
        <v>0</v>
      </c>
      <c r="E825" s="169">
        <f t="shared" si="59"/>
        <v>0</v>
      </c>
      <c r="F825" s="166">
        <f>D825*E825</f>
        <v>0</v>
      </c>
      <c r="G825" s="166"/>
    </row>
    <row r="826" spans="2:7">
      <c r="B826" t="str">
        <f>'Inputs&amp;PricesbyCrop'!$B$41</f>
        <v>Property Taxes</v>
      </c>
      <c r="C826" s="464" t="s">
        <v>157</v>
      </c>
      <c r="D826" s="166">
        <f>'Inputs&amp;PricesbyCrop'!$H$41</f>
        <v>0</v>
      </c>
      <c r="E826" s="169">
        <f t="shared" si="59"/>
        <v>0</v>
      </c>
      <c r="F826" s="166">
        <f t="shared" ref="F826:F829" si="60">D826*E826</f>
        <v>0</v>
      </c>
      <c r="G826" s="166"/>
    </row>
    <row r="827" spans="2:7">
      <c r="B827" t="str">
        <f>'Inputs&amp;PricesbyCrop'!$B$42</f>
        <v>Annual Cash Rent Payment</v>
      </c>
      <c r="C827" s="464" t="s">
        <v>157</v>
      </c>
      <c r="D827" s="166">
        <f>'Inputs&amp;PricesbyCrop'!$H$42</f>
        <v>170</v>
      </c>
      <c r="E827" s="169">
        <f t="shared" si="59"/>
        <v>0</v>
      </c>
      <c r="F827" s="166">
        <f t="shared" si="60"/>
        <v>0</v>
      </c>
      <c r="G827" s="166"/>
    </row>
    <row r="828" spans="2:7">
      <c r="B828" t="s">
        <v>484</v>
      </c>
      <c r="C828" s="464" t="s">
        <v>157</v>
      </c>
      <c r="D828" s="166">
        <f>'Sheet #5'!I103</f>
        <v>0</v>
      </c>
      <c r="E828" s="169">
        <f t="shared" si="59"/>
        <v>0</v>
      </c>
      <c r="F828" s="166">
        <f t="shared" ref="F828" si="61">D828*E828</f>
        <v>0</v>
      </c>
      <c r="G828" s="166"/>
    </row>
    <row r="829" spans="2:7">
      <c r="B829" t="str">
        <f>'Inputs&amp;PricesbyCrop'!$B$49</f>
        <v>Licenses and Fees</v>
      </c>
      <c r="C829" s="464" t="s">
        <v>157</v>
      </c>
      <c r="D829" s="166">
        <f>'Inputs&amp;PricesbyCrop'!$H$49</f>
        <v>30</v>
      </c>
      <c r="E829" s="169">
        <f t="shared" si="59"/>
        <v>0</v>
      </c>
      <c r="F829" s="170">
        <f t="shared" si="60"/>
        <v>0</v>
      </c>
      <c r="G829" s="170"/>
    </row>
    <row r="830" spans="2:7">
      <c r="B830" t="s">
        <v>131</v>
      </c>
      <c r="D830" s="454"/>
      <c r="F830" s="37">
        <f>SUM(F793:F829)</f>
        <v>0</v>
      </c>
      <c r="G830" s="37"/>
    </row>
    <row r="831" spans="2:7">
      <c r="D831" s="454"/>
    </row>
    <row r="832" spans="2:7">
      <c r="B832" t="s">
        <v>63</v>
      </c>
      <c r="D832" s="454"/>
      <c r="F832" s="37">
        <f>(F830+F790)</f>
        <v>0</v>
      </c>
      <c r="G832" s="37"/>
    </row>
    <row r="833" spans="2:7">
      <c r="B833" t="s">
        <v>64</v>
      </c>
      <c r="D833" s="454"/>
      <c r="F833" s="37">
        <f>F679-F832</f>
        <v>0</v>
      </c>
      <c r="G833" s="37"/>
    </row>
    <row r="834" spans="2:7">
      <c r="B834" s="249" t="s">
        <v>276</v>
      </c>
      <c r="C834" s="249" t="s">
        <v>4</v>
      </c>
      <c r="D834" s="250" t="s">
        <v>277</v>
      </c>
      <c r="E834" s="249" t="s">
        <v>278</v>
      </c>
      <c r="F834" s="249" t="s">
        <v>279</v>
      </c>
      <c r="G834" s="249"/>
    </row>
    <row r="835" spans="2:7">
      <c r="B835" s="135" t="str">
        <f>B840</f>
        <v>Hemp for Grain</v>
      </c>
      <c r="D835" s="454"/>
    </row>
    <row r="836" spans="2:7">
      <c r="B836" t="s">
        <v>16</v>
      </c>
      <c r="C836" s="102">
        <f>IF('AcresYieldsPrices&amp;Water'!D7=0,0,'AcresYieldsPrices&amp;Water'!D7)</f>
        <v>0</v>
      </c>
      <c r="D836" s="454" t="s">
        <v>17</v>
      </c>
    </row>
    <row r="837" spans="2:7">
      <c r="D837" s="454"/>
    </row>
    <row r="838" spans="2:7">
      <c r="B838" t="s">
        <v>22</v>
      </c>
      <c r="D838" s="454"/>
    </row>
    <row r="839" spans="2:7">
      <c r="B839" s="455" t="s">
        <v>23</v>
      </c>
      <c r="C839" s="458" t="s">
        <v>1</v>
      </c>
      <c r="D839" s="459" t="s">
        <v>24</v>
      </c>
      <c r="E839" s="460" t="s">
        <v>25</v>
      </c>
      <c r="F839" s="460" t="s">
        <v>0</v>
      </c>
      <c r="G839" s="277"/>
    </row>
    <row r="840" spans="2:7">
      <c r="B840" t="str">
        <f>'AcresYieldsPrices&amp;Water'!J8</f>
        <v>Hemp for Grain</v>
      </c>
      <c r="C840" s="137" t="str">
        <f>'AcresYieldsPrices&amp;Water'!L8</f>
        <v>pound</v>
      </c>
      <c r="D840" s="163">
        <f>'AcresYieldsPrices&amp;Water'!M8</f>
        <v>0.75</v>
      </c>
      <c r="E840" s="166">
        <f>'AcresYieldsPrices&amp;Water'!N8*$C$836</f>
        <v>0</v>
      </c>
      <c r="F840" s="136">
        <f>D840*E840</f>
        <v>0</v>
      </c>
      <c r="G840" s="136"/>
    </row>
    <row r="841" spans="2:7">
      <c r="B841" t="s">
        <v>27</v>
      </c>
      <c r="D841" s="454"/>
      <c r="F841" s="37">
        <f>F840</f>
        <v>0</v>
      </c>
      <c r="G841" s="163" t="e">
        <f>F841/C$836</f>
        <v>#DIV/0!</v>
      </c>
    </row>
    <row r="842" spans="2:7">
      <c r="D842" s="454"/>
    </row>
    <row r="843" spans="2:7">
      <c r="B843" s="455" t="s">
        <v>33</v>
      </c>
      <c r="C843" s="458" t="s">
        <v>1</v>
      </c>
      <c r="D843" s="459" t="s">
        <v>24</v>
      </c>
      <c r="E843" s="460" t="s">
        <v>25</v>
      </c>
      <c r="F843" s="460" t="s">
        <v>0</v>
      </c>
      <c r="G843" s="277"/>
    </row>
    <row r="844" spans="2:7">
      <c r="B844" t="str">
        <f>'Inputs&amp;PricesbyCrop'!B$75</f>
        <v xml:space="preserve">   - Seed</v>
      </c>
      <c r="C844" s="137" t="str">
        <f>'Inputs&amp;PricesbyCrop'!C$91</f>
        <v>pounds</v>
      </c>
      <c r="D844" s="454">
        <f>'Inputs&amp;PricesbyCrop'!$I$5</f>
        <v>1.67</v>
      </c>
      <c r="E844" s="462">
        <f>'Inputs&amp;PricesbyCrop'!$I$6*$C$836</f>
        <v>0</v>
      </c>
      <c r="F844" s="37">
        <f t="shared" ref="F844:F868" si="62">D844*E844</f>
        <v>0</v>
      </c>
      <c r="G844" s="37"/>
    </row>
    <row r="845" spans="2:7">
      <c r="B845" t="str">
        <f>GeneralInputPrices!$B$3</f>
        <v xml:space="preserve">   - Inoculant</v>
      </c>
      <c r="C845" s="137" t="str">
        <f>GeneralInputPrices!$C$3</f>
        <v>pounds</v>
      </c>
      <c r="D845" s="166">
        <f>GeneralInputPrices!$D$3</f>
        <v>3</v>
      </c>
      <c r="E845" s="166">
        <f>'Inputs&amp;PricesbyCrop'!$I$22*$C$836</f>
        <v>0</v>
      </c>
      <c r="F845" s="166">
        <f t="shared" si="62"/>
        <v>0</v>
      </c>
      <c r="G845" s="166"/>
    </row>
    <row r="846" spans="2:7">
      <c r="B846" t="str">
        <f>GeneralInputPrices!B$5</f>
        <v xml:space="preserve">   - Nitrogen</v>
      </c>
      <c r="C846" s="137" t="str">
        <f>GeneralInputPrices!$C$5</f>
        <v>pounds</v>
      </c>
      <c r="D846" s="166">
        <f>GeneralInputPrices!$D$5</f>
        <v>0.46</v>
      </c>
      <c r="E846" s="166">
        <f>'Inputs&amp;PricesbyCrop'!$I$23*$C$836</f>
        <v>0</v>
      </c>
      <c r="F846" s="166">
        <f t="shared" si="62"/>
        <v>0</v>
      </c>
      <c r="G846" s="166"/>
    </row>
    <row r="847" spans="2:7">
      <c r="B847" t="str">
        <f>GeneralInputPrices!B$6</f>
        <v xml:space="preserve">   - Phosphorus</v>
      </c>
      <c r="C847" s="137" t="str">
        <f>GeneralInputPrices!$C$6</f>
        <v>pounds</v>
      </c>
      <c r="D847" s="166">
        <f>GeneralInputPrices!$D$6</f>
        <v>0.36</v>
      </c>
      <c r="E847" s="166">
        <f>'Inputs&amp;PricesbyCrop'!$I$24*$C$836</f>
        <v>0</v>
      </c>
      <c r="F847" s="166">
        <f t="shared" si="62"/>
        <v>0</v>
      </c>
      <c r="G847" s="166"/>
    </row>
    <row r="848" spans="2:7">
      <c r="B848" t="str">
        <f>GeneralInputPrices!B$7</f>
        <v xml:space="preserve">   - Anhydrous Ammonia</v>
      </c>
      <c r="C848" s="137" t="str">
        <f>GeneralInputPrices!$C$7</f>
        <v>pounds</v>
      </c>
      <c r="D848" s="166">
        <f>GeneralInputPrices!$D$7</f>
        <v>0.21</v>
      </c>
      <c r="E848" s="166">
        <f>'Inputs&amp;PricesbyCrop'!$I$25*$C$836</f>
        <v>0</v>
      </c>
      <c r="F848" s="166">
        <f t="shared" si="62"/>
        <v>0</v>
      </c>
      <c r="G848" s="166"/>
    </row>
    <row r="849" spans="2:7">
      <c r="B849" t="str">
        <f>GeneralInputPrices!$B$8</f>
        <v xml:space="preserve">   - Trace Elements</v>
      </c>
      <c r="C849" s="137" t="str">
        <f>GeneralInputPrices!$C$8</f>
        <v>pounds</v>
      </c>
      <c r="D849" s="166">
        <f>GeneralInputPrices!$D$8</f>
        <v>0.24</v>
      </c>
      <c r="E849" s="166">
        <f>'Inputs&amp;PricesbyCrop'!$I$26*$C$836</f>
        <v>0</v>
      </c>
      <c r="F849" s="166">
        <f t="shared" si="62"/>
        <v>0</v>
      </c>
      <c r="G849" s="166"/>
    </row>
    <row r="850" spans="2:7">
      <c r="B850" t="str">
        <f>'Inputs&amp;PricesbyCrop'!$B$32</f>
        <v xml:space="preserve">   - Nitrogen</v>
      </c>
      <c r="C850" s="137" t="str">
        <f>'Inputs&amp;PricesbyCrop'!$C$32</f>
        <v>acre</v>
      </c>
      <c r="D850" s="166">
        <f>'Inputs&amp;PricesbyCrop'!$I$32</f>
        <v>20</v>
      </c>
      <c r="E850" s="166">
        <f>$C$836</f>
        <v>0</v>
      </c>
      <c r="F850" s="166">
        <f t="shared" si="62"/>
        <v>0</v>
      </c>
      <c r="G850" s="166"/>
    </row>
    <row r="851" spans="2:7">
      <c r="B851" t="str">
        <f>'Inputs&amp;PricesbyCrop'!$B$33</f>
        <v xml:space="preserve">   - Phosphorus</v>
      </c>
      <c r="C851" s="137" t="str">
        <f>'Inputs&amp;PricesbyCrop'!$C$33</f>
        <v>acre</v>
      </c>
      <c r="D851" s="166">
        <f>'Inputs&amp;PricesbyCrop'!$I$33</f>
        <v>0</v>
      </c>
      <c r="E851" s="166">
        <f>$C$836</f>
        <v>0</v>
      </c>
      <c r="F851" s="166">
        <f t="shared" si="62"/>
        <v>0</v>
      </c>
      <c r="G851" s="166"/>
    </row>
    <row r="852" spans="2:7">
      <c r="B852" t="str">
        <f>'Inputs&amp;PricesbyCrop'!$B$34</f>
        <v xml:space="preserve">   - Fertilizer - Anhydrous Applicator</v>
      </c>
      <c r="C852" s="137" t="str">
        <f>'Inputs&amp;PricesbyCrop'!$C$34</f>
        <v>acre</v>
      </c>
      <c r="D852" s="166">
        <f>'Inputs&amp;PricesbyCrop'!$I$34</f>
        <v>0</v>
      </c>
      <c r="E852" s="166">
        <f>$C$836</f>
        <v>0</v>
      </c>
      <c r="F852" s="166">
        <f t="shared" si="62"/>
        <v>0</v>
      </c>
      <c r="G852" s="166"/>
    </row>
    <row r="853" spans="2:7">
      <c r="B853" t="str">
        <f>GeneralInputPrices!$B$10</f>
        <v xml:space="preserve">   - Prowl</v>
      </c>
      <c r="C853" s="137" t="str">
        <f>GeneralInputPrices!$C$10</f>
        <v>pints</v>
      </c>
      <c r="D853" s="166">
        <f>GeneralInputPrices!$D$10</f>
        <v>6.0625</v>
      </c>
      <c r="E853" s="166">
        <f>'Inputs&amp;PricesbyCrop'!$I$27*$C$836</f>
        <v>0</v>
      </c>
      <c r="F853" s="166">
        <f t="shared" si="62"/>
        <v>0</v>
      </c>
      <c r="G853" s="166"/>
    </row>
    <row r="854" spans="2:7">
      <c r="B854" t="str">
        <f>GeneralInputPrices!$B$11</f>
        <v xml:space="preserve">   - Aim</v>
      </c>
      <c r="C854" s="137" t="str">
        <f>GeneralInputPrices!$C$11</f>
        <v>ounces</v>
      </c>
      <c r="D854" s="166">
        <f>GeneralInputPrices!$D$11</f>
        <v>5.9375</v>
      </c>
      <c r="E854" s="166">
        <f>'Inputs&amp;PricesbyCrop'!$I$28*$C$836</f>
        <v>0</v>
      </c>
      <c r="F854" s="166">
        <f t="shared" si="62"/>
        <v>0</v>
      </c>
      <c r="G854" s="166"/>
    </row>
    <row r="855" spans="2:7">
      <c r="B855" t="str">
        <f>GeneralInputPrices!$B$12</f>
        <v xml:space="preserve">   - Fusilade</v>
      </c>
      <c r="C855" s="137" t="str">
        <f>GeneralInputPrices!$C$12</f>
        <v>ounces</v>
      </c>
      <c r="D855" s="166">
        <f>GeneralInputPrices!$D$12</f>
        <v>1.25</v>
      </c>
      <c r="E855" s="166">
        <f>'Inputs&amp;PricesbyCrop'!$I$29*$C$836</f>
        <v>0</v>
      </c>
      <c r="F855" s="166">
        <f t="shared" si="62"/>
        <v>0</v>
      </c>
      <c r="G855" s="166"/>
    </row>
    <row r="856" spans="2:7">
      <c r="B856" t="str">
        <f>'Inputs&amp;PricesbyCrop'!$B$35</f>
        <v xml:space="preserve">   - Herbicides</v>
      </c>
      <c r="C856" s="137" t="str">
        <f>'Inputs&amp;PricesbyCrop'!$C$35</f>
        <v>acre</v>
      </c>
      <c r="D856" s="166">
        <f>'Inputs&amp;PricesbyCrop'!$I$35</f>
        <v>0</v>
      </c>
      <c r="E856" s="166">
        <f>$C$836</f>
        <v>0</v>
      </c>
      <c r="F856" s="166">
        <f t="shared" si="62"/>
        <v>0</v>
      </c>
      <c r="G856" s="166"/>
    </row>
    <row r="857" spans="2:7">
      <c r="B857" t="str">
        <f>'Inputs&amp;PricesbyCrop'!$B$36</f>
        <v xml:space="preserve">   - Herbicide - #2</v>
      </c>
      <c r="C857" s="137" t="str">
        <f>'Inputs&amp;PricesbyCrop'!$C$36</f>
        <v>acre</v>
      </c>
      <c r="D857" s="166">
        <f>'Inputs&amp;PricesbyCrop'!$I$36</f>
        <v>0</v>
      </c>
      <c r="E857" s="166">
        <f>$C$836</f>
        <v>0</v>
      </c>
      <c r="F857" s="166">
        <f t="shared" si="62"/>
        <v>0</v>
      </c>
      <c r="G857" s="166"/>
    </row>
    <row r="858" spans="2:7">
      <c r="B858" t="str">
        <f>'Inputs&amp;PricesbyCrop'!$B$37</f>
        <v xml:space="preserve">   - Insecticides</v>
      </c>
      <c r="C858" s="137" t="str">
        <f>'Inputs&amp;PricesbyCrop'!$C$37</f>
        <v>acre</v>
      </c>
      <c r="D858" s="166">
        <f>'Inputs&amp;PricesbyCrop'!$I$37</f>
        <v>0</v>
      </c>
      <c r="E858" s="166">
        <f>$C$836</f>
        <v>0</v>
      </c>
      <c r="F858" s="166">
        <f t="shared" si="62"/>
        <v>0</v>
      </c>
      <c r="G858" s="166"/>
    </row>
    <row r="859" spans="2:7">
      <c r="B859" t="str">
        <f>'Inputs&amp;PricesbyCrop'!$B$38</f>
        <v xml:space="preserve">   - Insecticide - #2</v>
      </c>
      <c r="C859" s="137" t="str">
        <f>'Inputs&amp;PricesbyCrop'!$C$38</f>
        <v>acre</v>
      </c>
      <c r="D859" s="166">
        <f>'Inputs&amp;PricesbyCrop'!$I$38</f>
        <v>0</v>
      </c>
      <c r="E859" s="166">
        <f>$C$836</f>
        <v>0</v>
      </c>
      <c r="F859" s="166">
        <f t="shared" si="62"/>
        <v>0</v>
      </c>
      <c r="G859" s="166"/>
    </row>
    <row r="860" spans="2:7">
      <c r="B860" t="str">
        <f>'Inputs&amp;PricesbyCrop'!$B$7</f>
        <v>Flood - Irrigation Water</v>
      </c>
      <c r="C860" s="137" t="str">
        <f>'Inputs&amp;PricesbyCrop'!$C$7</f>
        <v>ac ft</v>
      </c>
      <c r="D860" s="166">
        <f>GeneralInputPrices!$D$13</f>
        <v>55</v>
      </c>
      <c r="E860" s="102">
        <f>('AcresYieldsPrices&amp;Water'!$E$7*'Inputs&amp;PricesbyCrop'!$I$7)*$C836</f>
        <v>0</v>
      </c>
      <c r="F860" s="166">
        <f t="shared" si="62"/>
        <v>0</v>
      </c>
      <c r="G860" s="166"/>
    </row>
    <row r="861" spans="2:7">
      <c r="B861" t="str">
        <f>'Inputs&amp;PricesbyCrop'!$B$8</f>
        <v>Flood - Irrigation Labor</v>
      </c>
      <c r="C861" s="137" t="str">
        <f>'Inputs&amp;PricesbyCrop'!$C$8</f>
        <v>hour</v>
      </c>
      <c r="D861" s="166">
        <f>GeneralInputPrices!$D$28</f>
        <v>14.55</v>
      </c>
      <c r="E861" s="166">
        <f>('AcresYieldsPrices&amp;Water'!$E$7*'Inputs&amp;PricesbyCrop'!$I$8)*$C836</f>
        <v>0</v>
      </c>
      <c r="F861" s="166">
        <f t="shared" si="62"/>
        <v>0</v>
      </c>
      <c r="G861" s="166"/>
    </row>
    <row r="862" spans="2:7">
      <c r="B862" t="str">
        <f>GeneralInputPrices!$B$18</f>
        <v xml:space="preserve">   - Annual Repairs &amp; Maintenance</v>
      </c>
      <c r="C862" s="453" t="str">
        <f>GeneralInputPrices!$C$18</f>
        <v>acre</v>
      </c>
      <c r="D862" s="166">
        <f>GeneralInputPrices!$D$18</f>
        <v>3</v>
      </c>
      <c r="E862" s="166">
        <f>'AcresYieldsPrices&amp;Water'!$E$7*$C836</f>
        <v>0</v>
      </c>
      <c r="F862" s="166">
        <f t="shared" si="62"/>
        <v>0</v>
      </c>
      <c r="G862" s="166"/>
    </row>
    <row r="863" spans="2:7">
      <c r="B863" t="str">
        <f>'Inputs&amp;PricesbyCrop'!$B$9</f>
        <v>Drip-tape - Irrigation Water</v>
      </c>
      <c r="C863" s="137" t="str">
        <f>'Inputs&amp;PricesbyCrop'!$C$9</f>
        <v>ac ft</v>
      </c>
      <c r="D863" s="166">
        <f>GeneralInputPrices!$D$13</f>
        <v>55</v>
      </c>
      <c r="E863" s="166">
        <f>('AcresYieldsPrices&amp;Water'!$F$7*'Inputs&amp;PricesbyCrop'!$I$9)*$C836</f>
        <v>0</v>
      </c>
      <c r="F863" s="166">
        <f t="shared" si="62"/>
        <v>0</v>
      </c>
      <c r="G863" s="166"/>
    </row>
    <row r="864" spans="2:7">
      <c r="B864" t="str">
        <f>'Inputs&amp;PricesbyCrop'!$B$10</f>
        <v>Drip-tape - Irrigation Labor</v>
      </c>
      <c r="C864" s="137" t="str">
        <f>'Inputs&amp;PricesbyCrop'!$C$10</f>
        <v>hour</v>
      </c>
      <c r="D864" s="166">
        <f>GeneralInputPrices!$D$28</f>
        <v>14.55</v>
      </c>
      <c r="E864" s="166">
        <f>('AcresYieldsPrices&amp;Water'!$F$7*'Inputs&amp;PricesbyCrop'!$I$10)*$C836</f>
        <v>0</v>
      </c>
      <c r="F864" s="166">
        <f t="shared" si="62"/>
        <v>0</v>
      </c>
      <c r="G864" s="166"/>
    </row>
    <row r="865" spans="2:7">
      <c r="B865" t="str">
        <f>GeneralInputPrices!$B$22</f>
        <v xml:space="preserve">   - Annual Repairs &amp; Maintenance</v>
      </c>
      <c r="C865" s="453" t="str">
        <f>GeneralInputPrices!$C$22</f>
        <v>acre</v>
      </c>
      <c r="D865" s="166">
        <f>GeneralInputPrices!$D$22</f>
        <v>7.5</v>
      </c>
      <c r="E865" s="166">
        <f>'AcresYieldsPrices&amp;Water'!$F$7*C836</f>
        <v>0</v>
      </c>
      <c r="F865" s="166">
        <f t="shared" si="62"/>
        <v>0</v>
      </c>
      <c r="G865" s="166"/>
    </row>
    <row r="866" spans="2:7">
      <c r="B866" t="str">
        <f>'Inputs&amp;PricesbyCrop'!$B$11</f>
        <v>Sprinkler - Irrigation Water</v>
      </c>
      <c r="C866" s="137" t="str">
        <f>'Inputs&amp;PricesbyCrop'!$C$11</f>
        <v>ac ft</v>
      </c>
      <c r="D866" s="166">
        <f>GeneralInputPrices!$D$13</f>
        <v>55</v>
      </c>
      <c r="E866" s="166">
        <f>('AcresYieldsPrices&amp;Water'!$G$7*'Inputs&amp;PricesbyCrop'!$I$11)*$C836</f>
        <v>0</v>
      </c>
      <c r="F866" s="166">
        <f t="shared" si="62"/>
        <v>0</v>
      </c>
      <c r="G866" s="166"/>
    </row>
    <row r="867" spans="2:7">
      <c r="B867" t="str">
        <f>'Inputs&amp;PricesbyCrop'!$B$12</f>
        <v>Sprinkler - Irrigation Labor</v>
      </c>
      <c r="C867" s="137" t="str">
        <f>'Inputs&amp;PricesbyCrop'!$C$12</f>
        <v>hour</v>
      </c>
      <c r="D867" s="166">
        <f>GeneralInputPrices!$D$28</f>
        <v>14.55</v>
      </c>
      <c r="E867" s="166">
        <f>('AcresYieldsPrices&amp;Water'!$G$7*'Inputs&amp;PricesbyCrop'!$I$12)*$C836</f>
        <v>0</v>
      </c>
      <c r="F867" s="166">
        <f t="shared" si="62"/>
        <v>0</v>
      </c>
      <c r="G867" s="166"/>
    </row>
    <row r="868" spans="2:7">
      <c r="B868" t="str">
        <f>GeneralInputPrices!$B$26</f>
        <v xml:space="preserve">   - Annual Repairs &amp; Maintenance</v>
      </c>
      <c r="C868" s="453" t="str">
        <f>GeneralInputPrices!$C$26</f>
        <v>acre</v>
      </c>
      <c r="D868" s="166">
        <f>GeneralInputPrices!$D$26</f>
        <v>15</v>
      </c>
      <c r="E868" s="166">
        <f>'AcresYieldsPrices&amp;Water'!$G$7*$C836</f>
        <v>0</v>
      </c>
      <c r="F868" s="166">
        <f t="shared" si="62"/>
        <v>0</v>
      </c>
      <c r="G868" s="166"/>
    </row>
    <row r="869" spans="2:7">
      <c r="B869" t="str">
        <f>CustomOperations!$B$37</f>
        <v>Harvest, Custom</v>
      </c>
      <c r="C869" s="137" t="str">
        <f>CustomOperations!$C$37</f>
        <v>acre</v>
      </c>
      <c r="D869" s="166">
        <f>CustomOperations!$I$37</f>
        <v>0</v>
      </c>
      <c r="E869" s="166">
        <f>CustomOperations!$I$38*$C$836</f>
        <v>0</v>
      </c>
      <c r="F869" s="166">
        <f t="shared" ref="F869:F883" si="63">D869*E869</f>
        <v>0</v>
      </c>
      <c r="G869" s="166"/>
    </row>
    <row r="870" spans="2:7">
      <c r="B870" t="str">
        <f>CustomOperations!$B$39</f>
        <v>Hauling, Custom</v>
      </c>
      <c r="C870" s="137" t="str">
        <f>CustomOperations!$C$39</f>
        <v>mile</v>
      </c>
      <c r="D870" s="166">
        <f>CustomOperations!$I$39</f>
        <v>0</v>
      </c>
      <c r="E870" s="166">
        <f>CustomOperations!$I$40*$C$836</f>
        <v>0</v>
      </c>
      <c r="F870" s="166">
        <f t="shared" si="63"/>
        <v>0</v>
      </c>
      <c r="G870" s="166"/>
    </row>
    <row r="871" spans="2:7">
      <c r="B871" t="str">
        <f>CustomOperations!$B$41</f>
        <v>Gin Cotton/Drying/Swathing, Custom</v>
      </c>
      <c r="C871" s="137" t="str">
        <f>CustomOperations!$C$41</f>
        <v>bale</v>
      </c>
      <c r="D871" s="166">
        <f>CustomOperations!$I$41</f>
        <v>0</v>
      </c>
      <c r="E871" s="166">
        <f>CustomOperations!$I$42*$C$836</f>
        <v>0</v>
      </c>
      <c r="F871" s="166">
        <f t="shared" si="63"/>
        <v>0</v>
      </c>
      <c r="G871" s="166"/>
    </row>
    <row r="872" spans="2:7">
      <c r="B872" t="str">
        <f>CustomOperations!$B$24</f>
        <v>Drill, Custom</v>
      </c>
      <c r="C872" s="137" t="str">
        <f>CustomOperations!$C$24</f>
        <v>acre</v>
      </c>
      <c r="D872" s="166">
        <f>CustomOperations!$I$24</f>
        <v>0</v>
      </c>
      <c r="E872" s="166">
        <f>CustomOperations!$I$25*$C$836</f>
        <v>0</v>
      </c>
      <c r="F872" s="166">
        <f t="shared" si="63"/>
        <v>0</v>
      </c>
      <c r="G872" s="166"/>
    </row>
    <row r="873" spans="2:7">
      <c r="B873" t="str">
        <f>CustomOperations!$B$26</f>
        <v>Row Planter, Custom</v>
      </c>
      <c r="C873" s="137" t="str">
        <f>CustomOperations!$C$26</f>
        <v>acre</v>
      </c>
      <c r="D873" s="166">
        <f>CustomOperations!$I$26</f>
        <v>0</v>
      </c>
      <c r="E873" s="166">
        <f>CustomOperations!$I$27*$C$836</f>
        <v>0</v>
      </c>
      <c r="F873" s="166">
        <f t="shared" si="63"/>
        <v>0</v>
      </c>
      <c r="G873" s="166"/>
    </row>
    <row r="874" spans="2:7">
      <c r="B874" t="str">
        <f>CustomOperations!$B$28</f>
        <v>Row Cultivator, Custom</v>
      </c>
      <c r="C874" s="137" t="str">
        <f>CustomOperations!$C$28</f>
        <v>acre</v>
      </c>
      <c r="D874" s="166">
        <f>CustomOperations!$I$28</f>
        <v>0</v>
      </c>
      <c r="E874" s="166">
        <f>CustomOperations!$I$29*$C$836</f>
        <v>0</v>
      </c>
      <c r="F874" s="166">
        <f t="shared" si="63"/>
        <v>0</v>
      </c>
      <c r="G874" s="166"/>
    </row>
    <row r="875" spans="2:7">
      <c r="B875" t="str">
        <f>CustomOperations!$B$5</f>
        <v>V Ripper, Custom</v>
      </c>
      <c r="C875" s="137" t="str">
        <f>CustomOperations!$C$5</f>
        <v>acre</v>
      </c>
      <c r="D875" s="166">
        <f>CustomOperations!$I$5</f>
        <v>44.25</v>
      </c>
      <c r="E875" s="166">
        <f>CustomOperations!$I$6*$C$836</f>
        <v>0</v>
      </c>
      <c r="F875" s="166">
        <f t="shared" si="63"/>
        <v>0</v>
      </c>
      <c r="G875" s="166"/>
    </row>
    <row r="876" spans="2:7">
      <c r="B876" t="str">
        <f>CustomOperations!$B$7</f>
        <v>Disk, Custom</v>
      </c>
      <c r="C876" s="137" t="str">
        <f>CustomOperations!$C$7</f>
        <v>acre</v>
      </c>
      <c r="D876" s="166">
        <f>CustomOperations!$I$7</f>
        <v>0</v>
      </c>
      <c r="E876" s="166">
        <f>CustomOperations!$I$8*$C$836</f>
        <v>0</v>
      </c>
      <c r="F876" s="166">
        <f t="shared" si="63"/>
        <v>0</v>
      </c>
      <c r="G876" s="166"/>
    </row>
    <row r="877" spans="2:7">
      <c r="B877" t="str">
        <f>CustomOperations!$B$9</f>
        <v>Drag, Custom</v>
      </c>
      <c r="C877" s="137" t="str">
        <f>CustomOperations!$C$9</f>
        <v>acre</v>
      </c>
      <c r="D877" s="166">
        <f>CustomOperations!$I$9</f>
        <v>0</v>
      </c>
      <c r="E877" s="166">
        <f>CustomOperations!$I$10*$C$836</f>
        <v>0</v>
      </c>
      <c r="F877" s="166">
        <f t="shared" si="63"/>
        <v>0</v>
      </c>
      <c r="G877" s="166"/>
    </row>
    <row r="878" spans="2:7">
      <c r="B878" t="str">
        <f>CustomOperations!$B$11</f>
        <v>Chisel, Custom</v>
      </c>
      <c r="C878" s="137" t="str">
        <f>CustomOperations!$C$11</f>
        <v>acre</v>
      </c>
      <c r="D878" s="166">
        <f>CustomOperations!$I$11</f>
        <v>0</v>
      </c>
      <c r="E878" s="166">
        <f>CustomOperations!$I$12*$C$836</f>
        <v>0</v>
      </c>
      <c r="F878" s="166">
        <f t="shared" si="63"/>
        <v>0</v>
      </c>
      <c r="G878" s="166"/>
    </row>
    <row r="879" spans="2:7">
      <c r="B879" t="str">
        <f>CustomOperations!$B$13</f>
        <v>Moldboard Plow, Custom</v>
      </c>
      <c r="C879" s="137" t="str">
        <f>CustomOperations!$C$13</f>
        <v>acre</v>
      </c>
      <c r="D879" s="166">
        <f>CustomOperations!$I$13</f>
        <v>0</v>
      </c>
      <c r="E879" s="166">
        <f>CustomOperations!$I$14*$C$836</f>
        <v>0</v>
      </c>
      <c r="F879" s="166">
        <f t="shared" si="63"/>
        <v>0</v>
      </c>
      <c r="G879" s="166"/>
    </row>
    <row r="880" spans="2:7">
      <c r="B880" t="str">
        <f>CustomOperations!$B$15</f>
        <v>Landplane, Custom</v>
      </c>
      <c r="C880" s="137" t="str">
        <f>CustomOperations!$C$15</f>
        <v>acre</v>
      </c>
      <c r="D880" s="166">
        <f>CustomOperations!$I$15</f>
        <v>17.940000000000001</v>
      </c>
      <c r="E880" s="166">
        <f>CustomOperations!$I$16*$C$836</f>
        <v>0</v>
      </c>
      <c r="F880" s="166">
        <f t="shared" si="63"/>
        <v>0</v>
      </c>
      <c r="G880" s="166"/>
    </row>
    <row r="881" spans="2:7">
      <c r="B881" t="str">
        <f>CustomOperations!$B$17</f>
        <v>Float, Custom</v>
      </c>
      <c r="C881" s="137" t="str">
        <f>CustomOperations!$C$17</f>
        <v>acre</v>
      </c>
      <c r="D881" s="166">
        <f>CustomOperations!$I$17</f>
        <v>17.940000000000001</v>
      </c>
      <c r="E881" s="166">
        <f>CustomOperations!$I$18*$C$836</f>
        <v>0</v>
      </c>
      <c r="F881" s="166">
        <f t="shared" si="63"/>
        <v>0</v>
      </c>
      <c r="G881" s="166"/>
    </row>
    <row r="882" spans="2:7">
      <c r="B882" t="str">
        <f>CustomOperations!$B$19</f>
        <v>Lister, Custom</v>
      </c>
      <c r="C882" s="137" t="str">
        <f>CustomOperations!$C$19</f>
        <v>acre</v>
      </c>
      <c r="D882" s="166">
        <f>CustomOperations!$I$19</f>
        <v>20.38</v>
      </c>
      <c r="E882" s="166">
        <f>CustomOperations!$I$20*$C$836</f>
        <v>0</v>
      </c>
      <c r="F882" s="166">
        <f t="shared" si="63"/>
        <v>0</v>
      </c>
      <c r="G882" s="166"/>
    </row>
    <row r="883" spans="2:7">
      <c r="B883" t="str">
        <f>CustomOperations!$B$21</f>
        <v>Bed Shape, Custom</v>
      </c>
      <c r="C883" s="137" t="str">
        <f>CustomOperations!$C$21</f>
        <v>acre</v>
      </c>
      <c r="D883" s="166">
        <f>CustomOperations!$I$21</f>
        <v>13.69</v>
      </c>
      <c r="E883" s="166">
        <f>CustomOperations!$I$22*$C$836</f>
        <v>0</v>
      </c>
      <c r="F883" s="166">
        <f t="shared" si="63"/>
        <v>0</v>
      </c>
      <c r="G883" s="166"/>
    </row>
    <row r="884" spans="2:7">
      <c r="B884" t="str">
        <f>CustomOperations!$B$32</f>
        <v>Fertilizer Spreader, Custom</v>
      </c>
      <c r="C884" s="137" t="str">
        <f>CustomOperations!$C$32</f>
        <v>acre</v>
      </c>
      <c r="D884" s="166">
        <f>CustomOperations!$I$32</f>
        <v>10.08</v>
      </c>
      <c r="E884" s="166">
        <f>CustomOperations!$I$33*$C$836</f>
        <v>0</v>
      </c>
      <c r="F884" s="166">
        <f>D884*E884</f>
        <v>0</v>
      </c>
      <c r="G884" s="166"/>
    </row>
    <row r="885" spans="2:7">
      <c r="B885" t="str">
        <f>CustomOperations!$B$34</f>
        <v>Laser Landplaning, Custom</v>
      </c>
      <c r="C885" s="137" t="str">
        <f>CustomOperations!$C$34</f>
        <v>acre</v>
      </c>
      <c r="D885" s="166">
        <f>CustomOperations!$I$34</f>
        <v>0</v>
      </c>
      <c r="E885" s="166">
        <f>CustomOperations!$I$35*$C$836</f>
        <v>0</v>
      </c>
      <c r="F885" s="166">
        <f>D885*E885</f>
        <v>0</v>
      </c>
      <c r="G885" s="166"/>
    </row>
    <row r="886" spans="2:7">
      <c r="B886" t="str">
        <f>CustomOperations!$B$30</f>
        <v>Boom Sprayer, Custom</v>
      </c>
      <c r="C886" s="137" t="str">
        <f>CustomOperations!$C$30</f>
        <v>acre</v>
      </c>
      <c r="D886" s="166">
        <f>CustomOperations!$I$30</f>
        <v>10.050000000000001</v>
      </c>
      <c r="E886" s="166">
        <f>CustomOperations!$I$31*$C$836</f>
        <v>0</v>
      </c>
      <c r="F886" s="166">
        <f t="shared" ref="F886:F908" si="64">D886*E886</f>
        <v>0</v>
      </c>
      <c r="G886" s="166"/>
    </row>
    <row r="887" spans="2:7">
      <c r="B887" s="463" t="str">
        <f>TillageOperations!$B$7&amp;" (Repairs, maint., fuel &amp; lube)"</f>
        <v>V-Ripper (Repairs, maint., fuel &amp; lube)</v>
      </c>
      <c r="C887" s="464" t="s">
        <v>157</v>
      </c>
      <c r="D887" s="166">
        <f>PubMachineryTables!$AM$49+PubMachineryTables!$AN$49</f>
        <v>30.16333889180672</v>
      </c>
      <c r="E887" s="166">
        <f>TillageOperations!$H$7*$C$836</f>
        <v>0</v>
      </c>
      <c r="F887" s="166">
        <f t="shared" si="64"/>
        <v>0</v>
      </c>
      <c r="G887" s="166"/>
    </row>
    <row r="888" spans="2:7">
      <c r="B888" s="463" t="str">
        <f>TillageOperations!$B$7&amp;" (Labor)"</f>
        <v>V-Ripper (Labor)</v>
      </c>
      <c r="C888" s="464" t="s">
        <v>157</v>
      </c>
      <c r="D888" s="166">
        <f>PubMachineryTables!$AL$49</f>
        <v>13.529312500000001</v>
      </c>
      <c r="E888" s="166">
        <f>TillageOperations!$H$7*$C$836</f>
        <v>0</v>
      </c>
      <c r="F888" s="166">
        <f t="shared" si="64"/>
        <v>0</v>
      </c>
      <c r="G888" s="166"/>
    </row>
    <row r="889" spans="2:7">
      <c r="B889" s="463" t="str">
        <f>TillageOperations!$B$8&amp;" (Repairs, maint., fuel &amp; lube)"</f>
        <v>Offset Disk (Repairs, maint., fuel &amp; lube)</v>
      </c>
      <c r="C889" s="464" t="s">
        <v>157</v>
      </c>
      <c r="D889" s="166">
        <f>PubMachineryTables!$AN$50+PubMachineryTables!$AM$50</f>
        <v>10.332318567950058</v>
      </c>
      <c r="E889" s="166">
        <f>TillageOperations!$H$8*$C$836</f>
        <v>0</v>
      </c>
      <c r="F889" s="166">
        <f t="shared" si="64"/>
        <v>0</v>
      </c>
      <c r="G889" s="166"/>
    </row>
    <row r="890" spans="2:7">
      <c r="B890" s="463" t="str">
        <f>TillageOperations!$B$8&amp;" (Labor)"</f>
        <v>Offset Disk (Labor)</v>
      </c>
      <c r="C890" s="464" t="s">
        <v>157</v>
      </c>
      <c r="D890" s="166">
        <f>PubMachineryTables!$AL$50</f>
        <v>4.7161002178649252</v>
      </c>
      <c r="E890" s="166">
        <f>TillageOperations!$H$8*$C$836</f>
        <v>0</v>
      </c>
      <c r="F890" s="166">
        <f t="shared" si="64"/>
        <v>0</v>
      </c>
      <c r="G890" s="166"/>
    </row>
    <row r="891" spans="2:7">
      <c r="B891" s="463" t="str">
        <f>TillageOperations!$B$9&amp;" (Repairs, maint., fuel &amp; lube)"</f>
        <v>Drag (Repairs, maint., fuel &amp; lube)</v>
      </c>
      <c r="C891" s="464" t="s">
        <v>157</v>
      </c>
      <c r="D891" s="166">
        <f>PubMachineryTables!$AN$51+PubMachineryTables!$AM$51</f>
        <v>2.4803921568627447</v>
      </c>
      <c r="E891" s="166">
        <f>TillageOperations!$H$9*$C$836</f>
        <v>0</v>
      </c>
      <c r="F891" s="166">
        <f t="shared" si="64"/>
        <v>0</v>
      </c>
      <c r="G891" s="166"/>
    </row>
    <row r="892" spans="2:7">
      <c r="B892" s="463" t="str">
        <f>TillageOperations!$B$9&amp;" (Labor)"</f>
        <v>Drag (Labor)</v>
      </c>
      <c r="C892" s="464" t="s">
        <v>157</v>
      </c>
      <c r="D892" s="166">
        <f>PubMachineryTables!$AL$51</f>
        <v>2.1222450980392158</v>
      </c>
      <c r="E892" s="166">
        <f>TillageOperations!$H$9*$C$836</f>
        <v>0</v>
      </c>
      <c r="F892" s="166">
        <f t="shared" si="64"/>
        <v>0</v>
      </c>
      <c r="G892" s="166"/>
    </row>
    <row r="893" spans="2:7">
      <c r="B893" s="463" t="str">
        <f>TillageOperations!$B$10&amp;" (Repairs, maint., fuel &amp; lube)"</f>
        <v>Chisel (Repairs, maint., fuel &amp; lube)</v>
      </c>
      <c r="C893" s="464" t="s">
        <v>157</v>
      </c>
      <c r="D893" s="166">
        <f>PubMachineryTables!$AN$52+PubMachineryTables!$AM$52</f>
        <v>8.5884820270019766</v>
      </c>
      <c r="E893" s="166">
        <f>TillageOperations!$H$10*$C$836</f>
        <v>0</v>
      </c>
      <c r="F893" s="166">
        <f t="shared" si="64"/>
        <v>0</v>
      </c>
      <c r="G893" s="166"/>
    </row>
    <row r="894" spans="2:7">
      <c r="B894" s="463" t="str">
        <f>TillageOperations!$B$10&amp;" (Labor)"</f>
        <v>Chisel (Labor)</v>
      </c>
      <c r="C894" s="464" t="s">
        <v>157</v>
      </c>
      <c r="D894" s="166">
        <f>PubMachineryTables!$AL$52</f>
        <v>3.9792095588235301</v>
      </c>
      <c r="E894" s="166">
        <f>TillageOperations!$H$10*$C$836</f>
        <v>0</v>
      </c>
      <c r="F894" s="166">
        <f t="shared" si="64"/>
        <v>0</v>
      </c>
      <c r="G894" s="166"/>
    </row>
    <row r="895" spans="2:7">
      <c r="B895" s="463" t="str">
        <f>TillageOperations!$B$11&amp;" (Repairs, maint., fuel &amp; lube)"</f>
        <v>Moldboard Plow (Repairs, maint., fuel &amp; lube)</v>
      </c>
      <c r="C895" s="464" t="s">
        <v>157</v>
      </c>
      <c r="D895" s="166">
        <f>PubMachineryTables!$AN$53+PubMachineryTables!$AM$53</f>
        <v>14.457142857142856</v>
      </c>
      <c r="E895" s="166">
        <f>TillageOperations!$H$11*$C$836</f>
        <v>0</v>
      </c>
      <c r="F895" s="166">
        <f t="shared" si="64"/>
        <v>0</v>
      </c>
      <c r="G895" s="166"/>
    </row>
    <row r="896" spans="2:7">
      <c r="B896" s="463" t="str">
        <f>TillageOperations!$B$11&amp;" (Labor)"</f>
        <v>Moldboard Plow (Labor)</v>
      </c>
      <c r="C896" s="464" t="s">
        <v>157</v>
      </c>
      <c r="D896" s="166">
        <f>PubMachineryTables!$AL$53</f>
        <v>7.7310357142857153</v>
      </c>
      <c r="E896" s="166">
        <f>TillageOperations!$H$11*$C$836</f>
        <v>0</v>
      </c>
      <c r="F896" s="166">
        <f t="shared" si="64"/>
        <v>0</v>
      </c>
      <c r="G896" s="166"/>
    </row>
    <row r="897" spans="2:7">
      <c r="B897" s="463" t="str">
        <f>TillageOperations!$B$12&amp;" (Repairs, maint., fuel &amp; lube)"</f>
        <v>Cultivator (Repairs, maint., fuel &amp; lube)</v>
      </c>
      <c r="C897" s="464" t="s">
        <v>157</v>
      </c>
      <c r="D897" s="166">
        <f>PubMachineryTables!$AN$54+PubMachineryTables!$AM$54</f>
        <v>5.7828571428571429</v>
      </c>
      <c r="E897" s="166">
        <f>TillageOperations!$H$12*$C$836</f>
        <v>0</v>
      </c>
      <c r="F897" s="166">
        <f t="shared" si="64"/>
        <v>0</v>
      </c>
      <c r="G897" s="166"/>
    </row>
    <row r="898" spans="2:7">
      <c r="B898" s="463" t="str">
        <f>TillageOperations!$B$12&amp;" (Labor)"</f>
        <v>Cultivator (Labor)</v>
      </c>
      <c r="C898" s="464" t="s">
        <v>157</v>
      </c>
      <c r="D898" s="166">
        <f>PubMachineryTables!$AL$54</f>
        <v>3.0924142857142862</v>
      </c>
      <c r="E898" s="166">
        <f>TillageOperations!$H$12*$C$836</f>
        <v>0</v>
      </c>
      <c r="F898" s="166">
        <f t="shared" si="64"/>
        <v>0</v>
      </c>
      <c r="G898" s="166"/>
    </row>
    <row r="899" spans="2:7">
      <c r="B899" s="463" t="str">
        <f>TillageOperations!$B$13&amp;" (Repairs, maint., fuel &amp; lube)"</f>
        <v>Landplane (Repairs, maint., fuel &amp; lube)</v>
      </c>
      <c r="C899" s="464" t="s">
        <v>157</v>
      </c>
      <c r="D899" s="166">
        <f>PubMachineryTables!$AN$55+PubMachineryTables!$AM$55</f>
        <v>8.0445253976590632</v>
      </c>
      <c r="E899" s="166">
        <f>TillageOperations!$H$13*$C$836</f>
        <v>0</v>
      </c>
      <c r="F899" s="166">
        <f t="shared" si="64"/>
        <v>0</v>
      </c>
      <c r="G899" s="166"/>
    </row>
    <row r="900" spans="2:7">
      <c r="B900" s="463" t="str">
        <f>TillageOperations!$B$13&amp;" (Labor)"</f>
        <v>Landplane (Labor)</v>
      </c>
      <c r="C900" s="464" t="s">
        <v>157</v>
      </c>
      <c r="D900" s="166">
        <f>PubMachineryTables!$AL$55</f>
        <v>3.8655178571428577</v>
      </c>
      <c r="E900" s="166">
        <f>TillageOperations!$H$13*$C$836</f>
        <v>0</v>
      </c>
      <c r="F900" s="166">
        <f t="shared" si="64"/>
        <v>0</v>
      </c>
      <c r="G900" s="166"/>
    </row>
    <row r="901" spans="2:7">
      <c r="B901" s="463" t="str">
        <f>TillageOperations!$B$14&amp;" (Repairs, maint., fuel &amp; lube)"</f>
        <v>Float (Repairs, maint., fuel &amp; lube)</v>
      </c>
      <c r="C901" s="464" t="s">
        <v>157</v>
      </c>
      <c r="D901" s="166">
        <f>PubMachineryTables!$AN$56+PubMachineryTables!$AM$56</f>
        <v>5.1632653061224492</v>
      </c>
      <c r="E901" s="166">
        <f>TillageOperations!$H$14*$C$836</f>
        <v>0</v>
      </c>
      <c r="F901" s="166">
        <f t="shared" si="64"/>
        <v>0</v>
      </c>
      <c r="G901" s="166"/>
    </row>
    <row r="902" spans="2:7">
      <c r="B902" s="463" t="str">
        <f>TillageOperations!$B$14&amp;" (Labor)"</f>
        <v>Float (Labor)</v>
      </c>
      <c r="C902" s="464" t="s">
        <v>157</v>
      </c>
      <c r="D902" s="166">
        <f>PubMachineryTables!$AL$56</f>
        <v>4.4177346938775521</v>
      </c>
      <c r="E902" s="166">
        <f>TillageOperations!$H$14*$C$836</f>
        <v>0</v>
      </c>
      <c r="F902" s="166">
        <f t="shared" si="64"/>
        <v>0</v>
      </c>
      <c r="G902" s="166"/>
    </row>
    <row r="903" spans="2:7">
      <c r="B903" s="463" t="str">
        <f>TillageOperations!$B$15&amp;" (Repairs, maint., fuel &amp; lube)"</f>
        <v>Lister (Repairs, maint., fuel &amp; lube)</v>
      </c>
      <c r="C903" s="464" t="s">
        <v>157</v>
      </c>
      <c r="D903" s="166">
        <f>PubMachineryTables!$AN$57+PubMachineryTables!$AM$57</f>
        <v>11.879642797844287</v>
      </c>
      <c r="E903" s="166">
        <f>TillageOperations!$H$15*$C$836</f>
        <v>0</v>
      </c>
      <c r="F903" s="166">
        <f t="shared" si="64"/>
        <v>0</v>
      </c>
      <c r="G903" s="166"/>
    </row>
    <row r="904" spans="2:7">
      <c r="B904" s="463" t="str">
        <f>TillageOperations!$B$15&amp;" (Labor)"</f>
        <v>Lister (Labor)</v>
      </c>
      <c r="C904" s="464" t="s">
        <v>157</v>
      </c>
      <c r="D904" s="166">
        <f>PubMachineryTables!$AL$57</f>
        <v>6.1848285714285725</v>
      </c>
      <c r="E904" s="166">
        <f>TillageOperations!$H$15*$C$836</f>
        <v>0</v>
      </c>
      <c r="F904" s="166">
        <f t="shared" si="64"/>
        <v>0</v>
      </c>
      <c r="G904" s="166"/>
    </row>
    <row r="905" spans="2:7">
      <c r="B905" s="463" t="str">
        <f>TillageOperations!$B$16&amp;" (Repairs, maint., fuel &amp; lube)"</f>
        <v>Bed Shaper (Repairs, maint., fuel &amp; lube)</v>
      </c>
      <c r="C905" s="464" t="s">
        <v>157</v>
      </c>
      <c r="D905" s="166">
        <f>PubMachineryTables!$AN$58+PubMachineryTables!$AM$58</f>
        <v>5.9574634784635725</v>
      </c>
      <c r="E905" s="166">
        <f>TillageOperations!$H$16*$C$836</f>
        <v>0</v>
      </c>
      <c r="F905" s="166">
        <f t="shared" si="64"/>
        <v>0</v>
      </c>
      <c r="G905" s="166"/>
    </row>
    <row r="906" spans="2:7">
      <c r="B906" s="463" t="str">
        <f>TillageOperations!$B$16&amp;" (Labor)"</f>
        <v>Bed Shaper (Labor)</v>
      </c>
      <c r="C906" s="464" t="s">
        <v>157</v>
      </c>
      <c r="D906" s="166">
        <f>PubMachineryTables!$AL$58</f>
        <v>3.0924142857142862</v>
      </c>
      <c r="E906" s="166">
        <f>TillageOperations!$H$16*$C$836</f>
        <v>0</v>
      </c>
      <c r="F906" s="166">
        <f t="shared" si="64"/>
        <v>0</v>
      </c>
      <c r="G906" s="166"/>
    </row>
    <row r="907" spans="2:7">
      <c r="B907" s="463" t="str">
        <f>TillageOperations!$B$19&amp;" (Repairs, maint., fuel &amp; lube)"</f>
        <v>Row Planter (Repairs, maint., fuel &amp; lube)</v>
      </c>
      <c r="C907" s="464" t="s">
        <v>157</v>
      </c>
      <c r="D907" s="166">
        <f>PubMachineryTables!$AN$60+PubMachineryTables!$AM$60</f>
        <v>8.8400048303091552</v>
      </c>
      <c r="E907" s="166">
        <f>TillageOperations!$H$19*$C$836</f>
        <v>0</v>
      </c>
      <c r="F907" s="166">
        <f t="shared" si="64"/>
        <v>0</v>
      </c>
      <c r="G907" s="166"/>
    </row>
    <row r="908" spans="2:7">
      <c r="B908" s="463" t="str">
        <f>TillageOperations!$B$19&amp;" (Labor)"</f>
        <v>Row Planter (Labor)</v>
      </c>
      <c r="C908" s="464" t="s">
        <v>157</v>
      </c>
      <c r="D908" s="166">
        <f>PubMachineryTables!$AL$60</f>
        <v>4.5097708333333344</v>
      </c>
      <c r="E908" s="166">
        <f>TillageOperations!$H$19*$C$836</f>
        <v>0</v>
      </c>
      <c r="F908" s="166">
        <f t="shared" si="64"/>
        <v>0</v>
      </c>
      <c r="G908" s="166"/>
    </row>
    <row r="909" spans="2:7">
      <c r="B909" s="463" t="str">
        <f>TillageOperations!$B$20&amp;" (Repairs, maint., fuel &amp; lube)"</f>
        <v>Row Cultivator (Repairs, maint., fuel &amp; lube)</v>
      </c>
      <c r="C909" s="464" t="s">
        <v>157</v>
      </c>
      <c r="D909" s="166">
        <f>PubMachineryTables!$AN$61+PubMachineryTables!$AM$61</f>
        <v>3.5823141032725374</v>
      </c>
      <c r="E909" s="166">
        <f>TillageOperations!$H$20*$C$836</f>
        <v>0</v>
      </c>
      <c r="F909" s="166">
        <f>D909*E909</f>
        <v>0</v>
      </c>
      <c r="G909" s="166"/>
    </row>
    <row r="910" spans="2:7">
      <c r="B910" s="463" t="str">
        <f>TillageOperations!$B$20&amp;" (Labor)"</f>
        <v>Row Cultivator (Labor)</v>
      </c>
      <c r="C910" s="464" t="s">
        <v>157</v>
      </c>
      <c r="D910" s="166">
        <f>PubMachineryTables!$AL$61</f>
        <v>3.0065138888888892</v>
      </c>
      <c r="E910" s="166">
        <f>TillageOperations!$H$20*$C$836</f>
        <v>0</v>
      </c>
      <c r="F910" s="166">
        <f>D910*E910</f>
        <v>0</v>
      </c>
      <c r="G910" s="166"/>
    </row>
    <row r="911" spans="2:7">
      <c r="B911" s="463" t="str">
        <f>TillageOperations!$B$21&amp;" (Repairs, maint., fuel &amp; lube)"</f>
        <v>Drill (Repairs, maint., fuel &amp; lube)</v>
      </c>
      <c r="C911" s="464" t="s">
        <v>157</v>
      </c>
      <c r="D911" s="166">
        <f>PubMachineryTables!$AN$62+PubMachineryTables!$AM$62</f>
        <v>7.6986395922631168</v>
      </c>
      <c r="E911" s="166">
        <f>TillageOperations!$H$21*$C$836</f>
        <v>0</v>
      </c>
      <c r="F911" s="166">
        <f>D911*E911</f>
        <v>0</v>
      </c>
      <c r="G911" s="166"/>
    </row>
    <row r="912" spans="2:7">
      <c r="B912" s="463" t="str">
        <f>TillageOperations!$B$21&amp;" (Labor)"</f>
        <v>Drill (Labor)</v>
      </c>
      <c r="C912" s="464" t="s">
        <v>157</v>
      </c>
      <c r="D912" s="166">
        <f>PubMachineryTables!$AL$62</f>
        <v>5.4117250000000006</v>
      </c>
      <c r="E912" s="166">
        <f>TillageOperations!$H$21*$C$836</f>
        <v>0</v>
      </c>
      <c r="F912" s="166">
        <f>D912*E912</f>
        <v>0</v>
      </c>
      <c r="G912" s="166"/>
    </row>
    <row r="913" spans="2:7">
      <c r="B913" s="75" t="str">
        <f>TillageOperations!$B$27&amp;" (Repairs, maint., fuel &amp; lube)"</f>
        <v>Cotton Picker (Repairs, maint., fuel &amp; lube)</v>
      </c>
      <c r="C913" s="464" t="s">
        <v>157</v>
      </c>
      <c r="D913" s="166">
        <f>PubMachineryTables!$AN$67+PubMachineryTables!$AM$67</f>
        <v>20.587703435804702</v>
      </c>
      <c r="E913" s="166">
        <f>TillageOperations!$H$27*$C$836</f>
        <v>0</v>
      </c>
      <c r="F913" s="166">
        <f t="shared" ref="F913:F920" si="65">D913*E913</f>
        <v>0</v>
      </c>
      <c r="G913" s="166"/>
    </row>
    <row r="914" spans="2:7">
      <c r="B914" t="str">
        <f>TillageOperations!$B$27&amp;" (Labor)"</f>
        <v>Cotton Picker (Labor)</v>
      </c>
      <c r="C914" s="464" t="s">
        <v>157</v>
      </c>
      <c r="D914" s="166">
        <f>PubMachineryTables!$AL$67</f>
        <v>7.3395908679927677</v>
      </c>
      <c r="E914" s="166">
        <f>TillageOperations!$H$27*$C$836</f>
        <v>0</v>
      </c>
      <c r="F914" s="166">
        <f t="shared" si="65"/>
        <v>0</v>
      </c>
      <c r="G914" s="166"/>
    </row>
    <row r="915" spans="2:7">
      <c r="B915" s="75" t="str">
        <f>TillageOperations!$B$28&amp;" (Repairs, maint., fuel &amp; lube)"</f>
        <v>Module Unit (Repairs, maint., fuel &amp; lube)</v>
      </c>
      <c r="C915" s="464" t="s">
        <v>157</v>
      </c>
      <c r="D915" s="166">
        <f>PubMachineryTables!$AN$68+PubMachineryTables!$AM$68</f>
        <v>7.0644080416976918</v>
      </c>
      <c r="E915" s="166">
        <f>TillageOperations!$H$28*$C$836</f>
        <v>0</v>
      </c>
      <c r="F915" s="166">
        <f t="shared" si="65"/>
        <v>0</v>
      </c>
      <c r="G915" s="166"/>
    </row>
    <row r="916" spans="2:7">
      <c r="B916" t="str">
        <f>TillageOperations!$B$28&amp;" (Labor)"</f>
        <v>Module Unit (Labor)</v>
      </c>
      <c r="C916" s="464" t="s">
        <v>157</v>
      </c>
      <c r="D916" s="166">
        <f>PubMachineryTables!$AL$68</f>
        <v>6.0443689501116911</v>
      </c>
      <c r="E916" s="166">
        <f>TillageOperations!$H$28*$C$836</f>
        <v>0</v>
      </c>
      <c r="F916" s="166">
        <f t="shared" si="65"/>
        <v>0</v>
      </c>
      <c r="G916" s="166"/>
    </row>
    <row r="917" spans="2:7">
      <c r="B917" t="str">
        <f>TillageOperations!$B$29&amp;" (Repairs, maint., fuel &amp; lube)"</f>
        <v>Haul Cotton (Repairs, maint., fuel &amp; lube)</v>
      </c>
      <c r="C917" s="464" t="s">
        <v>157</v>
      </c>
      <c r="D917" s="166">
        <f>PubMachineryTables!$AN$69+PubMachineryTables!$AM$69</f>
        <v>7.0644080416976918</v>
      </c>
      <c r="E917" s="166">
        <f>TillageOperations!$H$29*$C$836</f>
        <v>0</v>
      </c>
      <c r="F917" s="166">
        <f t="shared" si="65"/>
        <v>0</v>
      </c>
      <c r="G917" s="166"/>
    </row>
    <row r="918" spans="2:7">
      <c r="B918" t="str">
        <f>TillageOperations!$B$29&amp;" (Labor)"</f>
        <v>Haul Cotton (Labor)</v>
      </c>
      <c r="C918" s="464" t="s">
        <v>157</v>
      </c>
      <c r="D918" s="166">
        <f>PubMachineryTables!$AL$69</f>
        <v>6.0443689501116911</v>
      </c>
      <c r="E918" s="166">
        <f>TillageOperations!$H$29*$C$836</f>
        <v>0</v>
      </c>
      <c r="F918" s="166">
        <f t="shared" si="65"/>
        <v>0</v>
      </c>
      <c r="G918" s="166"/>
    </row>
    <row r="919" spans="2:7">
      <c r="B919" t="str">
        <f>TillageOperations!$B$17&amp;" (Repairs, maint., fuel &amp; lube)"</f>
        <v>Cotton Shredder/Root Puller (Repairs, maint., fuel &amp; lube)</v>
      </c>
      <c r="C919" s="464" t="s">
        <v>157</v>
      </c>
      <c r="D919" s="166">
        <f>PubMachineryTables!$AN$59+PubMachineryTables!$AM$59</f>
        <v>3.4657534246575339</v>
      </c>
      <c r="E919" s="166">
        <f>TillageOperations!$H$17*$C$836</f>
        <v>0</v>
      </c>
      <c r="F919" s="166">
        <f t="shared" si="65"/>
        <v>0</v>
      </c>
      <c r="G919" s="166"/>
    </row>
    <row r="920" spans="2:7">
      <c r="B920" t="str">
        <f>TillageOperations!$B$17&amp;" (Labor)"</f>
        <v>Cotton Shredder/Root Puller (Labor)</v>
      </c>
      <c r="C920" s="464" t="s">
        <v>157</v>
      </c>
      <c r="D920" s="166">
        <f>PubMachineryTables!$AL$59</f>
        <v>2.965328767123288</v>
      </c>
      <c r="E920" s="166">
        <f>TillageOperations!$H$17*$C$836</f>
        <v>0</v>
      </c>
      <c r="F920" s="166">
        <f t="shared" si="65"/>
        <v>0</v>
      </c>
      <c r="G920" s="166"/>
    </row>
    <row r="921" spans="2:7">
      <c r="B921" t="str">
        <f>TillageOperations!$B$30&amp;" (Repairs, maint., fuel &amp; lube)"</f>
        <v>Combine (Repairs, maint., fuel &amp; lube)</v>
      </c>
      <c r="C921" s="464" t="s">
        <v>157</v>
      </c>
      <c r="D921" s="166">
        <f>PubMachineryTables!$AN$70+PubMachineryTables!$AM$70</f>
        <v>4.8939818019913757</v>
      </c>
      <c r="E921" s="166">
        <f>TillageOperations!$H$30*$C$836</f>
        <v>0</v>
      </c>
      <c r="F921" s="166">
        <f>D921*E921</f>
        <v>0</v>
      </c>
      <c r="G921" s="166"/>
    </row>
    <row r="922" spans="2:7">
      <c r="B922" t="str">
        <f>TillageOperations!$B$30&amp;" (Labor)"</f>
        <v>Combine (Labor)</v>
      </c>
      <c r="C922" s="464" t="s">
        <v>157</v>
      </c>
      <c r="D922" s="166">
        <f>PubMachineryTables!$AL$70</f>
        <v>1.591683823529412</v>
      </c>
      <c r="E922" s="166">
        <f>TillageOperations!$H$30*$C$836</f>
        <v>0</v>
      </c>
      <c r="F922" s="166">
        <f>D922*E922</f>
        <v>0</v>
      </c>
      <c r="G922" s="166"/>
    </row>
    <row r="923" spans="2:7">
      <c r="B923" t="str">
        <f>TillageOperations!$B$31&amp;" (Repairs, maint., fuel &amp; lube)"</f>
        <v>Grain Cart (Repairs, maint., fuel &amp; lube)</v>
      </c>
      <c r="C923" s="464" t="s">
        <v>157</v>
      </c>
      <c r="D923" s="166">
        <f>PubMachineryTables!$AN$71+PubMachineryTables!$AM$71</f>
        <v>3.2163097667975675</v>
      </c>
      <c r="E923" s="166">
        <f>TillageOperations!$H$31*$C$836</f>
        <v>0</v>
      </c>
      <c r="F923" s="166">
        <f>D923*E923</f>
        <v>0</v>
      </c>
      <c r="G923" s="166"/>
    </row>
    <row r="924" spans="2:7">
      <c r="B924" t="str">
        <f>TillageOperations!$B$31&amp;" (Labor)"</f>
        <v>Grain Cart (Labor)</v>
      </c>
      <c r="C924" s="464" t="s">
        <v>157</v>
      </c>
      <c r="D924" s="166">
        <f>PubMachineryTables!$AL$71</f>
        <v>1.591683823529412</v>
      </c>
      <c r="E924" s="166">
        <f>TillageOperations!$H$31*$C$836</f>
        <v>0</v>
      </c>
      <c r="F924" s="166">
        <f>D924*E924</f>
        <v>0</v>
      </c>
      <c r="G924" s="166"/>
    </row>
    <row r="925" spans="2:7">
      <c r="B925" t="str">
        <f>TillageOperations!$B$32&amp;" (Repairs, maint., fuel &amp; lube)"</f>
        <v>Swather (Repairs, maint., fuel &amp; lube)</v>
      </c>
      <c r="C925" s="464" t="s">
        <v>157</v>
      </c>
      <c r="D925" s="166">
        <f>PubMachineryTables!$AN$72+PubMachineryTables!$AM$72</f>
        <v>2.0239999999999996</v>
      </c>
      <c r="E925" s="166">
        <f>TillageOperations!$H$32*$C$836</f>
        <v>0</v>
      </c>
      <c r="F925" s="166">
        <f t="shared" ref="F925:F949" si="66">D925*E925</f>
        <v>0</v>
      </c>
      <c r="G925" s="166"/>
    </row>
    <row r="926" spans="2:7">
      <c r="B926" t="str">
        <f>TillageOperations!$B$32&amp;" (Labor)"</f>
        <v>Swather (Labor)</v>
      </c>
      <c r="C926" s="464" t="s">
        <v>157</v>
      </c>
      <c r="D926" s="166">
        <f>PubMachineryTables!$AL$72</f>
        <v>2.1646900000000002</v>
      </c>
      <c r="E926" s="166">
        <f>TillageOperations!$H$32*$C$836</f>
        <v>0</v>
      </c>
      <c r="F926" s="166">
        <f t="shared" si="66"/>
        <v>0</v>
      </c>
      <c r="G926" s="166"/>
    </row>
    <row r="927" spans="2:7">
      <c r="B927" t="str">
        <f>TillageOperations!$B$33&amp;" (Repairs, maint., fuel &amp; lube)"</f>
        <v>Baler (Repairs, maint., fuel &amp; lube)</v>
      </c>
      <c r="C927" s="464" t="s">
        <v>157</v>
      </c>
      <c r="D927" s="166">
        <f>PubMachineryTables!$AN$73+PubMachineryTables!$AM$73</f>
        <v>3.953125</v>
      </c>
      <c r="E927" s="166">
        <f>TillageOperations!$H$33*$C$836</f>
        <v>0</v>
      </c>
      <c r="F927" s="166">
        <f t="shared" si="66"/>
        <v>0</v>
      </c>
      <c r="G927" s="166"/>
    </row>
    <row r="928" spans="2:7">
      <c r="B928" t="str">
        <f>TillageOperations!$B$33&amp;" (Labor)"</f>
        <v>Baler (Labor)</v>
      </c>
      <c r="C928" s="464" t="s">
        <v>157</v>
      </c>
      <c r="D928" s="166">
        <f>PubMachineryTables!$AL$73</f>
        <v>3.3823281250000004</v>
      </c>
      <c r="E928" s="166">
        <f>TillageOperations!$H$33*$C$836</f>
        <v>0</v>
      </c>
      <c r="F928" s="166">
        <f t="shared" si="66"/>
        <v>0</v>
      </c>
      <c r="G928" s="166"/>
    </row>
    <row r="929" spans="2:7">
      <c r="B929" t="str">
        <f>TillageOperations!$B$34&amp;" (Repairs, maint., fuel &amp; lube)"</f>
        <v>Swather (Repairs, maint., fuel &amp; lube)</v>
      </c>
      <c r="C929" s="464" t="s">
        <v>157</v>
      </c>
      <c r="D929" s="166">
        <f>PubMachineryTables!$AN$74+PubMachineryTables!$AM$74</f>
        <v>19.46153846153846</v>
      </c>
      <c r="E929" s="166">
        <f>TillageOperations!$H$34*$C$836</f>
        <v>0</v>
      </c>
      <c r="F929" s="166">
        <f t="shared" si="66"/>
        <v>0</v>
      </c>
      <c r="G929" s="166"/>
    </row>
    <row r="930" spans="2:7">
      <c r="B930" t="str">
        <f>TillageOperations!$B$34&amp;" (Labor)"</f>
        <v>Swather (Labor)</v>
      </c>
      <c r="C930" s="464" t="s">
        <v>157</v>
      </c>
      <c r="D930" s="166">
        <f>PubMachineryTables!$AL$74</f>
        <v>20.814326923076923</v>
      </c>
      <c r="E930" s="166">
        <f>TillageOperations!$H$34*$C$836</f>
        <v>0</v>
      </c>
      <c r="F930" s="166">
        <f t="shared" si="66"/>
        <v>0</v>
      </c>
      <c r="G930" s="166"/>
    </row>
    <row r="931" spans="2:7">
      <c r="B931" t="str">
        <f>TillageOperations!$B$35&amp;" (Repairs, maint., fuel &amp; lube)"</f>
        <v>Baler (Repairs, maint., fuel &amp; lube)</v>
      </c>
      <c r="C931" s="464" t="s">
        <v>157</v>
      </c>
      <c r="D931" s="166">
        <f>PubMachineryTables!$AN$75+PubMachineryTables!$AM$75</f>
        <v>24.326923076923073</v>
      </c>
      <c r="E931" s="166">
        <f>TillageOperations!$H$35*$C$836</f>
        <v>0</v>
      </c>
      <c r="F931" s="166">
        <f t="shared" si="66"/>
        <v>0</v>
      </c>
      <c r="G931" s="166"/>
    </row>
    <row r="932" spans="2:7">
      <c r="B932" t="str">
        <f>TillageOperations!$B$35&amp;" (Labor)"</f>
        <v>Baler (Labor)</v>
      </c>
      <c r="C932" s="464" t="s">
        <v>157</v>
      </c>
      <c r="D932" s="166">
        <f>PubMachineryTables!$AL$75</f>
        <v>20.814326923076923</v>
      </c>
      <c r="E932" s="166">
        <f>TillageOperations!$H$35*$C$836</f>
        <v>0</v>
      </c>
      <c r="F932" s="166">
        <f t="shared" si="66"/>
        <v>0</v>
      </c>
      <c r="G932" s="166"/>
    </row>
    <row r="933" spans="2:7">
      <c r="B933" t="str">
        <f>'Inputs&amp;PricesbyCrop'!$B$31</f>
        <v xml:space="preserve">   - Baling Twine</v>
      </c>
      <c r="C933" s="137" t="str">
        <f>'Inputs&amp;PricesbyCrop'!$C$31</f>
        <v>acre</v>
      </c>
      <c r="D933" s="166">
        <f>'Inputs&amp;PricesbyCrop'!$I$31</f>
        <v>0</v>
      </c>
      <c r="E933" s="166">
        <f>C836</f>
        <v>0</v>
      </c>
      <c r="F933" s="166">
        <f t="shared" si="66"/>
        <v>0</v>
      </c>
      <c r="G933" s="166"/>
    </row>
    <row r="934" spans="2:7">
      <c r="B934" t="str">
        <f>TillageOperations!$B$36&amp;" (Repairs, maint., fuel &amp; lube)"</f>
        <v>Bale Wagon (Repairs, maint., fuel &amp; lube)</v>
      </c>
      <c r="C934" s="464" t="s">
        <v>157</v>
      </c>
      <c r="D934" s="166">
        <f>PubMachineryTables!$AN$76+PubMachineryTables!$AM$76</f>
        <v>3.1624999999999996</v>
      </c>
      <c r="E934" s="166">
        <f>TillageOperations!$H$36*$C$836</f>
        <v>0</v>
      </c>
      <c r="F934" s="166">
        <f t="shared" si="66"/>
        <v>0</v>
      </c>
      <c r="G934" s="166"/>
    </row>
    <row r="935" spans="2:7">
      <c r="B935" t="str">
        <f>TillageOperations!$B$36&amp;" (Labor)"</f>
        <v>Bale Wagon (Labor)</v>
      </c>
      <c r="C935" s="464" t="s">
        <v>157</v>
      </c>
      <c r="D935" s="166">
        <f>PubMachineryTables!$AL$76</f>
        <v>3.3823281250000004</v>
      </c>
      <c r="E935" s="166">
        <f>TillageOperations!$H$36*$C$836</f>
        <v>0</v>
      </c>
      <c r="F935" s="166">
        <f t="shared" si="66"/>
        <v>0</v>
      </c>
      <c r="G935" s="166"/>
    </row>
    <row r="936" spans="2:7">
      <c r="B936" t="str">
        <f>TillageOperations!$B$23&amp;" (Repairs, maint., fuel &amp; lube)"</f>
        <v>Fertilizer Spreader (Repairs, maint., fuel &amp; lube)</v>
      </c>
      <c r="C936" s="464" t="s">
        <v>157</v>
      </c>
      <c r="D936" s="166">
        <f>PubMachineryTables!$AM$64+PubMachineryTables!$AN$64</f>
        <v>2.6573732562743069</v>
      </c>
      <c r="E936" s="166">
        <f>TillageOperations!$H$23*$C$836</f>
        <v>0</v>
      </c>
      <c r="F936" s="168">
        <f t="shared" si="66"/>
        <v>0</v>
      </c>
      <c r="G936" s="168"/>
    </row>
    <row r="937" spans="2:7">
      <c r="B937" t="str">
        <f>TillageOperations!$B$23&amp;" (Labor)"</f>
        <v>Fertilizer Spreader (Labor)</v>
      </c>
      <c r="C937" s="464" t="s">
        <v>157</v>
      </c>
      <c r="D937" s="166">
        <f>PubMachineryTables!$AL$64</f>
        <v>1.879071180555556</v>
      </c>
      <c r="E937" s="166">
        <f>TillageOperations!$H$23*$C$836</f>
        <v>0</v>
      </c>
      <c r="F937" s="168">
        <f t="shared" si="66"/>
        <v>0</v>
      </c>
      <c r="G937" s="168"/>
    </row>
    <row r="938" spans="2:7">
      <c r="B938" t="str">
        <f>TillageOperations!$B$24&amp;" (Repairs, maint., fuel &amp; lube)"</f>
        <v>Fertilizer Injection System (Repairs, maint., fuel &amp; lube)</v>
      </c>
      <c r="C938" s="464" t="s">
        <v>157</v>
      </c>
      <c r="D938" s="166">
        <f>PubMachineryTables!$AM$65+PubMachineryTables!$AN$65</f>
        <v>8.4333333333333336</v>
      </c>
      <c r="E938" s="166">
        <f>TillageOperations!$H$24*$C$836</f>
        <v>0</v>
      </c>
      <c r="F938" s="168">
        <f t="shared" si="66"/>
        <v>0</v>
      </c>
      <c r="G938" s="168"/>
    </row>
    <row r="939" spans="2:7">
      <c r="B939" t="str">
        <f>TillageOperations!$B$24&amp;" (Labor)"</f>
        <v>Fertilizer Injection System (Labor)</v>
      </c>
      <c r="C939" s="464" t="s">
        <v>157</v>
      </c>
      <c r="D939" s="166">
        <f>PubMachineryTables!$AL$65</f>
        <v>4.5097708333333344</v>
      </c>
      <c r="E939" s="166">
        <f>TillageOperations!$H$24*$C$836</f>
        <v>0</v>
      </c>
      <c r="F939" s="168">
        <f t="shared" si="66"/>
        <v>0</v>
      </c>
      <c r="G939" s="168"/>
    </row>
    <row r="940" spans="2:7">
      <c r="B940" t="str">
        <f>TillageOperations!$B$25&amp;" (Repairs, maint., fuel &amp; lube)"</f>
        <v>Boom Sprayer (Repairs, maint., fuel &amp; lube)</v>
      </c>
      <c r="C940" s="464" t="s">
        <v>157</v>
      </c>
      <c r="D940" s="166">
        <f>PubMachineryTables!AN$66+PubMachineryTables!$AM$66</f>
        <v>1.5996307048468115</v>
      </c>
      <c r="E940" s="166">
        <f>TillageOperations!$H$25*$C$836</f>
        <v>0</v>
      </c>
      <c r="F940" s="166">
        <f t="shared" si="66"/>
        <v>0</v>
      </c>
      <c r="G940" s="166"/>
    </row>
    <row r="941" spans="2:7">
      <c r="B941" t="str">
        <f>TillageOperations!$B$25&amp;" (Labor)"</f>
        <v>Boom Sprayer (Labor)</v>
      </c>
      <c r="C941" s="464" t="s">
        <v>157</v>
      </c>
      <c r="D941" s="166">
        <f>PubMachineryTables!$AL$66</f>
        <v>1.1893901098901098</v>
      </c>
      <c r="E941" s="166">
        <f>TillageOperations!$H$25*$C$836</f>
        <v>0</v>
      </c>
      <c r="F941" s="166">
        <f t="shared" si="66"/>
        <v>0</v>
      </c>
      <c r="G941" s="166"/>
    </row>
    <row r="942" spans="2:7">
      <c r="B942" t="str">
        <f>TillageOperations!$B$22&amp;" (Repairs, maint., fuel &amp; lube)"</f>
        <v>Transplanter (Repairs, maint., fuel &amp; lube)</v>
      </c>
      <c r="C942" s="464" t="s">
        <v>157</v>
      </c>
      <c r="D942" s="166">
        <f>PubMachineryTables!AN$63+PubMachineryTables!$AM$63</f>
        <v>61.668749999999996</v>
      </c>
      <c r="E942" s="166">
        <f>TillageOperations!$H$22*$C$836</f>
        <v>0</v>
      </c>
      <c r="F942" s="166">
        <f>D942*E942</f>
        <v>0</v>
      </c>
      <c r="G942" s="166"/>
    </row>
    <row r="943" spans="2:7">
      <c r="B943" t="str">
        <f>TillageOperations!$B$22&amp;" (Labor)"</f>
        <v>Transplanter (Labor)</v>
      </c>
      <c r="C943" s="464" t="s">
        <v>157</v>
      </c>
      <c r="D943" s="166">
        <f>PubMachineryTables!$AL$63</f>
        <v>20.293968750000001</v>
      </c>
      <c r="E943" s="166">
        <f>TillageOperations!$H$22*$C$836</f>
        <v>0</v>
      </c>
      <c r="F943" s="166">
        <f t="shared" si="66"/>
        <v>0</v>
      </c>
      <c r="G943" s="166"/>
    </row>
    <row r="944" spans="2:7">
      <c r="B944" t="str">
        <f>'Inputs&amp;PricesbyCrop'!$B$14</f>
        <v>Additional Land Prep. Labor</v>
      </c>
      <c r="C944" s="137" t="str">
        <f>'Inputs&amp;PricesbyCrop'!$C$14</f>
        <v>hour</v>
      </c>
      <c r="D944" s="166">
        <f>GeneralInputPrices!$D$30</f>
        <v>14.55</v>
      </c>
      <c r="E944" s="166">
        <f>'Inputs&amp;PricesbyCrop'!$I$14*BASEBUDGETS!$C836</f>
        <v>0</v>
      </c>
      <c r="F944" s="166">
        <f t="shared" si="66"/>
        <v>0</v>
      </c>
      <c r="G944" s="166"/>
    </row>
    <row r="945" spans="2:7">
      <c r="B945" t="str">
        <f>'Inputs&amp;PricesbyCrop'!$B$15</f>
        <v>Additional Land Prep. Labor</v>
      </c>
      <c r="C945" s="137" t="str">
        <f>'Inputs&amp;PricesbyCrop'!$C$15</f>
        <v>hour</v>
      </c>
      <c r="D945" s="166">
        <f>GeneralInputPrices!$D$30</f>
        <v>14.55</v>
      </c>
      <c r="E945" s="166">
        <f>'Inputs&amp;PricesbyCrop'!$I$15*BASEBUDGETS!$C836</f>
        <v>0</v>
      </c>
      <c r="F945" s="166">
        <f t="shared" si="66"/>
        <v>0</v>
      </c>
      <c r="G945" s="166"/>
    </row>
    <row r="946" spans="2:7">
      <c r="B946" t="str">
        <f>'Inputs&amp;PricesbyCrop'!$B$17</f>
        <v>Additional Crop Prod. Labor</v>
      </c>
      <c r="C946" s="137" t="str">
        <f>'Inputs&amp;PricesbyCrop'!$C$17</f>
        <v>hour</v>
      </c>
      <c r="D946" s="166">
        <f>GeneralInputPrices!$D$31</f>
        <v>14.55</v>
      </c>
      <c r="E946" s="166">
        <f>'Inputs&amp;PricesbyCrop'!$I$17*BASEBUDGETS!$C836</f>
        <v>0</v>
      </c>
      <c r="F946" s="166">
        <f t="shared" si="66"/>
        <v>0</v>
      </c>
      <c r="G946" s="166"/>
    </row>
    <row r="947" spans="2:7">
      <c r="B947" t="str">
        <f>'Inputs&amp;PricesbyCrop'!$B$18</f>
        <v>Additional Crop Prod. Labor</v>
      </c>
      <c r="C947" s="137" t="str">
        <f>'Inputs&amp;PricesbyCrop'!$C$18</f>
        <v>hour</v>
      </c>
      <c r="D947" s="166">
        <f>GeneralInputPrices!$D$31</f>
        <v>14.55</v>
      </c>
      <c r="E947" s="166">
        <f>'Inputs&amp;PricesbyCrop'!$I$18*BASEBUDGETS!$C836</f>
        <v>0</v>
      </c>
      <c r="F947" s="166">
        <f t="shared" si="66"/>
        <v>0</v>
      </c>
      <c r="G947" s="166"/>
    </row>
    <row r="948" spans="2:7">
      <c r="B948" t="str">
        <f>'Inputs&amp;PricesbyCrop'!$B$20</f>
        <v>Additional Harvest Labor</v>
      </c>
      <c r="C948" s="137" t="str">
        <f>'Inputs&amp;PricesbyCrop'!$C$20</f>
        <v>hour</v>
      </c>
      <c r="D948" s="166">
        <f>GeneralInputPrices!$D$32</f>
        <v>17.89</v>
      </c>
      <c r="E948" s="166">
        <f>'Inputs&amp;PricesbyCrop'!$I$20*BASEBUDGETS!$C836</f>
        <v>0</v>
      </c>
      <c r="F948" s="166">
        <f t="shared" si="66"/>
        <v>0</v>
      </c>
      <c r="G948" s="166"/>
    </row>
    <row r="949" spans="2:7">
      <c r="B949" t="str">
        <f>'Inputs&amp;PricesbyCrop'!$B$21</f>
        <v>Additional Harvest Labor</v>
      </c>
      <c r="C949" s="137" t="str">
        <f>'Inputs&amp;PricesbyCrop'!$C$21</f>
        <v>hour</v>
      </c>
      <c r="D949" s="166">
        <f>GeneralInputPrices!$D$32</f>
        <v>17.89</v>
      </c>
      <c r="E949" s="166">
        <f>'Inputs&amp;PricesbyCrop'!$I$21*BASEBUDGETS!$C836</f>
        <v>0</v>
      </c>
      <c r="F949" s="166">
        <f t="shared" si="66"/>
        <v>0</v>
      </c>
      <c r="G949" s="166"/>
    </row>
    <row r="950" spans="2:7">
      <c r="B950" t="s">
        <v>59</v>
      </c>
      <c r="C950" s="137" t="str">
        <f>GeneralInputPrices!$C$34</f>
        <v>percent</v>
      </c>
      <c r="D950" s="138">
        <f>GeneralInputPrices!$D$34</f>
        <v>0.05</v>
      </c>
      <c r="E950" s="75" t="s">
        <v>10</v>
      </c>
      <c r="F950" s="37">
        <f>SUM(F844:F949)*D950</f>
        <v>0</v>
      </c>
      <c r="G950" s="37"/>
    </row>
    <row r="951" spans="2:7">
      <c r="B951" t="s">
        <v>60</v>
      </c>
      <c r="C951" s="137" t="str">
        <f>GeneralInputPrices!$C$34</f>
        <v>percent</v>
      </c>
      <c r="D951" s="138">
        <f>GeneralInputPrices!$D$35</f>
        <v>0.06</v>
      </c>
      <c r="F951" s="139">
        <f>SUM(F844:F950)*((D951/12)*GeneralInputPrices!$D$39)</f>
        <v>0</v>
      </c>
      <c r="G951" s="139"/>
    </row>
    <row r="952" spans="2:7">
      <c r="B952" t="s">
        <v>61</v>
      </c>
      <c r="D952" s="454"/>
      <c r="F952" s="37">
        <f>SUM(F844:F951)</f>
        <v>0</v>
      </c>
      <c r="G952" s="37"/>
    </row>
    <row r="953" spans="2:7">
      <c r="D953" s="454"/>
    </row>
    <row r="954" spans="2:7">
      <c r="B954" s="140" t="s">
        <v>129</v>
      </c>
      <c r="C954" s="458" t="s">
        <v>1</v>
      </c>
      <c r="D954" s="459" t="s">
        <v>24</v>
      </c>
      <c r="E954" s="460" t="s">
        <v>25</v>
      </c>
      <c r="F954" s="460" t="s">
        <v>0</v>
      </c>
      <c r="G954" s="277"/>
    </row>
    <row r="955" spans="2:7">
      <c r="B955" t="str">
        <f>GeneralInputPrices!$B$15&amp;" - Upfront Costs for New System"</f>
        <v>Flood - Upfront Costs for New System</v>
      </c>
      <c r="C955" s="453" t="str">
        <f>GeneralInputPrices!$C$16</f>
        <v>acre</v>
      </c>
      <c r="D955">
        <f>IF('BreakevenInputs&amp;Resources'!T$16=0,0,(('BreakevenInputs&amp;Resources'!T$16/GeneralInputPrices!$D$17)*('AcresYieldsPrices&amp;Water'!$Q$13/'AcresYieldsPrices&amp;Water'!$Q$31))/$C836)</f>
        <v>0</v>
      </c>
      <c r="E955" s="166">
        <f>$C836</f>
        <v>0</v>
      </c>
      <c r="F955" s="166">
        <f>D955*E955</f>
        <v>0</v>
      </c>
      <c r="G955" s="163"/>
    </row>
    <row r="956" spans="2:7">
      <c r="B956" t="str">
        <f>GeneralInputPrices!$B$19&amp;" - Upfront Costs for New System"</f>
        <v>Drip-tape - Upfront Costs for New System</v>
      </c>
      <c r="C956" s="453" t="str">
        <f>GeneralInputPrices!$C$20</f>
        <v>acre</v>
      </c>
      <c r="D956">
        <f>IF('BreakevenInputs&amp;Resources'!T$17=0,0,(('BreakevenInputs&amp;Resources'!T$17/GeneralInputPrices!$D$21)*('AcresYieldsPrices&amp;Water'!$Q$13/'AcresYieldsPrices&amp;Water'!$Q$31))/$C836)</f>
        <v>0</v>
      </c>
      <c r="E956" s="166">
        <f>$C836</f>
        <v>0</v>
      </c>
      <c r="F956" s="166">
        <f>D956*E956</f>
        <v>0</v>
      </c>
      <c r="G956" s="163"/>
    </row>
    <row r="957" spans="2:7">
      <c r="B957" t="str">
        <f>GeneralInputPrices!$B$23&amp;" - Upfront Costs for New System"</f>
        <v>Sprinkler - Upfront Costs for New System</v>
      </c>
      <c r="C957" s="453" t="str">
        <f>GeneralInputPrices!$C$24</f>
        <v>acre</v>
      </c>
      <c r="D957">
        <f>IF('BreakevenInputs&amp;Resources'!T$18=0,0,(('BreakevenInputs&amp;Resources'!T$18/GeneralInputPrices!$D$25)*('AcresYieldsPrices&amp;Water'!$Q$13/'AcresYieldsPrices&amp;Water'!$Q$31))/$C836)</f>
        <v>0</v>
      </c>
      <c r="E957" s="166">
        <f>$C836</f>
        <v>0</v>
      </c>
      <c r="F957" s="166">
        <f>D957*E957</f>
        <v>0</v>
      </c>
      <c r="G957" s="163"/>
    </row>
    <row r="958" spans="2:7">
      <c r="B958" s="463" t="str">
        <f>TillageOperations!$B$7</f>
        <v>V-Ripper</v>
      </c>
      <c r="C958" s="464" t="s">
        <v>157</v>
      </c>
      <c r="D958" s="166">
        <f>PubMachineryTables!$AO$49</f>
        <v>209.18701372031111</v>
      </c>
      <c r="E958" s="166">
        <f>E887</f>
        <v>0</v>
      </c>
      <c r="F958" s="168">
        <f t="shared" ref="F958:F969" si="67">D958*E958</f>
        <v>0</v>
      </c>
      <c r="G958" s="168"/>
    </row>
    <row r="959" spans="2:7">
      <c r="B959" s="463" t="str">
        <f>TillageOperations!$B$8</f>
        <v>Offset Disk</v>
      </c>
      <c r="C959" s="464" t="s">
        <v>157</v>
      </c>
      <c r="D959" s="166">
        <f>PubMachineryTables!$AO$50</f>
        <v>42.467441655558019</v>
      </c>
      <c r="E959" s="166">
        <f>E889</f>
        <v>0</v>
      </c>
      <c r="F959" s="166">
        <f t="shared" si="67"/>
        <v>0</v>
      </c>
      <c r="G959" s="166"/>
    </row>
    <row r="960" spans="2:7">
      <c r="B960" s="463" t="str">
        <f>TillageOperations!$B$9</f>
        <v>Drag</v>
      </c>
      <c r="C960" s="464" t="s">
        <v>157</v>
      </c>
      <c r="D960" s="166">
        <f>PubMachineryTables!$AO$51</f>
        <v>0</v>
      </c>
      <c r="E960" s="166">
        <f>E891</f>
        <v>0</v>
      </c>
      <c r="F960" s="166">
        <f t="shared" si="67"/>
        <v>0</v>
      </c>
      <c r="G960" s="166"/>
    </row>
    <row r="961" spans="2:7">
      <c r="B961" s="463" t="str">
        <f>TillageOperations!$B$10</f>
        <v>Chisel</v>
      </c>
      <c r="C961" s="464" t="s">
        <v>157</v>
      </c>
      <c r="D961" s="166">
        <f>PubMachineryTables!$AO$52</f>
        <v>40.724752902248241</v>
      </c>
      <c r="E961" s="166">
        <f>E893</f>
        <v>0</v>
      </c>
      <c r="F961" s="166">
        <f t="shared" si="67"/>
        <v>0</v>
      </c>
      <c r="G961" s="166"/>
    </row>
    <row r="962" spans="2:7">
      <c r="B962" s="463" t="str">
        <f>TillageOperations!$B$11</f>
        <v>Moldboard Plow</v>
      </c>
      <c r="C962" s="464" t="s">
        <v>157</v>
      </c>
      <c r="D962" s="166">
        <f>PubMachineryTables!$AO$53</f>
        <v>0</v>
      </c>
      <c r="E962" s="166">
        <f>E895</f>
        <v>0</v>
      </c>
      <c r="F962" s="166">
        <f t="shared" si="67"/>
        <v>0</v>
      </c>
      <c r="G962" s="166"/>
    </row>
    <row r="963" spans="2:7">
      <c r="B963" s="463" t="str">
        <f>TillageOperations!$B$12</f>
        <v>Cultivator</v>
      </c>
      <c r="C963" s="464" t="s">
        <v>157</v>
      </c>
      <c r="D963" s="166">
        <f>PubMachineryTables!$AO$54</f>
        <v>0</v>
      </c>
      <c r="E963" s="166">
        <f>E897</f>
        <v>0</v>
      </c>
      <c r="F963" s="166">
        <f t="shared" si="67"/>
        <v>0</v>
      </c>
      <c r="G963" s="166"/>
    </row>
    <row r="964" spans="2:7">
      <c r="B964" s="463" t="str">
        <f>TillageOperations!$B$13</f>
        <v>Landplane</v>
      </c>
      <c r="C964" s="464" t="s">
        <v>157</v>
      </c>
      <c r="D964" s="166">
        <f>PubMachineryTables!$AO$55</f>
        <v>107.77752986339607</v>
      </c>
      <c r="E964" s="166">
        <f>E899</f>
        <v>0</v>
      </c>
      <c r="F964" s="166">
        <f t="shared" si="67"/>
        <v>0</v>
      </c>
      <c r="G964" s="166"/>
    </row>
    <row r="965" spans="2:7">
      <c r="B965" s="463" t="str">
        <f>TillageOperations!$B$14</f>
        <v>Float</v>
      </c>
      <c r="C965" s="464" t="s">
        <v>157</v>
      </c>
      <c r="D965" s="166">
        <f>PubMachineryTables!$AO$56</f>
        <v>0</v>
      </c>
      <c r="E965" s="166">
        <f>E901</f>
        <v>0</v>
      </c>
      <c r="F965" s="166">
        <f t="shared" si="67"/>
        <v>0</v>
      </c>
      <c r="G965" s="166"/>
    </row>
    <row r="966" spans="2:7">
      <c r="B966" s="463" t="str">
        <f>TillageOperations!$B$15</f>
        <v>Lister</v>
      </c>
      <c r="C966" s="464" t="s">
        <v>157</v>
      </c>
      <c r="D966" s="166">
        <f>PubMachineryTables!$AO$57</f>
        <v>72.676050764764099</v>
      </c>
      <c r="E966" s="166">
        <f>E903</f>
        <v>0</v>
      </c>
      <c r="F966" s="166">
        <f t="shared" si="67"/>
        <v>0</v>
      </c>
      <c r="G966" s="166"/>
    </row>
    <row r="967" spans="2:7">
      <c r="B967" s="463" t="str">
        <f>TillageOperations!$B$16</f>
        <v>Bed Shaper</v>
      </c>
      <c r="C967" s="464" t="s">
        <v>157</v>
      </c>
      <c r="D967" s="166">
        <f>PubMachineryTables!$AO$58</f>
        <v>50.420091551988918</v>
      </c>
      <c r="E967" s="166">
        <f>E905</f>
        <v>0</v>
      </c>
      <c r="F967" s="166">
        <f t="shared" si="67"/>
        <v>0</v>
      </c>
      <c r="G967" s="166"/>
    </row>
    <row r="968" spans="2:7">
      <c r="B968" s="463" t="str">
        <f>TillageOperations!$B$19</f>
        <v>Row Planter</v>
      </c>
      <c r="C968" s="464" t="s">
        <v>157</v>
      </c>
      <c r="D968" s="166">
        <f>PubMachineryTables!$AO$60</f>
        <v>218.60367298033367</v>
      </c>
      <c r="E968" s="166">
        <f>E907</f>
        <v>0</v>
      </c>
      <c r="F968" s="166">
        <f t="shared" si="67"/>
        <v>0</v>
      </c>
      <c r="G968" s="166"/>
    </row>
    <row r="969" spans="2:7">
      <c r="B969" s="463" t="str">
        <f>TillageOperations!$B$20</f>
        <v>Row Cultivator</v>
      </c>
      <c r="C969" s="464" t="s">
        <v>157</v>
      </c>
      <c r="D969" s="166">
        <f>PubMachineryTables!$AO$61</f>
        <v>74.064902712939798</v>
      </c>
      <c r="E969" s="166">
        <f>E909</f>
        <v>0</v>
      </c>
      <c r="F969" s="166">
        <f t="shared" si="67"/>
        <v>0</v>
      </c>
      <c r="G969" s="166"/>
    </row>
    <row r="970" spans="2:7">
      <c r="B970" s="465" t="str">
        <f>TillageOperations!$B$21</f>
        <v>Drill</v>
      </c>
      <c r="C970" s="464" t="s">
        <v>157</v>
      </c>
      <c r="D970" s="166">
        <f>PubMachineryTables!$AO$62</f>
        <v>51.837941761576523</v>
      </c>
      <c r="E970" s="166">
        <f>E911</f>
        <v>0</v>
      </c>
      <c r="F970" s="166">
        <f t="shared" ref="F970:F974" si="68">D970*E970</f>
        <v>0</v>
      </c>
      <c r="G970" s="166"/>
    </row>
    <row r="971" spans="2:7">
      <c r="B971" s="463" t="str">
        <f>TillageOperations!$B$27</f>
        <v>Cotton Picker</v>
      </c>
      <c r="C971" s="464" t="s">
        <v>157</v>
      </c>
      <c r="D971" s="166">
        <f>PubMachineryTables!$AO$67</f>
        <v>0</v>
      </c>
      <c r="E971" s="166">
        <f>E913</f>
        <v>0</v>
      </c>
      <c r="F971" s="166">
        <f t="shared" si="68"/>
        <v>0</v>
      </c>
      <c r="G971" s="166"/>
    </row>
    <row r="972" spans="2:7">
      <c r="B972" s="463" t="str">
        <f>TillageOperations!$B$28</f>
        <v>Module Unit</v>
      </c>
      <c r="C972" s="464" t="s">
        <v>157</v>
      </c>
      <c r="D972" s="166">
        <f>PubMachineryTables!$AO$68</f>
        <v>0</v>
      </c>
      <c r="E972" s="166">
        <f>E915</f>
        <v>0</v>
      </c>
      <c r="F972" s="166">
        <f t="shared" si="68"/>
        <v>0</v>
      </c>
      <c r="G972" s="166"/>
    </row>
    <row r="973" spans="2:7">
      <c r="B973" s="463" t="str">
        <f>TillageOperations!$B$29</f>
        <v>Haul Cotton</v>
      </c>
      <c r="C973" s="464" t="s">
        <v>157</v>
      </c>
      <c r="D973" s="166">
        <f>PubMachineryTables!$AO$69</f>
        <v>0</v>
      </c>
      <c r="E973" s="166">
        <f>E917</f>
        <v>0</v>
      </c>
      <c r="F973" s="166">
        <f t="shared" si="68"/>
        <v>0</v>
      </c>
      <c r="G973" s="166"/>
    </row>
    <row r="974" spans="2:7">
      <c r="B974" s="465" t="str">
        <f>TillageOperations!$B$17</f>
        <v>Cotton Shredder/Root Puller</v>
      </c>
      <c r="C974" s="464" t="s">
        <v>157</v>
      </c>
      <c r="D974" s="166">
        <f>PubMachineryTables!$AO$59</f>
        <v>0</v>
      </c>
      <c r="E974" s="166">
        <f>E919</f>
        <v>0</v>
      </c>
      <c r="F974" s="166">
        <f t="shared" si="68"/>
        <v>0</v>
      </c>
      <c r="G974" s="166"/>
    </row>
    <row r="975" spans="2:7">
      <c r="B975" s="102" t="str">
        <f>TillageOperations!$B$30</f>
        <v>Combine</v>
      </c>
      <c r="C975" s="464" t="s">
        <v>157</v>
      </c>
      <c r="D975" s="166">
        <f>PubMachineryTables!$AO$70</f>
        <v>154.43457969840463</v>
      </c>
      <c r="E975" s="166">
        <f>E921</f>
        <v>0</v>
      </c>
      <c r="F975" s="166">
        <f>D975*E975</f>
        <v>0</v>
      </c>
      <c r="G975" s="166"/>
    </row>
    <row r="976" spans="2:7">
      <c r="B976" s="102" t="str">
        <f>TillageOperations!$B$31</f>
        <v>Grain Cart</v>
      </c>
      <c r="C976" s="464" t="s">
        <v>157</v>
      </c>
      <c r="D976" s="166">
        <f>PubMachineryTables!$AO$71</f>
        <v>25.28843211678571</v>
      </c>
      <c r="E976" s="166">
        <f>E923</f>
        <v>0</v>
      </c>
      <c r="F976" s="166">
        <f>D976*E976</f>
        <v>0</v>
      </c>
      <c r="G976" s="166"/>
    </row>
    <row r="977" spans="2:7">
      <c r="B977" s="102" t="str">
        <f>TillageOperations!$B$32</f>
        <v>Swather</v>
      </c>
      <c r="C977" s="464" t="s">
        <v>157</v>
      </c>
      <c r="D977" s="166">
        <f>PubMachineryTables!$AO$72</f>
        <v>0</v>
      </c>
      <c r="E977" s="166">
        <f>E925</f>
        <v>0</v>
      </c>
      <c r="F977" s="166">
        <f t="shared" ref="F977:F985" si="69">D977*E977</f>
        <v>0</v>
      </c>
      <c r="G977" s="166"/>
    </row>
    <row r="978" spans="2:7">
      <c r="B978" s="102" t="str">
        <f>TillageOperations!$B$33</f>
        <v>Baler</v>
      </c>
      <c r="C978" s="464" t="s">
        <v>157</v>
      </c>
      <c r="D978" s="166">
        <f>PubMachineryTables!$AO$73</f>
        <v>0</v>
      </c>
      <c r="E978" s="166">
        <f>E927</f>
        <v>0</v>
      </c>
      <c r="F978" s="166">
        <f t="shared" si="69"/>
        <v>0</v>
      </c>
      <c r="G978" s="166"/>
    </row>
    <row r="979" spans="2:7">
      <c r="B979" s="102" t="str">
        <f>TillageOperations!$B$34</f>
        <v>Swather</v>
      </c>
      <c r="C979" s="464" t="s">
        <v>157</v>
      </c>
      <c r="D979" s="166">
        <f>PubMachineryTables!$AO$74</f>
        <v>0</v>
      </c>
      <c r="E979" s="166">
        <f>E929</f>
        <v>0</v>
      </c>
      <c r="F979" s="166">
        <f t="shared" si="69"/>
        <v>0</v>
      </c>
      <c r="G979" s="166"/>
    </row>
    <row r="980" spans="2:7">
      <c r="B980" s="102" t="str">
        <f>TillageOperations!$B$35</f>
        <v>Baler</v>
      </c>
      <c r="C980" s="464" t="s">
        <v>157</v>
      </c>
      <c r="D980" s="166">
        <f>PubMachineryTables!$AO$75</f>
        <v>0</v>
      </c>
      <c r="E980" s="166">
        <f>E931</f>
        <v>0</v>
      </c>
      <c r="F980" s="166">
        <f t="shared" si="69"/>
        <v>0</v>
      </c>
      <c r="G980" s="166"/>
    </row>
    <row r="981" spans="2:7">
      <c r="B981" s="102" t="str">
        <f>TillageOperations!$B$36</f>
        <v>Bale Wagon</v>
      </c>
      <c r="C981" s="464" t="s">
        <v>157</v>
      </c>
      <c r="D981" s="166">
        <f>PubMachineryTables!$AO$76</f>
        <v>0</v>
      </c>
      <c r="E981" s="166">
        <f>E934</f>
        <v>0</v>
      </c>
      <c r="F981" s="166">
        <f t="shared" si="69"/>
        <v>0</v>
      </c>
      <c r="G981" s="166"/>
    </row>
    <row r="982" spans="2:7">
      <c r="B982" s="102" t="str">
        <f>TillageOperations!$B$23</f>
        <v>Fertilizer Spreader</v>
      </c>
      <c r="C982" s="464" t="s">
        <v>157</v>
      </c>
      <c r="D982" s="166">
        <f>PubMachineryTables!$AO$64</f>
        <v>93.913865291400512</v>
      </c>
      <c r="E982" s="166">
        <f>E936</f>
        <v>0</v>
      </c>
      <c r="F982" s="166">
        <f t="shared" si="69"/>
        <v>0</v>
      </c>
      <c r="G982" s="166"/>
    </row>
    <row r="983" spans="2:7">
      <c r="B983" s="102" t="str">
        <f>TillageOperations!$B$24</f>
        <v>Fertilizer Injection System</v>
      </c>
      <c r="C983" s="464" t="s">
        <v>157</v>
      </c>
      <c r="D983" s="166">
        <f>PubMachineryTables!$AO$65</f>
        <v>0</v>
      </c>
      <c r="E983" s="166">
        <f>E938</f>
        <v>0</v>
      </c>
      <c r="F983" s="166">
        <f t="shared" si="69"/>
        <v>0</v>
      </c>
      <c r="G983" s="166"/>
    </row>
    <row r="984" spans="2:7">
      <c r="B984" s="102" t="str">
        <f>TillageOperations!$B$25</f>
        <v>Boom Sprayer</v>
      </c>
      <c r="C984" s="464" t="s">
        <v>157</v>
      </c>
      <c r="D984" s="166">
        <f>PubMachineryTables!$AO$66</f>
        <v>9.6826493425933542</v>
      </c>
      <c r="E984" s="166">
        <f>E940</f>
        <v>0</v>
      </c>
      <c r="F984" s="166">
        <f t="shared" si="69"/>
        <v>0</v>
      </c>
      <c r="G984" s="166"/>
    </row>
    <row r="985" spans="2:7">
      <c r="B985" s="102" t="str">
        <f>TillageOperations!$B$22</f>
        <v>Transplanter</v>
      </c>
      <c r="C985" s="464" t="s">
        <v>157</v>
      </c>
      <c r="D985" s="166">
        <f>PubMachineryTables!$AO$63</f>
        <v>0</v>
      </c>
      <c r="E985" s="166">
        <f>E942</f>
        <v>0</v>
      </c>
      <c r="F985" s="166">
        <f t="shared" si="69"/>
        <v>0</v>
      </c>
      <c r="G985" s="166"/>
    </row>
    <row r="986" spans="2:7">
      <c r="B986" t="str">
        <f>'Inputs&amp;PricesbyCrop'!$B$39</f>
        <v>Crop Insurance</v>
      </c>
      <c r="C986" s="464" t="s">
        <v>157</v>
      </c>
      <c r="D986" s="166">
        <f>'Inputs&amp;PricesbyCrop'!$I$39</f>
        <v>0</v>
      </c>
      <c r="E986" s="169">
        <f t="shared" ref="E986:E991" si="70">$C$836</f>
        <v>0</v>
      </c>
      <c r="F986" s="166">
        <f>D986*E986</f>
        <v>0</v>
      </c>
      <c r="G986" s="166"/>
    </row>
    <row r="987" spans="2:7">
      <c r="B987" t="str">
        <f>'Inputs&amp;PricesbyCrop'!$B$40</f>
        <v>Property Insurance</v>
      </c>
      <c r="C987" s="464" t="s">
        <v>157</v>
      </c>
      <c r="D987" s="166">
        <f>'Inputs&amp;PricesbyCrop'!$I$40</f>
        <v>0</v>
      </c>
      <c r="E987" s="169">
        <f t="shared" si="70"/>
        <v>0</v>
      </c>
      <c r="F987" s="166">
        <f>D987*E987</f>
        <v>0</v>
      </c>
      <c r="G987" s="166"/>
    </row>
    <row r="988" spans="2:7">
      <c r="B988" t="str">
        <f>'Inputs&amp;PricesbyCrop'!$B$41</f>
        <v>Property Taxes</v>
      </c>
      <c r="C988" s="464" t="s">
        <v>157</v>
      </c>
      <c r="D988" s="166">
        <f>'Inputs&amp;PricesbyCrop'!$I$41</f>
        <v>0</v>
      </c>
      <c r="E988" s="169">
        <f t="shared" si="70"/>
        <v>0</v>
      </c>
      <c r="F988" s="166">
        <f t="shared" ref="F988:F991" si="71">D988*E988</f>
        <v>0</v>
      </c>
      <c r="G988" s="166"/>
    </row>
    <row r="989" spans="2:7">
      <c r="B989" t="str">
        <f>'Inputs&amp;PricesbyCrop'!$B$42</f>
        <v>Annual Cash Rent Payment</v>
      </c>
      <c r="C989" s="464" t="s">
        <v>157</v>
      </c>
      <c r="D989" s="166">
        <f>'Inputs&amp;PricesbyCrop'!$I$42</f>
        <v>170</v>
      </c>
      <c r="E989" s="169">
        <f t="shared" si="70"/>
        <v>0</v>
      </c>
      <c r="F989" s="166">
        <f t="shared" si="71"/>
        <v>0</v>
      </c>
      <c r="G989" s="166"/>
    </row>
    <row r="990" spans="2:7">
      <c r="B990" t="s">
        <v>484</v>
      </c>
      <c r="C990" s="464" t="s">
        <v>157</v>
      </c>
      <c r="D990" s="166">
        <f>'Sheet #6'!I103</f>
        <v>0</v>
      </c>
      <c r="E990" s="169">
        <f t="shared" si="70"/>
        <v>0</v>
      </c>
      <c r="F990" s="166">
        <f t="shared" ref="F990" si="72">D990*E990</f>
        <v>0</v>
      </c>
      <c r="G990" s="166"/>
    </row>
    <row r="991" spans="2:7">
      <c r="B991" t="str">
        <f>'Inputs&amp;PricesbyCrop'!$B$49</f>
        <v>Licenses and Fees</v>
      </c>
      <c r="C991" s="464" t="s">
        <v>157</v>
      </c>
      <c r="D991" s="166">
        <f>'Inputs&amp;PricesbyCrop'!$I$49</f>
        <v>30</v>
      </c>
      <c r="E991" s="169">
        <f t="shared" si="70"/>
        <v>0</v>
      </c>
      <c r="F991" s="170">
        <f t="shared" si="71"/>
        <v>0</v>
      </c>
      <c r="G991" s="170"/>
    </row>
    <row r="992" spans="2:7">
      <c r="B992" t="s">
        <v>131</v>
      </c>
      <c r="D992" s="454"/>
      <c r="F992" s="37">
        <f>SUM(F955:F991)</f>
        <v>0</v>
      </c>
      <c r="G992" s="37"/>
    </row>
    <row r="993" spans="2:7">
      <c r="D993" s="454"/>
    </row>
    <row r="994" spans="2:7">
      <c r="B994" t="s">
        <v>63</v>
      </c>
      <c r="D994" s="454"/>
      <c r="F994" s="37">
        <f>(F992+F952)</f>
        <v>0</v>
      </c>
      <c r="G994" s="37"/>
    </row>
    <row r="995" spans="2:7">
      <c r="B995" t="s">
        <v>64</v>
      </c>
      <c r="D995" s="454"/>
      <c r="F995" s="37">
        <f>F841-F994</f>
        <v>0</v>
      </c>
      <c r="G995" s="37"/>
    </row>
    <row r="996" spans="2:7">
      <c r="B996" s="249" t="s">
        <v>276</v>
      </c>
      <c r="C996" s="249" t="s">
        <v>4</v>
      </c>
      <c r="D996" s="250" t="s">
        <v>277</v>
      </c>
      <c r="E996" s="249" t="s">
        <v>278</v>
      </c>
      <c r="F996" s="249" t="s">
        <v>279</v>
      </c>
      <c r="G996" s="249"/>
    </row>
    <row r="997" spans="2:7">
      <c r="B997" s="135" t="str">
        <f>B1002</f>
        <v>Hemp for Fiber</v>
      </c>
      <c r="D997" s="454"/>
    </row>
    <row r="998" spans="2:7">
      <c r="B998" t="s">
        <v>16</v>
      </c>
      <c r="C998" s="102">
        <f>IF('AcresYieldsPrices&amp;Water'!D8=0,0,'AcresYieldsPrices&amp;Water'!D8)</f>
        <v>0</v>
      </c>
      <c r="D998" s="454" t="s">
        <v>17</v>
      </c>
    </row>
    <row r="999" spans="2:7">
      <c r="D999" s="454"/>
    </row>
    <row r="1000" spans="2:7">
      <c r="B1000" t="s">
        <v>22</v>
      </c>
      <c r="D1000" s="454"/>
    </row>
    <row r="1001" spans="2:7">
      <c r="B1001" s="455" t="s">
        <v>23</v>
      </c>
      <c r="C1001" s="458" t="s">
        <v>1</v>
      </c>
      <c r="D1001" s="459" t="s">
        <v>24</v>
      </c>
      <c r="E1001" s="460" t="s">
        <v>25</v>
      </c>
      <c r="F1001" s="460" t="s">
        <v>0</v>
      </c>
      <c r="G1001" s="277"/>
    </row>
    <row r="1002" spans="2:7">
      <c r="B1002" t="str">
        <f>'AcresYieldsPrices&amp;Water'!J9</f>
        <v>Hemp for Fiber</v>
      </c>
      <c r="C1002" s="137" t="str">
        <f>'AcresYieldsPrices&amp;Water'!L9</f>
        <v>pound</v>
      </c>
      <c r="D1002" s="172">
        <f>'AcresYieldsPrices&amp;Water'!M9</f>
        <v>0.11</v>
      </c>
      <c r="E1002" s="102">
        <f>'AcresYieldsPrices&amp;Water'!N9*C998</f>
        <v>0</v>
      </c>
      <c r="F1002" s="136">
        <f>D1002*E1002</f>
        <v>0</v>
      </c>
      <c r="G1002" s="136"/>
    </row>
    <row r="1003" spans="2:7">
      <c r="B1003" t="s">
        <v>27</v>
      </c>
      <c r="D1003" s="454"/>
      <c r="F1003" s="37">
        <f>F1002</f>
        <v>0</v>
      </c>
      <c r="G1003" s="163" t="e">
        <f>F1003/C$998</f>
        <v>#DIV/0!</v>
      </c>
    </row>
    <row r="1004" spans="2:7">
      <c r="D1004" s="454"/>
    </row>
    <row r="1005" spans="2:7">
      <c r="B1005" s="455" t="s">
        <v>33</v>
      </c>
      <c r="C1005" s="458" t="s">
        <v>1</v>
      </c>
      <c r="D1005" s="459" t="s">
        <v>24</v>
      </c>
      <c r="E1005" s="460" t="s">
        <v>25</v>
      </c>
      <c r="F1005" s="460" t="s">
        <v>0</v>
      </c>
      <c r="G1005" s="277"/>
    </row>
    <row r="1006" spans="2:7">
      <c r="B1006" t="str">
        <f>'Inputs&amp;PricesbyCrop'!B$76</f>
        <v xml:space="preserve">   - Seed</v>
      </c>
      <c r="C1006" s="137" t="str">
        <f>'Inputs&amp;PricesbyCrop'!C$91</f>
        <v>pounds</v>
      </c>
      <c r="D1006" s="454">
        <f>'Inputs&amp;PricesbyCrop'!$J$5</f>
        <v>1.67</v>
      </c>
      <c r="E1006" s="462">
        <f>'Inputs&amp;PricesbyCrop'!$J$6*$C$998</f>
        <v>0</v>
      </c>
      <c r="F1006" s="37">
        <f t="shared" ref="F1006:F1030" si="73">D1006*E1006</f>
        <v>0</v>
      </c>
      <c r="G1006" s="37"/>
    </row>
    <row r="1007" spans="2:7">
      <c r="B1007" t="str">
        <f>GeneralInputPrices!$B$3</f>
        <v xml:space="preserve">   - Inoculant</v>
      </c>
      <c r="C1007" s="137" t="str">
        <f>GeneralInputPrices!$C$3</f>
        <v>pounds</v>
      </c>
      <c r="D1007" s="166">
        <f>GeneralInputPrices!$D$3</f>
        <v>3</v>
      </c>
      <c r="E1007" s="166">
        <f>'Inputs&amp;PricesbyCrop'!$J$22*$C$998</f>
        <v>0</v>
      </c>
      <c r="F1007" s="166">
        <f t="shared" si="73"/>
        <v>0</v>
      </c>
      <c r="G1007" s="166"/>
    </row>
    <row r="1008" spans="2:7">
      <c r="B1008" t="str">
        <f>GeneralInputPrices!B$5</f>
        <v xml:space="preserve">   - Nitrogen</v>
      </c>
      <c r="C1008" s="137" t="str">
        <f>GeneralInputPrices!$C$5</f>
        <v>pounds</v>
      </c>
      <c r="D1008" s="166">
        <f>GeneralInputPrices!$D$5</f>
        <v>0.46</v>
      </c>
      <c r="E1008" s="166">
        <f>'Inputs&amp;PricesbyCrop'!$J$23*$C$998</f>
        <v>0</v>
      </c>
      <c r="F1008" s="166">
        <f t="shared" si="73"/>
        <v>0</v>
      </c>
      <c r="G1008" s="166"/>
    </row>
    <row r="1009" spans="2:7">
      <c r="B1009" t="str">
        <f>GeneralInputPrices!B$6</f>
        <v xml:space="preserve">   - Phosphorus</v>
      </c>
      <c r="C1009" s="137" t="str">
        <f>GeneralInputPrices!$C$6</f>
        <v>pounds</v>
      </c>
      <c r="D1009" s="166">
        <f>GeneralInputPrices!$D$6</f>
        <v>0.36</v>
      </c>
      <c r="E1009" s="166">
        <f>'Inputs&amp;PricesbyCrop'!$J$24*$C$998</f>
        <v>0</v>
      </c>
      <c r="F1009" s="166">
        <f t="shared" si="73"/>
        <v>0</v>
      </c>
      <c r="G1009" s="166"/>
    </row>
    <row r="1010" spans="2:7">
      <c r="B1010" t="str">
        <f>GeneralInputPrices!B$7</f>
        <v xml:space="preserve">   - Anhydrous Ammonia</v>
      </c>
      <c r="C1010" s="137" t="str">
        <f>GeneralInputPrices!$C$7</f>
        <v>pounds</v>
      </c>
      <c r="D1010" s="166">
        <f>GeneralInputPrices!$D$7</f>
        <v>0.21</v>
      </c>
      <c r="E1010" s="166">
        <f>'Inputs&amp;PricesbyCrop'!$J$25*$C$998</f>
        <v>0</v>
      </c>
      <c r="F1010" s="166">
        <f t="shared" si="73"/>
        <v>0</v>
      </c>
      <c r="G1010" s="166"/>
    </row>
    <row r="1011" spans="2:7">
      <c r="B1011" t="str">
        <f>GeneralInputPrices!$B$8</f>
        <v xml:space="preserve">   - Trace Elements</v>
      </c>
      <c r="C1011" s="137" t="str">
        <f>GeneralInputPrices!$C$8</f>
        <v>pounds</v>
      </c>
      <c r="D1011" s="166">
        <f>GeneralInputPrices!$D$8</f>
        <v>0.24</v>
      </c>
      <c r="E1011" s="166">
        <f>'Inputs&amp;PricesbyCrop'!$J$26*$C$998</f>
        <v>0</v>
      </c>
      <c r="F1011" s="166">
        <f t="shared" si="73"/>
        <v>0</v>
      </c>
      <c r="G1011" s="166"/>
    </row>
    <row r="1012" spans="2:7">
      <c r="B1012" t="str">
        <f>'Inputs&amp;PricesbyCrop'!$B$32</f>
        <v xml:space="preserve">   - Nitrogen</v>
      </c>
      <c r="C1012" s="137" t="str">
        <f>'Inputs&amp;PricesbyCrop'!$C$32</f>
        <v>acre</v>
      </c>
      <c r="D1012" s="166">
        <f>'Inputs&amp;PricesbyCrop'!$J$32</f>
        <v>77</v>
      </c>
      <c r="E1012" s="166">
        <f>$C$998</f>
        <v>0</v>
      </c>
      <c r="F1012" s="166">
        <f t="shared" si="73"/>
        <v>0</v>
      </c>
      <c r="G1012" s="166"/>
    </row>
    <row r="1013" spans="2:7">
      <c r="B1013" t="str">
        <f>'Inputs&amp;PricesbyCrop'!$B$33</f>
        <v xml:space="preserve">   - Phosphorus</v>
      </c>
      <c r="C1013" s="137" t="str">
        <f>'Inputs&amp;PricesbyCrop'!$C$33</f>
        <v>acre</v>
      </c>
      <c r="D1013" s="166">
        <f>'Inputs&amp;PricesbyCrop'!$J$33</f>
        <v>0</v>
      </c>
      <c r="E1013" s="166">
        <f>$C$998</f>
        <v>0</v>
      </c>
      <c r="F1013" s="166">
        <f t="shared" si="73"/>
        <v>0</v>
      </c>
      <c r="G1013" s="166"/>
    </row>
    <row r="1014" spans="2:7">
      <c r="B1014" t="str">
        <f>'Inputs&amp;PricesbyCrop'!$B$34</f>
        <v xml:space="preserve">   - Fertilizer - Anhydrous Applicator</v>
      </c>
      <c r="C1014" s="137" t="str">
        <f>'Inputs&amp;PricesbyCrop'!$C$34</f>
        <v>acre</v>
      </c>
      <c r="D1014" s="166">
        <f>'Inputs&amp;PricesbyCrop'!$J$34</f>
        <v>0</v>
      </c>
      <c r="E1014" s="166">
        <f>$C$998</f>
        <v>0</v>
      </c>
      <c r="F1014" s="166">
        <f t="shared" si="73"/>
        <v>0</v>
      </c>
      <c r="G1014" s="166"/>
    </row>
    <row r="1015" spans="2:7">
      <c r="B1015" t="str">
        <f>GeneralInputPrices!$B$10</f>
        <v xml:space="preserve">   - Prowl</v>
      </c>
      <c r="C1015" s="137" t="str">
        <f>GeneralInputPrices!$C$10</f>
        <v>pints</v>
      </c>
      <c r="D1015" s="166">
        <f>GeneralInputPrices!$D$10</f>
        <v>6.0625</v>
      </c>
      <c r="E1015" s="166">
        <f>'Inputs&amp;PricesbyCrop'!$J$27*$C$998</f>
        <v>0</v>
      </c>
      <c r="F1015" s="166">
        <f t="shared" si="73"/>
        <v>0</v>
      </c>
      <c r="G1015" s="166"/>
    </row>
    <row r="1016" spans="2:7">
      <c r="B1016" t="str">
        <f>GeneralInputPrices!$B$11</f>
        <v xml:space="preserve">   - Aim</v>
      </c>
      <c r="C1016" s="137" t="str">
        <f>GeneralInputPrices!$C$11</f>
        <v>ounces</v>
      </c>
      <c r="D1016" s="166">
        <f>GeneralInputPrices!$D$11</f>
        <v>5.9375</v>
      </c>
      <c r="E1016" s="166">
        <f>'Inputs&amp;PricesbyCrop'!$J$28*$C$998</f>
        <v>0</v>
      </c>
      <c r="F1016" s="166">
        <f t="shared" si="73"/>
        <v>0</v>
      </c>
      <c r="G1016" s="166"/>
    </row>
    <row r="1017" spans="2:7">
      <c r="B1017" t="str">
        <f>GeneralInputPrices!$B$12</f>
        <v xml:space="preserve">   - Fusilade</v>
      </c>
      <c r="C1017" s="137" t="str">
        <f>GeneralInputPrices!$C$12</f>
        <v>ounces</v>
      </c>
      <c r="D1017" s="166">
        <f>GeneralInputPrices!$D$12</f>
        <v>1.25</v>
      </c>
      <c r="E1017" s="166">
        <f>'Inputs&amp;PricesbyCrop'!$J$29*$C$998</f>
        <v>0</v>
      </c>
      <c r="F1017" s="166">
        <f t="shared" si="73"/>
        <v>0</v>
      </c>
      <c r="G1017" s="166"/>
    </row>
    <row r="1018" spans="2:7">
      <c r="B1018" t="str">
        <f>'Inputs&amp;PricesbyCrop'!$B$35</f>
        <v xml:space="preserve">   - Herbicides</v>
      </c>
      <c r="C1018" s="137" t="str">
        <f>'Inputs&amp;PricesbyCrop'!$C$35</f>
        <v>acre</v>
      </c>
      <c r="D1018" s="166">
        <f>'Inputs&amp;PricesbyCrop'!$J$35</f>
        <v>0</v>
      </c>
      <c r="E1018" s="166">
        <f>$C$998</f>
        <v>0</v>
      </c>
      <c r="F1018" s="166">
        <f t="shared" si="73"/>
        <v>0</v>
      </c>
      <c r="G1018" s="166"/>
    </row>
    <row r="1019" spans="2:7">
      <c r="B1019" t="str">
        <f>'Inputs&amp;PricesbyCrop'!$B$36</f>
        <v xml:space="preserve">   - Herbicide - #2</v>
      </c>
      <c r="C1019" s="137" t="str">
        <f>'Inputs&amp;PricesbyCrop'!$C$36</f>
        <v>acre</v>
      </c>
      <c r="D1019" s="166">
        <f>'Inputs&amp;PricesbyCrop'!$J$36</f>
        <v>0</v>
      </c>
      <c r="E1019" s="166">
        <f>$C$998</f>
        <v>0</v>
      </c>
      <c r="F1019" s="166">
        <f t="shared" si="73"/>
        <v>0</v>
      </c>
      <c r="G1019" s="166"/>
    </row>
    <row r="1020" spans="2:7">
      <c r="B1020" t="str">
        <f>'Inputs&amp;PricesbyCrop'!$B$37</f>
        <v xml:space="preserve">   - Insecticides</v>
      </c>
      <c r="C1020" s="137" t="str">
        <f>'Inputs&amp;PricesbyCrop'!$C$37</f>
        <v>acre</v>
      </c>
      <c r="D1020" s="166">
        <f>'Inputs&amp;PricesbyCrop'!$J$37</f>
        <v>0</v>
      </c>
      <c r="E1020" s="166">
        <f>$C$998</f>
        <v>0</v>
      </c>
      <c r="F1020" s="166">
        <f t="shared" si="73"/>
        <v>0</v>
      </c>
      <c r="G1020" s="166"/>
    </row>
    <row r="1021" spans="2:7">
      <c r="B1021" t="str">
        <f>'Inputs&amp;PricesbyCrop'!$B$38</f>
        <v xml:space="preserve">   - Insecticide - #2</v>
      </c>
      <c r="C1021" s="137" t="str">
        <f>'Inputs&amp;PricesbyCrop'!$C$38</f>
        <v>acre</v>
      </c>
      <c r="D1021" s="166">
        <f>'Inputs&amp;PricesbyCrop'!$J$38</f>
        <v>50</v>
      </c>
      <c r="E1021" s="166">
        <f>$C$998</f>
        <v>0</v>
      </c>
      <c r="F1021" s="166">
        <f t="shared" si="73"/>
        <v>0</v>
      </c>
      <c r="G1021" s="166"/>
    </row>
    <row r="1022" spans="2:7">
      <c r="B1022" t="str">
        <f>'Inputs&amp;PricesbyCrop'!$B$7</f>
        <v>Flood - Irrigation Water</v>
      </c>
      <c r="C1022" s="137" t="str">
        <f>'Inputs&amp;PricesbyCrop'!$C$7</f>
        <v>ac ft</v>
      </c>
      <c r="D1022" s="166">
        <f>GeneralInputPrices!$D$13</f>
        <v>55</v>
      </c>
      <c r="E1022" s="102">
        <f>('AcresYieldsPrices&amp;Water'!$E$8*'Inputs&amp;PricesbyCrop'!$J$7)*$C998</f>
        <v>0</v>
      </c>
      <c r="F1022" s="166">
        <f t="shared" si="73"/>
        <v>0</v>
      </c>
      <c r="G1022" s="166"/>
    </row>
    <row r="1023" spans="2:7">
      <c r="B1023" t="str">
        <f>'Inputs&amp;PricesbyCrop'!$B$8</f>
        <v>Flood - Irrigation Labor</v>
      </c>
      <c r="C1023" s="137" t="str">
        <f>'Inputs&amp;PricesbyCrop'!$C$8</f>
        <v>hour</v>
      </c>
      <c r="D1023" s="166">
        <f>GeneralInputPrices!$D$28</f>
        <v>14.55</v>
      </c>
      <c r="E1023" s="166">
        <f>('AcresYieldsPrices&amp;Water'!$E$8*'Inputs&amp;PricesbyCrop'!$J$8)*$C998</f>
        <v>0</v>
      </c>
      <c r="F1023" s="166">
        <f t="shared" si="73"/>
        <v>0</v>
      </c>
      <c r="G1023" s="166"/>
    </row>
    <row r="1024" spans="2:7">
      <c r="B1024" t="str">
        <f>GeneralInputPrices!$B$18</f>
        <v xml:space="preserve">   - Annual Repairs &amp; Maintenance</v>
      </c>
      <c r="C1024" s="453" t="str">
        <f>GeneralInputPrices!$C$18</f>
        <v>acre</v>
      </c>
      <c r="D1024" s="166">
        <f>GeneralInputPrices!$D$18</f>
        <v>3</v>
      </c>
      <c r="E1024" s="166">
        <f>'AcresYieldsPrices&amp;Water'!$E$8*$C998</f>
        <v>0</v>
      </c>
      <c r="F1024" s="166">
        <f t="shared" si="73"/>
        <v>0</v>
      </c>
      <c r="G1024" s="166"/>
    </row>
    <row r="1025" spans="2:7">
      <c r="B1025" t="str">
        <f>'Inputs&amp;PricesbyCrop'!$B$9</f>
        <v>Drip-tape - Irrigation Water</v>
      </c>
      <c r="C1025" s="137" t="str">
        <f>'Inputs&amp;PricesbyCrop'!$C$9</f>
        <v>ac ft</v>
      </c>
      <c r="D1025" s="166">
        <f>GeneralInputPrices!$D$13</f>
        <v>55</v>
      </c>
      <c r="E1025" s="166">
        <f>('AcresYieldsPrices&amp;Water'!$F$8*'Inputs&amp;PricesbyCrop'!$J$9)*$C998</f>
        <v>0</v>
      </c>
      <c r="F1025" s="166">
        <f t="shared" si="73"/>
        <v>0</v>
      </c>
      <c r="G1025" s="166"/>
    </row>
    <row r="1026" spans="2:7">
      <c r="B1026" t="str">
        <f>'Inputs&amp;PricesbyCrop'!$B$10</f>
        <v>Drip-tape - Irrigation Labor</v>
      </c>
      <c r="C1026" s="137" t="str">
        <f>'Inputs&amp;PricesbyCrop'!$C$10</f>
        <v>hour</v>
      </c>
      <c r="D1026" s="166">
        <f>GeneralInputPrices!$D$28</f>
        <v>14.55</v>
      </c>
      <c r="E1026" s="166">
        <f>('AcresYieldsPrices&amp;Water'!$F$8*'Inputs&amp;PricesbyCrop'!$J$10)*$C998</f>
        <v>0</v>
      </c>
      <c r="F1026" s="166">
        <f t="shared" si="73"/>
        <v>0</v>
      </c>
      <c r="G1026" s="166"/>
    </row>
    <row r="1027" spans="2:7">
      <c r="B1027" t="str">
        <f>GeneralInputPrices!$B$22</f>
        <v xml:space="preserve">   - Annual Repairs &amp; Maintenance</v>
      </c>
      <c r="C1027" s="453" t="str">
        <f>GeneralInputPrices!$C$22</f>
        <v>acre</v>
      </c>
      <c r="D1027" s="166">
        <f>GeneralInputPrices!$D$22</f>
        <v>7.5</v>
      </c>
      <c r="E1027" s="166">
        <f>'AcresYieldsPrices&amp;Water'!$F$8*C998</f>
        <v>0</v>
      </c>
      <c r="F1027" s="166">
        <f t="shared" si="73"/>
        <v>0</v>
      </c>
      <c r="G1027" s="166"/>
    </row>
    <row r="1028" spans="2:7">
      <c r="B1028" t="str">
        <f>'Inputs&amp;PricesbyCrop'!$B$11</f>
        <v>Sprinkler - Irrigation Water</v>
      </c>
      <c r="C1028" s="137" t="str">
        <f>'Inputs&amp;PricesbyCrop'!$C$11</f>
        <v>ac ft</v>
      </c>
      <c r="D1028" s="166">
        <f>GeneralInputPrices!$D$13</f>
        <v>55</v>
      </c>
      <c r="E1028" s="166">
        <f>('AcresYieldsPrices&amp;Water'!$G$8*'Inputs&amp;PricesbyCrop'!$J$11)*$C998</f>
        <v>0</v>
      </c>
      <c r="F1028" s="166">
        <f t="shared" si="73"/>
        <v>0</v>
      </c>
      <c r="G1028" s="166"/>
    </row>
    <row r="1029" spans="2:7">
      <c r="B1029" t="str">
        <f>'Inputs&amp;PricesbyCrop'!$B$12</f>
        <v>Sprinkler - Irrigation Labor</v>
      </c>
      <c r="C1029" s="137" t="str">
        <f>'Inputs&amp;PricesbyCrop'!$C$12</f>
        <v>hour</v>
      </c>
      <c r="D1029" s="166">
        <f>GeneralInputPrices!$D$28</f>
        <v>14.55</v>
      </c>
      <c r="E1029" s="166">
        <f>('AcresYieldsPrices&amp;Water'!$G$8*'Inputs&amp;PricesbyCrop'!$J$12)*$C998</f>
        <v>0</v>
      </c>
      <c r="F1029" s="166">
        <f t="shared" si="73"/>
        <v>0</v>
      </c>
      <c r="G1029" s="166"/>
    </row>
    <row r="1030" spans="2:7">
      <c r="B1030" t="str">
        <f>GeneralInputPrices!$B$26</f>
        <v xml:space="preserve">   - Annual Repairs &amp; Maintenance</v>
      </c>
      <c r="C1030" s="453" t="str">
        <f>GeneralInputPrices!$C$26</f>
        <v>acre</v>
      </c>
      <c r="D1030" s="166">
        <f>GeneralInputPrices!$D$26</f>
        <v>15</v>
      </c>
      <c r="E1030" s="166">
        <f>'AcresYieldsPrices&amp;Water'!$G$8*$C998</f>
        <v>0</v>
      </c>
      <c r="F1030" s="166">
        <f t="shared" si="73"/>
        <v>0</v>
      </c>
      <c r="G1030" s="166"/>
    </row>
    <row r="1031" spans="2:7">
      <c r="B1031" t="str">
        <f>CustomOperations!$B$37</f>
        <v>Harvest, Custom</v>
      </c>
      <c r="C1031" s="137" t="str">
        <f>CustomOperations!$C$37</f>
        <v>acre</v>
      </c>
      <c r="D1031" s="166">
        <f>CustomOperations!$J$37</f>
        <v>0</v>
      </c>
      <c r="E1031" s="166">
        <f>CustomOperations!$J$38*$C$998</f>
        <v>0</v>
      </c>
      <c r="F1031" s="166">
        <f t="shared" ref="F1031:F1045" si="74">D1031*E1031</f>
        <v>0</v>
      </c>
      <c r="G1031" s="166"/>
    </row>
    <row r="1032" spans="2:7">
      <c r="B1032" t="str">
        <f>CustomOperations!$B$39</f>
        <v>Hauling, Custom</v>
      </c>
      <c r="C1032" s="137" t="str">
        <f>CustomOperations!$C$39</f>
        <v>mile</v>
      </c>
      <c r="D1032" s="166">
        <f>CustomOperations!$J$39</f>
        <v>0</v>
      </c>
      <c r="E1032" s="166">
        <f>CustomOperations!$J$40*$C$998</f>
        <v>0</v>
      </c>
      <c r="F1032" s="166">
        <f t="shared" si="74"/>
        <v>0</v>
      </c>
      <c r="G1032" s="166"/>
    </row>
    <row r="1033" spans="2:7">
      <c r="B1033" t="str">
        <f>CustomOperations!$B$41</f>
        <v>Gin Cotton/Drying/Swathing, Custom</v>
      </c>
      <c r="C1033" s="137" t="str">
        <f>CustomOperations!$C$41</f>
        <v>bale</v>
      </c>
      <c r="D1033" s="166">
        <f>CustomOperations!$J$41</f>
        <v>0</v>
      </c>
      <c r="E1033" s="166">
        <f>CustomOperations!$J$42*$C$998</f>
        <v>0</v>
      </c>
      <c r="F1033" s="166">
        <f t="shared" si="74"/>
        <v>0</v>
      </c>
      <c r="G1033" s="166"/>
    </row>
    <row r="1034" spans="2:7">
      <c r="B1034" t="str">
        <f>CustomOperations!$B$24</f>
        <v>Drill, Custom</v>
      </c>
      <c r="C1034" s="137" t="str">
        <f>CustomOperations!$C$24</f>
        <v>acre</v>
      </c>
      <c r="D1034" s="166">
        <f>CustomOperations!$J$24</f>
        <v>0</v>
      </c>
      <c r="E1034" s="166">
        <f>CustomOperations!$J$25*$C$998</f>
        <v>0</v>
      </c>
      <c r="F1034" s="166">
        <f t="shared" si="74"/>
        <v>0</v>
      </c>
      <c r="G1034" s="166"/>
    </row>
    <row r="1035" spans="2:7">
      <c r="B1035" t="str">
        <f>CustomOperations!$B$26</f>
        <v>Row Planter, Custom</v>
      </c>
      <c r="C1035" s="137" t="str">
        <f>CustomOperations!$C$26</f>
        <v>acre</v>
      </c>
      <c r="D1035" s="166">
        <f>CustomOperations!$J$26</f>
        <v>0</v>
      </c>
      <c r="E1035" s="166">
        <f>CustomOperations!$J$27*$C$998</f>
        <v>0</v>
      </c>
      <c r="F1035" s="166">
        <f t="shared" si="74"/>
        <v>0</v>
      </c>
      <c r="G1035" s="166"/>
    </row>
    <row r="1036" spans="2:7">
      <c r="B1036" t="str">
        <f>CustomOperations!$B$28</f>
        <v>Row Cultivator, Custom</v>
      </c>
      <c r="C1036" s="137" t="str">
        <f>CustomOperations!$C$28</f>
        <v>acre</v>
      </c>
      <c r="D1036" s="166">
        <f>CustomOperations!$J$28</f>
        <v>0</v>
      </c>
      <c r="E1036" s="166">
        <f>CustomOperations!$J$29*$C$998</f>
        <v>0</v>
      </c>
      <c r="F1036" s="166">
        <f t="shared" si="74"/>
        <v>0</v>
      </c>
      <c r="G1036" s="166"/>
    </row>
    <row r="1037" spans="2:7">
      <c r="B1037" t="str">
        <f>CustomOperations!$B$5</f>
        <v>V Ripper, Custom</v>
      </c>
      <c r="C1037" s="137" t="str">
        <f>CustomOperations!$C$5</f>
        <v>acre</v>
      </c>
      <c r="D1037" s="166">
        <f>CustomOperations!$J$5</f>
        <v>44.25</v>
      </c>
      <c r="E1037" s="166">
        <f>CustomOperations!$J$6*$C$998</f>
        <v>0</v>
      </c>
      <c r="F1037" s="166">
        <f t="shared" si="74"/>
        <v>0</v>
      </c>
      <c r="G1037" s="166"/>
    </row>
    <row r="1038" spans="2:7">
      <c r="B1038" t="str">
        <f>CustomOperations!$B$7</f>
        <v>Disk, Custom</v>
      </c>
      <c r="C1038" s="137" t="str">
        <f>CustomOperations!$C$7</f>
        <v>acre</v>
      </c>
      <c r="D1038" s="166">
        <f>CustomOperations!$J$7</f>
        <v>0</v>
      </c>
      <c r="E1038" s="166">
        <f>CustomOperations!$J$8*$C$998</f>
        <v>0</v>
      </c>
      <c r="F1038" s="166">
        <f t="shared" si="74"/>
        <v>0</v>
      </c>
      <c r="G1038" s="166"/>
    </row>
    <row r="1039" spans="2:7">
      <c r="B1039" t="str">
        <f>CustomOperations!$B$9</f>
        <v>Drag, Custom</v>
      </c>
      <c r="C1039" s="137" t="str">
        <f>CustomOperations!$C$9</f>
        <v>acre</v>
      </c>
      <c r="D1039" s="166">
        <f>CustomOperations!$J$9</f>
        <v>0</v>
      </c>
      <c r="E1039" s="166">
        <f>CustomOperations!$J$10*$C$998</f>
        <v>0</v>
      </c>
      <c r="F1039" s="166">
        <f t="shared" si="74"/>
        <v>0</v>
      </c>
      <c r="G1039" s="166"/>
    </row>
    <row r="1040" spans="2:7">
      <c r="B1040" t="str">
        <f>CustomOperations!$B$11</f>
        <v>Chisel, Custom</v>
      </c>
      <c r="C1040" s="137" t="str">
        <f>CustomOperations!$C$11</f>
        <v>acre</v>
      </c>
      <c r="D1040" s="166">
        <f>CustomOperations!$J$11</f>
        <v>0</v>
      </c>
      <c r="E1040" s="166">
        <f>CustomOperations!$J$12*$C$998</f>
        <v>0</v>
      </c>
      <c r="F1040" s="166">
        <f t="shared" si="74"/>
        <v>0</v>
      </c>
      <c r="G1040" s="166"/>
    </row>
    <row r="1041" spans="2:7">
      <c r="B1041" t="str">
        <f>CustomOperations!$B$13</f>
        <v>Moldboard Plow, Custom</v>
      </c>
      <c r="C1041" s="137" t="str">
        <f>CustomOperations!$C$13</f>
        <v>acre</v>
      </c>
      <c r="D1041" s="166">
        <f>CustomOperations!$J$13</f>
        <v>0</v>
      </c>
      <c r="E1041" s="166">
        <f>CustomOperations!$J$14*$C$998</f>
        <v>0</v>
      </c>
      <c r="F1041" s="166">
        <f t="shared" si="74"/>
        <v>0</v>
      </c>
      <c r="G1041" s="166"/>
    </row>
    <row r="1042" spans="2:7">
      <c r="B1042" t="str">
        <f>CustomOperations!$B$15</f>
        <v>Landplane, Custom</v>
      </c>
      <c r="C1042" s="137" t="str">
        <f>CustomOperations!$C$15</f>
        <v>acre</v>
      </c>
      <c r="D1042" s="166">
        <f>CustomOperations!$J$15</f>
        <v>17.940000000000001</v>
      </c>
      <c r="E1042" s="166">
        <f>CustomOperations!$J$16*$C$998</f>
        <v>0</v>
      </c>
      <c r="F1042" s="166">
        <f t="shared" si="74"/>
        <v>0</v>
      </c>
      <c r="G1042" s="166"/>
    </row>
    <row r="1043" spans="2:7">
      <c r="B1043" t="str">
        <f>CustomOperations!$B$17</f>
        <v>Float, Custom</v>
      </c>
      <c r="C1043" s="137" t="str">
        <f>CustomOperations!$C$17</f>
        <v>acre</v>
      </c>
      <c r="D1043" s="166">
        <f>CustomOperations!$J$17</f>
        <v>17.940000000000001</v>
      </c>
      <c r="E1043" s="166">
        <f>CustomOperations!$J$18*$C$998</f>
        <v>0</v>
      </c>
      <c r="F1043" s="166">
        <f t="shared" si="74"/>
        <v>0</v>
      </c>
      <c r="G1043" s="166"/>
    </row>
    <row r="1044" spans="2:7">
      <c r="B1044" t="str">
        <f>CustomOperations!$B$19</f>
        <v>Lister, Custom</v>
      </c>
      <c r="C1044" s="137" t="str">
        <f>CustomOperations!$C$19</f>
        <v>acre</v>
      </c>
      <c r="D1044" s="166">
        <f>CustomOperations!$J$19</f>
        <v>20.38</v>
      </c>
      <c r="E1044" s="166">
        <f>CustomOperations!$J$20*$C$998</f>
        <v>0</v>
      </c>
      <c r="F1044" s="166">
        <f t="shared" si="74"/>
        <v>0</v>
      </c>
      <c r="G1044" s="166"/>
    </row>
    <row r="1045" spans="2:7">
      <c r="B1045" t="str">
        <f>CustomOperations!$B$21</f>
        <v>Bed Shape, Custom</v>
      </c>
      <c r="C1045" s="137" t="str">
        <f>CustomOperations!$C$21</f>
        <v>acre</v>
      </c>
      <c r="D1045" s="166">
        <f>CustomOperations!$J$21</f>
        <v>13.69</v>
      </c>
      <c r="E1045" s="166">
        <f>CustomOperations!$J$22*$C$998</f>
        <v>0</v>
      </c>
      <c r="F1045" s="166">
        <f t="shared" si="74"/>
        <v>0</v>
      </c>
      <c r="G1045" s="166"/>
    </row>
    <row r="1046" spans="2:7">
      <c r="B1046" t="str">
        <f>CustomOperations!$B$32</f>
        <v>Fertilizer Spreader, Custom</v>
      </c>
      <c r="C1046" s="137" t="str">
        <f>CustomOperations!$C$32</f>
        <v>acre</v>
      </c>
      <c r="D1046" s="166">
        <f>CustomOperations!$J$32</f>
        <v>10.08</v>
      </c>
      <c r="E1046" s="166">
        <f>CustomOperations!$J$33*$C$998</f>
        <v>0</v>
      </c>
      <c r="F1046" s="166">
        <f>D1046*E1046</f>
        <v>0</v>
      </c>
      <c r="G1046" s="166"/>
    </row>
    <row r="1047" spans="2:7">
      <c r="B1047" t="str">
        <f>CustomOperations!$B$34</f>
        <v>Laser Landplaning, Custom</v>
      </c>
      <c r="C1047" s="137" t="str">
        <f>CustomOperations!$C$34</f>
        <v>acre</v>
      </c>
      <c r="D1047" s="166">
        <f>CustomOperations!$J$34</f>
        <v>0</v>
      </c>
      <c r="E1047" s="166">
        <f>CustomOperations!$J$35*$C$998</f>
        <v>0</v>
      </c>
      <c r="F1047" s="166">
        <f>D1047*E1047</f>
        <v>0</v>
      </c>
      <c r="G1047" s="166"/>
    </row>
    <row r="1048" spans="2:7">
      <c r="B1048" t="str">
        <f>CustomOperations!$B$30</f>
        <v>Boom Sprayer, Custom</v>
      </c>
      <c r="C1048" s="137" t="str">
        <f>CustomOperations!$C$30</f>
        <v>acre</v>
      </c>
      <c r="D1048" s="166">
        <f>CustomOperations!$J$30</f>
        <v>10.050000000000001</v>
      </c>
      <c r="E1048" s="166">
        <f>CustomOperations!$J$31*$C$998</f>
        <v>0</v>
      </c>
      <c r="F1048" s="166">
        <f t="shared" ref="F1048:F1070" si="75">D1048*E1048</f>
        <v>0</v>
      </c>
      <c r="G1048" s="166"/>
    </row>
    <row r="1049" spans="2:7">
      <c r="B1049" s="463" t="str">
        <f>TillageOperations!$B$7&amp;" (Repairs, maint., fuel &amp; lube)"</f>
        <v>V-Ripper (Repairs, maint., fuel &amp; lube)</v>
      </c>
      <c r="C1049" s="464" t="s">
        <v>157</v>
      </c>
      <c r="D1049" s="166">
        <f>PubMachineryTables!$AM$49+PubMachineryTables!$AN$49</f>
        <v>30.16333889180672</v>
      </c>
      <c r="E1049" s="166">
        <f>TillageOperations!$I$7*$C$998</f>
        <v>0</v>
      </c>
      <c r="F1049" s="166">
        <f t="shared" si="75"/>
        <v>0</v>
      </c>
      <c r="G1049" s="166"/>
    </row>
    <row r="1050" spans="2:7">
      <c r="B1050" s="463" t="str">
        <f>TillageOperations!$B$7&amp;" (Labor)"</f>
        <v>V-Ripper (Labor)</v>
      </c>
      <c r="C1050" s="464" t="s">
        <v>157</v>
      </c>
      <c r="D1050" s="166">
        <f>PubMachineryTables!$AL$49</f>
        <v>13.529312500000001</v>
      </c>
      <c r="E1050" s="166">
        <f>TillageOperations!$I$7*$C$998</f>
        <v>0</v>
      </c>
      <c r="F1050" s="166">
        <f t="shared" si="75"/>
        <v>0</v>
      </c>
      <c r="G1050" s="166"/>
    </row>
    <row r="1051" spans="2:7">
      <c r="B1051" s="463" t="str">
        <f>TillageOperations!$B$8&amp;" (Repairs, maint., fuel &amp; lube)"</f>
        <v>Offset Disk (Repairs, maint., fuel &amp; lube)</v>
      </c>
      <c r="C1051" s="464" t="s">
        <v>157</v>
      </c>
      <c r="D1051" s="166">
        <f>PubMachineryTables!$AN$50+PubMachineryTables!$AM$50</f>
        <v>10.332318567950058</v>
      </c>
      <c r="E1051" s="166">
        <f>TillageOperations!$I$8*$C$998</f>
        <v>0</v>
      </c>
      <c r="F1051" s="166">
        <f t="shared" si="75"/>
        <v>0</v>
      </c>
      <c r="G1051" s="166"/>
    </row>
    <row r="1052" spans="2:7">
      <c r="B1052" s="463" t="str">
        <f>TillageOperations!$B$8&amp;" (Labor)"</f>
        <v>Offset Disk (Labor)</v>
      </c>
      <c r="C1052" s="464" t="s">
        <v>157</v>
      </c>
      <c r="D1052" s="166">
        <f>PubMachineryTables!$AL$50</f>
        <v>4.7161002178649252</v>
      </c>
      <c r="E1052" s="166">
        <f>TillageOperations!$I$8*$C$998</f>
        <v>0</v>
      </c>
      <c r="F1052" s="166">
        <f t="shared" si="75"/>
        <v>0</v>
      </c>
      <c r="G1052" s="166"/>
    </row>
    <row r="1053" spans="2:7">
      <c r="B1053" s="463" t="str">
        <f>TillageOperations!$B$9&amp;" (Repairs, maint., fuel &amp; lube)"</f>
        <v>Drag (Repairs, maint., fuel &amp; lube)</v>
      </c>
      <c r="C1053" s="464" t="s">
        <v>157</v>
      </c>
      <c r="D1053" s="166">
        <f>PubMachineryTables!$AN$51+PubMachineryTables!$AM$51</f>
        <v>2.4803921568627447</v>
      </c>
      <c r="E1053" s="166">
        <f>TillageOperations!$I$9*$C$998</f>
        <v>0</v>
      </c>
      <c r="F1053" s="166">
        <f t="shared" si="75"/>
        <v>0</v>
      </c>
      <c r="G1053" s="166"/>
    </row>
    <row r="1054" spans="2:7">
      <c r="B1054" s="463" t="str">
        <f>TillageOperations!$B$9&amp;" (Labor)"</f>
        <v>Drag (Labor)</v>
      </c>
      <c r="C1054" s="464" t="s">
        <v>157</v>
      </c>
      <c r="D1054" s="166">
        <f>PubMachineryTables!$AL$51</f>
        <v>2.1222450980392158</v>
      </c>
      <c r="E1054" s="166">
        <f>TillageOperations!$I$9*$C$998</f>
        <v>0</v>
      </c>
      <c r="F1054" s="166">
        <f t="shared" si="75"/>
        <v>0</v>
      </c>
      <c r="G1054" s="166"/>
    </row>
    <row r="1055" spans="2:7">
      <c r="B1055" s="463" t="str">
        <f>TillageOperations!$B$10&amp;" (Repairs, maint., fuel &amp; lube)"</f>
        <v>Chisel (Repairs, maint., fuel &amp; lube)</v>
      </c>
      <c r="C1055" s="464" t="s">
        <v>157</v>
      </c>
      <c r="D1055" s="166">
        <f>PubMachineryTables!$AN$52+PubMachineryTables!$AM$52</f>
        <v>8.5884820270019766</v>
      </c>
      <c r="E1055" s="166">
        <f>TillageOperations!$I$10*$C$998</f>
        <v>0</v>
      </c>
      <c r="F1055" s="166">
        <f t="shared" si="75"/>
        <v>0</v>
      </c>
      <c r="G1055" s="166"/>
    </row>
    <row r="1056" spans="2:7">
      <c r="B1056" s="463" t="str">
        <f>TillageOperations!$B$10&amp;" (Labor)"</f>
        <v>Chisel (Labor)</v>
      </c>
      <c r="C1056" s="464" t="s">
        <v>157</v>
      </c>
      <c r="D1056" s="166">
        <f>PubMachineryTables!$AL$52</f>
        <v>3.9792095588235301</v>
      </c>
      <c r="E1056" s="166">
        <f>TillageOperations!$I$10*$C$998</f>
        <v>0</v>
      </c>
      <c r="F1056" s="166">
        <f t="shared" si="75"/>
        <v>0</v>
      </c>
      <c r="G1056" s="166"/>
    </row>
    <row r="1057" spans="2:7">
      <c r="B1057" s="463" t="str">
        <f>TillageOperations!$B$11&amp;" (Repairs, maint., fuel &amp; lube)"</f>
        <v>Moldboard Plow (Repairs, maint., fuel &amp; lube)</v>
      </c>
      <c r="C1057" s="464" t="s">
        <v>157</v>
      </c>
      <c r="D1057" s="166">
        <f>PubMachineryTables!$AN$53+PubMachineryTables!$AM$53</f>
        <v>14.457142857142856</v>
      </c>
      <c r="E1057" s="166">
        <f>TillageOperations!$I$11*$C$998</f>
        <v>0</v>
      </c>
      <c r="F1057" s="166">
        <f t="shared" si="75"/>
        <v>0</v>
      </c>
      <c r="G1057" s="166"/>
    </row>
    <row r="1058" spans="2:7">
      <c r="B1058" s="463" t="str">
        <f>TillageOperations!$B$11&amp;" (Labor)"</f>
        <v>Moldboard Plow (Labor)</v>
      </c>
      <c r="C1058" s="464" t="s">
        <v>157</v>
      </c>
      <c r="D1058" s="166">
        <f>PubMachineryTables!$AL$53</f>
        <v>7.7310357142857153</v>
      </c>
      <c r="E1058" s="166">
        <f>TillageOperations!$I$11*$C$998</f>
        <v>0</v>
      </c>
      <c r="F1058" s="166">
        <f t="shared" si="75"/>
        <v>0</v>
      </c>
      <c r="G1058" s="166"/>
    </row>
    <row r="1059" spans="2:7">
      <c r="B1059" s="463" t="str">
        <f>TillageOperations!$B$12&amp;" (Repairs, maint., fuel &amp; lube)"</f>
        <v>Cultivator (Repairs, maint., fuel &amp; lube)</v>
      </c>
      <c r="C1059" s="464" t="s">
        <v>157</v>
      </c>
      <c r="D1059" s="166">
        <f>PubMachineryTables!$AN$54+PubMachineryTables!$AM$54</f>
        <v>5.7828571428571429</v>
      </c>
      <c r="E1059" s="166">
        <f>TillageOperations!$I$12*$C$998</f>
        <v>0</v>
      </c>
      <c r="F1059" s="166">
        <f t="shared" si="75"/>
        <v>0</v>
      </c>
      <c r="G1059" s="166"/>
    </row>
    <row r="1060" spans="2:7">
      <c r="B1060" s="463" t="str">
        <f>TillageOperations!$B$12&amp;" (Labor)"</f>
        <v>Cultivator (Labor)</v>
      </c>
      <c r="C1060" s="464" t="s">
        <v>157</v>
      </c>
      <c r="D1060" s="166">
        <f>PubMachineryTables!$AL$54</f>
        <v>3.0924142857142862</v>
      </c>
      <c r="E1060" s="166">
        <f>TillageOperations!$I$12*$C$998</f>
        <v>0</v>
      </c>
      <c r="F1060" s="166">
        <f t="shared" si="75"/>
        <v>0</v>
      </c>
      <c r="G1060" s="166"/>
    </row>
    <row r="1061" spans="2:7">
      <c r="B1061" s="463" t="str">
        <f>TillageOperations!$B$13&amp;" (Repairs, maint., fuel &amp; lube)"</f>
        <v>Landplane (Repairs, maint., fuel &amp; lube)</v>
      </c>
      <c r="C1061" s="464" t="s">
        <v>157</v>
      </c>
      <c r="D1061" s="166">
        <f>PubMachineryTables!$AN$55+PubMachineryTables!$AM$55</f>
        <v>8.0445253976590632</v>
      </c>
      <c r="E1061" s="166">
        <f>TillageOperations!$I$13*$C$998</f>
        <v>0</v>
      </c>
      <c r="F1061" s="166">
        <f t="shared" si="75"/>
        <v>0</v>
      </c>
      <c r="G1061" s="166"/>
    </row>
    <row r="1062" spans="2:7">
      <c r="B1062" s="463" t="str">
        <f>TillageOperations!$B$13&amp;" (Labor)"</f>
        <v>Landplane (Labor)</v>
      </c>
      <c r="C1062" s="464" t="s">
        <v>157</v>
      </c>
      <c r="D1062" s="166">
        <f>PubMachineryTables!$AL$55</f>
        <v>3.8655178571428577</v>
      </c>
      <c r="E1062" s="166">
        <f>TillageOperations!$I$13*$C$998</f>
        <v>0</v>
      </c>
      <c r="F1062" s="166">
        <f t="shared" si="75"/>
        <v>0</v>
      </c>
      <c r="G1062" s="166"/>
    </row>
    <row r="1063" spans="2:7">
      <c r="B1063" s="463" t="str">
        <f>TillageOperations!$B$14&amp;" (Repairs, maint., fuel &amp; lube)"</f>
        <v>Float (Repairs, maint., fuel &amp; lube)</v>
      </c>
      <c r="C1063" s="464" t="s">
        <v>157</v>
      </c>
      <c r="D1063" s="166">
        <f>PubMachineryTables!$AN$56+PubMachineryTables!$AM$56</f>
        <v>5.1632653061224492</v>
      </c>
      <c r="E1063" s="166">
        <f>TillageOperations!$I$14*$C$998</f>
        <v>0</v>
      </c>
      <c r="F1063" s="166">
        <f t="shared" si="75"/>
        <v>0</v>
      </c>
      <c r="G1063" s="166"/>
    </row>
    <row r="1064" spans="2:7">
      <c r="B1064" s="463" t="str">
        <f>TillageOperations!$B$14&amp;" (Labor)"</f>
        <v>Float (Labor)</v>
      </c>
      <c r="C1064" s="464" t="s">
        <v>157</v>
      </c>
      <c r="D1064" s="166">
        <f>PubMachineryTables!$AL$56</f>
        <v>4.4177346938775521</v>
      </c>
      <c r="E1064" s="166">
        <f>TillageOperations!$I$14*$C$998</f>
        <v>0</v>
      </c>
      <c r="F1064" s="166">
        <f t="shared" si="75"/>
        <v>0</v>
      </c>
      <c r="G1064" s="166"/>
    </row>
    <row r="1065" spans="2:7">
      <c r="B1065" s="463" t="str">
        <f>TillageOperations!$B$15&amp;" (Repairs, maint., fuel &amp; lube)"</f>
        <v>Lister (Repairs, maint., fuel &amp; lube)</v>
      </c>
      <c r="C1065" s="464" t="s">
        <v>157</v>
      </c>
      <c r="D1065" s="166">
        <f>PubMachineryTables!$AN$57+PubMachineryTables!$AM$57</f>
        <v>11.879642797844287</v>
      </c>
      <c r="E1065" s="166">
        <f>TillageOperations!$I$15*$C$998</f>
        <v>0</v>
      </c>
      <c r="F1065" s="166">
        <f t="shared" si="75"/>
        <v>0</v>
      </c>
      <c r="G1065" s="166"/>
    </row>
    <row r="1066" spans="2:7">
      <c r="B1066" s="463" t="str">
        <f>TillageOperations!$B$15&amp;" (Labor)"</f>
        <v>Lister (Labor)</v>
      </c>
      <c r="C1066" s="464" t="s">
        <v>157</v>
      </c>
      <c r="D1066" s="166">
        <f>PubMachineryTables!$AL$57</f>
        <v>6.1848285714285725</v>
      </c>
      <c r="E1066" s="166">
        <f>TillageOperations!$I$15*$C$998</f>
        <v>0</v>
      </c>
      <c r="F1066" s="166">
        <f t="shared" si="75"/>
        <v>0</v>
      </c>
      <c r="G1066" s="166"/>
    </row>
    <row r="1067" spans="2:7">
      <c r="B1067" s="463" t="str">
        <f>TillageOperations!$B$16&amp;" (Repairs, maint., fuel &amp; lube)"</f>
        <v>Bed Shaper (Repairs, maint., fuel &amp; lube)</v>
      </c>
      <c r="C1067" s="464" t="s">
        <v>157</v>
      </c>
      <c r="D1067" s="166">
        <f>PubMachineryTables!$AN$58+PubMachineryTables!$AM$58</f>
        <v>5.9574634784635725</v>
      </c>
      <c r="E1067" s="166">
        <f>TillageOperations!$I$16*$C$998</f>
        <v>0</v>
      </c>
      <c r="F1067" s="166">
        <f t="shared" si="75"/>
        <v>0</v>
      </c>
      <c r="G1067" s="166"/>
    </row>
    <row r="1068" spans="2:7">
      <c r="B1068" s="463" t="str">
        <f>TillageOperations!$B$16&amp;" (Labor)"</f>
        <v>Bed Shaper (Labor)</v>
      </c>
      <c r="C1068" s="464" t="s">
        <v>157</v>
      </c>
      <c r="D1068" s="166">
        <f>PubMachineryTables!$AL$58</f>
        <v>3.0924142857142862</v>
      </c>
      <c r="E1068" s="166">
        <f>TillageOperations!$I$16*$C$998</f>
        <v>0</v>
      </c>
      <c r="F1068" s="166">
        <f t="shared" si="75"/>
        <v>0</v>
      </c>
      <c r="G1068" s="166"/>
    </row>
    <row r="1069" spans="2:7">
      <c r="B1069" s="463" t="str">
        <f>TillageOperations!$B$19&amp;" (Repairs, maint., fuel &amp; lube)"</f>
        <v>Row Planter (Repairs, maint., fuel &amp; lube)</v>
      </c>
      <c r="C1069" s="464" t="s">
        <v>157</v>
      </c>
      <c r="D1069" s="166">
        <f>PubMachineryTables!$AN$60+PubMachineryTables!$AM$60</f>
        <v>8.8400048303091552</v>
      </c>
      <c r="E1069" s="166">
        <f>TillageOperations!$I$19*$C$998</f>
        <v>0</v>
      </c>
      <c r="F1069" s="166">
        <f t="shared" si="75"/>
        <v>0</v>
      </c>
      <c r="G1069" s="166"/>
    </row>
    <row r="1070" spans="2:7">
      <c r="B1070" s="463" t="str">
        <f>TillageOperations!$B$19&amp;" (Labor)"</f>
        <v>Row Planter (Labor)</v>
      </c>
      <c r="C1070" s="464" t="s">
        <v>157</v>
      </c>
      <c r="D1070" s="166">
        <f>PubMachineryTables!$AL$60</f>
        <v>4.5097708333333344</v>
      </c>
      <c r="E1070" s="166">
        <f>TillageOperations!$I$19*$C$998</f>
        <v>0</v>
      </c>
      <c r="F1070" s="166">
        <f t="shared" si="75"/>
        <v>0</v>
      </c>
      <c r="G1070" s="166"/>
    </row>
    <row r="1071" spans="2:7">
      <c r="B1071" s="463" t="str">
        <f>TillageOperations!$B$20&amp;" (Repairs, maint., fuel &amp; lube)"</f>
        <v>Row Cultivator (Repairs, maint., fuel &amp; lube)</v>
      </c>
      <c r="C1071" s="464" t="s">
        <v>157</v>
      </c>
      <c r="D1071" s="166">
        <f>PubMachineryTables!$AN$61+PubMachineryTables!$AM$61</f>
        <v>3.5823141032725374</v>
      </c>
      <c r="E1071" s="166">
        <f>TillageOperations!$I$20*$C$998</f>
        <v>0</v>
      </c>
      <c r="F1071" s="166">
        <f>D1071*E1071</f>
        <v>0</v>
      </c>
      <c r="G1071" s="166"/>
    </row>
    <row r="1072" spans="2:7">
      <c r="B1072" s="463" t="str">
        <f>TillageOperations!$B$20&amp;" (Labor)"</f>
        <v>Row Cultivator (Labor)</v>
      </c>
      <c r="C1072" s="464" t="s">
        <v>157</v>
      </c>
      <c r="D1072" s="166">
        <f>PubMachineryTables!$AL$61</f>
        <v>3.0065138888888892</v>
      </c>
      <c r="E1072" s="166">
        <f>TillageOperations!$I$20*$C$998</f>
        <v>0</v>
      </c>
      <c r="F1072" s="166">
        <f>D1072*E1072</f>
        <v>0</v>
      </c>
      <c r="G1072" s="166"/>
    </row>
    <row r="1073" spans="2:7">
      <c r="B1073" s="463" t="str">
        <f>TillageOperations!$B$21&amp;" (Repairs, maint., fuel &amp; lube)"</f>
        <v>Drill (Repairs, maint., fuel &amp; lube)</v>
      </c>
      <c r="C1073" s="464" t="s">
        <v>157</v>
      </c>
      <c r="D1073" s="166">
        <f>PubMachineryTables!$AN$62+PubMachineryTables!$AM$62</f>
        <v>7.6986395922631168</v>
      </c>
      <c r="E1073" s="166">
        <f>TillageOperations!$I$21*$C$998</f>
        <v>0</v>
      </c>
      <c r="F1073" s="166">
        <f>D1073*E1073</f>
        <v>0</v>
      </c>
      <c r="G1073" s="166"/>
    </row>
    <row r="1074" spans="2:7">
      <c r="B1074" s="463" t="str">
        <f>TillageOperations!$B$21&amp;" (Labor)"</f>
        <v>Drill (Labor)</v>
      </c>
      <c r="C1074" s="464" t="s">
        <v>157</v>
      </c>
      <c r="D1074" s="166">
        <f>PubMachineryTables!$AL$62</f>
        <v>5.4117250000000006</v>
      </c>
      <c r="E1074" s="166">
        <f>TillageOperations!$I$21*$C$998</f>
        <v>0</v>
      </c>
      <c r="F1074" s="166">
        <f>D1074*E1074</f>
        <v>0</v>
      </c>
      <c r="G1074" s="166"/>
    </row>
    <row r="1075" spans="2:7">
      <c r="B1075" s="75" t="str">
        <f>TillageOperations!$B$27&amp;" (Repairs, maint., fuel &amp; lube)"</f>
        <v>Cotton Picker (Repairs, maint., fuel &amp; lube)</v>
      </c>
      <c r="C1075" s="464" t="s">
        <v>157</v>
      </c>
      <c r="D1075" s="166">
        <f>PubMachineryTables!$AN$67+PubMachineryTables!$AM$67</f>
        <v>20.587703435804702</v>
      </c>
      <c r="E1075" s="166">
        <f>TillageOperations!$I$27*$C$998</f>
        <v>0</v>
      </c>
      <c r="F1075" s="166">
        <f t="shared" ref="F1075:F1082" si="76">D1075*E1075</f>
        <v>0</v>
      </c>
      <c r="G1075" s="166"/>
    </row>
    <row r="1076" spans="2:7">
      <c r="B1076" t="str">
        <f>TillageOperations!$B$27&amp;" (Labor)"</f>
        <v>Cotton Picker (Labor)</v>
      </c>
      <c r="C1076" s="464" t="s">
        <v>157</v>
      </c>
      <c r="D1076" s="166">
        <f>PubMachineryTables!$AL$67</f>
        <v>7.3395908679927677</v>
      </c>
      <c r="E1076" s="166">
        <f>TillageOperations!$I$27*$C$998</f>
        <v>0</v>
      </c>
      <c r="F1076" s="166">
        <f t="shared" si="76"/>
        <v>0</v>
      </c>
      <c r="G1076" s="166"/>
    </row>
    <row r="1077" spans="2:7">
      <c r="B1077" s="75" t="str">
        <f>TillageOperations!$B$28&amp;" (Repairs, maint., fuel &amp; lube)"</f>
        <v>Module Unit (Repairs, maint., fuel &amp; lube)</v>
      </c>
      <c r="C1077" s="464" t="s">
        <v>157</v>
      </c>
      <c r="D1077" s="166">
        <f>PubMachineryTables!$AN$68+PubMachineryTables!$AM$68</f>
        <v>7.0644080416976918</v>
      </c>
      <c r="E1077" s="166">
        <f>TillageOperations!$I$28*$C$998</f>
        <v>0</v>
      </c>
      <c r="F1077" s="166">
        <f t="shared" si="76"/>
        <v>0</v>
      </c>
      <c r="G1077" s="166"/>
    </row>
    <row r="1078" spans="2:7">
      <c r="B1078" t="str">
        <f>TillageOperations!$B$28&amp;" (Labor)"</f>
        <v>Module Unit (Labor)</v>
      </c>
      <c r="C1078" s="464" t="s">
        <v>157</v>
      </c>
      <c r="D1078" s="166">
        <f>PubMachineryTables!$AL$68</f>
        <v>6.0443689501116911</v>
      </c>
      <c r="E1078" s="166">
        <f>TillageOperations!$I$28*$C$998</f>
        <v>0</v>
      </c>
      <c r="F1078" s="166">
        <f t="shared" si="76"/>
        <v>0</v>
      </c>
      <c r="G1078" s="166"/>
    </row>
    <row r="1079" spans="2:7">
      <c r="B1079" t="str">
        <f>TillageOperations!$B$29&amp;" (Repairs, maint., fuel &amp; lube)"</f>
        <v>Haul Cotton (Repairs, maint., fuel &amp; lube)</v>
      </c>
      <c r="C1079" s="464" t="s">
        <v>157</v>
      </c>
      <c r="D1079" s="166">
        <f>PubMachineryTables!$AN$69+PubMachineryTables!$AM$69</f>
        <v>7.0644080416976918</v>
      </c>
      <c r="E1079" s="166">
        <f>TillageOperations!$I$29*$C$998</f>
        <v>0</v>
      </c>
      <c r="F1079" s="166">
        <f t="shared" si="76"/>
        <v>0</v>
      </c>
      <c r="G1079" s="166"/>
    </row>
    <row r="1080" spans="2:7">
      <c r="B1080" t="str">
        <f>TillageOperations!$B$29&amp;" (Labor)"</f>
        <v>Haul Cotton (Labor)</v>
      </c>
      <c r="C1080" s="464" t="s">
        <v>157</v>
      </c>
      <c r="D1080" s="166">
        <f>PubMachineryTables!$AL$69</f>
        <v>6.0443689501116911</v>
      </c>
      <c r="E1080" s="166">
        <f>TillageOperations!$I$29*$C$998</f>
        <v>0</v>
      </c>
      <c r="F1080" s="166">
        <f t="shared" si="76"/>
        <v>0</v>
      </c>
      <c r="G1080" s="166"/>
    </row>
    <row r="1081" spans="2:7">
      <c r="B1081" t="str">
        <f>TillageOperations!$B$17&amp;" (Repairs, maint., fuel &amp; lube)"</f>
        <v>Cotton Shredder/Root Puller (Repairs, maint., fuel &amp; lube)</v>
      </c>
      <c r="C1081" s="464" t="s">
        <v>157</v>
      </c>
      <c r="D1081" s="166">
        <f>PubMachineryTables!$AN$59+PubMachineryTables!$AM$59</f>
        <v>3.4657534246575339</v>
      </c>
      <c r="E1081" s="166">
        <f>TillageOperations!$I$17*$C$998</f>
        <v>0</v>
      </c>
      <c r="F1081" s="166">
        <f t="shared" si="76"/>
        <v>0</v>
      </c>
      <c r="G1081" s="166"/>
    </row>
    <row r="1082" spans="2:7">
      <c r="B1082" t="str">
        <f>TillageOperations!$B$17&amp;" (Labor)"</f>
        <v>Cotton Shredder/Root Puller (Labor)</v>
      </c>
      <c r="C1082" s="464" t="s">
        <v>157</v>
      </c>
      <c r="D1082" s="166">
        <f>PubMachineryTables!$AL$59</f>
        <v>2.965328767123288</v>
      </c>
      <c r="E1082" s="166">
        <f>TillageOperations!$I$17*$C$998</f>
        <v>0</v>
      </c>
      <c r="F1082" s="166">
        <f t="shared" si="76"/>
        <v>0</v>
      </c>
      <c r="G1082" s="166"/>
    </row>
    <row r="1083" spans="2:7">
      <c r="B1083" t="str">
        <f>TillageOperations!$B$30&amp;" (Repairs, maint., fuel &amp; lube)"</f>
        <v>Combine (Repairs, maint., fuel &amp; lube)</v>
      </c>
      <c r="C1083" s="464" t="s">
        <v>157</v>
      </c>
      <c r="D1083" s="166">
        <f>PubMachineryTables!$AN$70+PubMachineryTables!$AM$70</f>
        <v>4.8939818019913757</v>
      </c>
      <c r="E1083" s="166">
        <f>TillageOperations!$I$30*$C$998</f>
        <v>0</v>
      </c>
      <c r="F1083" s="166">
        <f>D1083*E1083</f>
        <v>0</v>
      </c>
      <c r="G1083" s="166"/>
    </row>
    <row r="1084" spans="2:7">
      <c r="B1084" t="str">
        <f>TillageOperations!$B$30&amp;" (Labor)"</f>
        <v>Combine (Labor)</v>
      </c>
      <c r="C1084" s="464" t="s">
        <v>157</v>
      </c>
      <c r="D1084" s="166">
        <f>PubMachineryTables!$AL$70</f>
        <v>1.591683823529412</v>
      </c>
      <c r="E1084" s="166">
        <f>TillageOperations!$I$30*$C$998</f>
        <v>0</v>
      </c>
      <c r="F1084" s="166">
        <f>D1084*E1084</f>
        <v>0</v>
      </c>
      <c r="G1084" s="166"/>
    </row>
    <row r="1085" spans="2:7">
      <c r="B1085" t="str">
        <f>TillageOperations!$B$31&amp;" (Repairs, maint., fuel &amp; lube)"</f>
        <v>Grain Cart (Repairs, maint., fuel &amp; lube)</v>
      </c>
      <c r="C1085" s="464" t="s">
        <v>157</v>
      </c>
      <c r="D1085" s="166">
        <f>PubMachineryTables!$AN$71+PubMachineryTables!$AM$71</f>
        <v>3.2163097667975675</v>
      </c>
      <c r="E1085" s="166">
        <f>TillageOperations!$I$31*$C$998</f>
        <v>0</v>
      </c>
      <c r="F1085" s="166">
        <f>D1085*E1085</f>
        <v>0</v>
      </c>
      <c r="G1085" s="166"/>
    </row>
    <row r="1086" spans="2:7">
      <c r="B1086" t="str">
        <f>TillageOperations!$B$31&amp;" (Labor)"</f>
        <v>Grain Cart (Labor)</v>
      </c>
      <c r="C1086" s="464" t="s">
        <v>157</v>
      </c>
      <c r="D1086" s="166">
        <f>PubMachineryTables!$AL$71</f>
        <v>1.591683823529412</v>
      </c>
      <c r="E1086" s="166">
        <f>TillageOperations!$I$31*$C$998</f>
        <v>0</v>
      </c>
      <c r="F1086" s="166">
        <f>D1086*E1086</f>
        <v>0</v>
      </c>
      <c r="G1086" s="166"/>
    </row>
    <row r="1087" spans="2:7">
      <c r="B1087" t="str">
        <f>TillageOperations!$B$32&amp;" (Repairs, maint., fuel &amp; lube)"</f>
        <v>Swather (Repairs, maint., fuel &amp; lube)</v>
      </c>
      <c r="C1087" s="464" t="s">
        <v>157</v>
      </c>
      <c r="D1087" s="166">
        <f>PubMachineryTables!$AN$72+PubMachineryTables!$AM$72</f>
        <v>2.0239999999999996</v>
      </c>
      <c r="E1087" s="166">
        <f>TillageOperations!$I$32*$C$998</f>
        <v>0</v>
      </c>
      <c r="F1087" s="166">
        <f t="shared" ref="F1087:F1111" si="77">D1087*E1087</f>
        <v>0</v>
      </c>
      <c r="G1087" s="166"/>
    </row>
    <row r="1088" spans="2:7">
      <c r="B1088" t="str">
        <f>TillageOperations!$B$32&amp;" (Labor)"</f>
        <v>Swather (Labor)</v>
      </c>
      <c r="C1088" s="464" t="s">
        <v>157</v>
      </c>
      <c r="D1088" s="166">
        <f>PubMachineryTables!$AL$72</f>
        <v>2.1646900000000002</v>
      </c>
      <c r="E1088" s="166">
        <f>TillageOperations!$I$32*$C$998</f>
        <v>0</v>
      </c>
      <c r="F1088" s="166">
        <f t="shared" si="77"/>
        <v>0</v>
      </c>
      <c r="G1088" s="166"/>
    </row>
    <row r="1089" spans="2:7">
      <c r="B1089" t="str">
        <f>TillageOperations!$B$33&amp;" (Repairs, maint., fuel &amp; lube)"</f>
        <v>Baler (Repairs, maint., fuel &amp; lube)</v>
      </c>
      <c r="C1089" s="464" t="s">
        <v>157</v>
      </c>
      <c r="D1089" s="166">
        <f>PubMachineryTables!$AN$73+PubMachineryTables!$AM$73</f>
        <v>3.953125</v>
      </c>
      <c r="E1089" s="166">
        <f>TillageOperations!$I$33*$C$998</f>
        <v>0</v>
      </c>
      <c r="F1089" s="166">
        <f t="shared" si="77"/>
        <v>0</v>
      </c>
      <c r="G1089" s="166"/>
    </row>
    <row r="1090" spans="2:7">
      <c r="B1090" t="str">
        <f>TillageOperations!$B$33&amp;" (Labor)"</f>
        <v>Baler (Labor)</v>
      </c>
      <c r="C1090" s="464" t="s">
        <v>157</v>
      </c>
      <c r="D1090" s="166">
        <f>PubMachineryTables!$AL$73</f>
        <v>3.3823281250000004</v>
      </c>
      <c r="E1090" s="166">
        <f>TillageOperations!$I$33*$C$998</f>
        <v>0</v>
      </c>
      <c r="F1090" s="166">
        <f t="shared" si="77"/>
        <v>0</v>
      </c>
      <c r="G1090" s="166"/>
    </row>
    <row r="1091" spans="2:7">
      <c r="B1091" t="str">
        <f>TillageOperations!$B$34&amp;" (Repairs, maint., fuel &amp; lube)"</f>
        <v>Swather (Repairs, maint., fuel &amp; lube)</v>
      </c>
      <c r="C1091" s="464" t="s">
        <v>157</v>
      </c>
      <c r="D1091" s="166">
        <f>PubMachineryTables!$AN$74+PubMachineryTables!$AM$74</f>
        <v>19.46153846153846</v>
      </c>
      <c r="E1091" s="166">
        <f>TillageOperations!$I$34*$C$998</f>
        <v>0</v>
      </c>
      <c r="F1091" s="166">
        <f t="shared" si="77"/>
        <v>0</v>
      </c>
      <c r="G1091" s="166"/>
    </row>
    <row r="1092" spans="2:7">
      <c r="B1092" t="str">
        <f>TillageOperations!$B$34&amp;" (Labor)"</f>
        <v>Swather (Labor)</v>
      </c>
      <c r="C1092" s="464" t="s">
        <v>157</v>
      </c>
      <c r="D1092" s="166">
        <f>PubMachineryTables!$AL$74</f>
        <v>20.814326923076923</v>
      </c>
      <c r="E1092" s="166">
        <f>TillageOperations!$I$34*$C$998</f>
        <v>0</v>
      </c>
      <c r="F1092" s="166">
        <f t="shared" si="77"/>
        <v>0</v>
      </c>
      <c r="G1092" s="166"/>
    </row>
    <row r="1093" spans="2:7">
      <c r="B1093" t="str">
        <f>TillageOperations!$B$35&amp;" (Repairs, maint., fuel &amp; lube)"</f>
        <v>Baler (Repairs, maint., fuel &amp; lube)</v>
      </c>
      <c r="C1093" s="464" t="s">
        <v>157</v>
      </c>
      <c r="D1093" s="166">
        <f>PubMachineryTables!$AN$75+PubMachineryTables!$AM$75</f>
        <v>24.326923076923073</v>
      </c>
      <c r="E1093" s="166">
        <f>TillageOperations!$I$35*$C$998</f>
        <v>0</v>
      </c>
      <c r="F1093" s="166">
        <f t="shared" si="77"/>
        <v>0</v>
      </c>
      <c r="G1093" s="166"/>
    </row>
    <row r="1094" spans="2:7">
      <c r="B1094" t="str">
        <f>TillageOperations!$B$35&amp;" (Labor)"</f>
        <v>Baler (Labor)</v>
      </c>
      <c r="C1094" s="464" t="s">
        <v>157</v>
      </c>
      <c r="D1094" s="166">
        <f>PubMachineryTables!$AL$75</f>
        <v>20.814326923076923</v>
      </c>
      <c r="E1094" s="166">
        <f>TillageOperations!$I$35*$C$998</f>
        <v>0</v>
      </c>
      <c r="F1094" s="166">
        <f t="shared" si="77"/>
        <v>0</v>
      </c>
      <c r="G1094" s="166"/>
    </row>
    <row r="1095" spans="2:7">
      <c r="B1095" t="str">
        <f>'Inputs&amp;PricesbyCrop'!$B$31</f>
        <v xml:space="preserve">   - Baling Twine</v>
      </c>
      <c r="C1095" s="137" t="str">
        <f>'Inputs&amp;PricesbyCrop'!$C$31</f>
        <v>acre</v>
      </c>
      <c r="D1095" s="166">
        <f>'Inputs&amp;PricesbyCrop'!$J$31</f>
        <v>0</v>
      </c>
      <c r="E1095" s="166">
        <f>C998</f>
        <v>0</v>
      </c>
      <c r="F1095" s="166">
        <f t="shared" si="77"/>
        <v>0</v>
      </c>
      <c r="G1095" s="166"/>
    </row>
    <row r="1096" spans="2:7">
      <c r="B1096" t="str">
        <f>TillageOperations!$B$36&amp;" (Repairs, maint., fuel &amp; lube)"</f>
        <v>Bale Wagon (Repairs, maint., fuel &amp; lube)</v>
      </c>
      <c r="C1096" s="464" t="s">
        <v>157</v>
      </c>
      <c r="D1096" s="166">
        <f>PubMachineryTables!$AN$76+PubMachineryTables!$AM$76</f>
        <v>3.1624999999999996</v>
      </c>
      <c r="E1096" s="166">
        <f>TillageOperations!$I$36*$C$998</f>
        <v>0</v>
      </c>
      <c r="F1096" s="166">
        <f t="shared" si="77"/>
        <v>0</v>
      </c>
      <c r="G1096" s="166"/>
    </row>
    <row r="1097" spans="2:7">
      <c r="B1097" t="str">
        <f>TillageOperations!$B$36&amp;" (Labor)"</f>
        <v>Bale Wagon (Labor)</v>
      </c>
      <c r="C1097" s="464" t="s">
        <v>157</v>
      </c>
      <c r="D1097" s="166">
        <f>PubMachineryTables!$AL$76</f>
        <v>3.3823281250000004</v>
      </c>
      <c r="E1097" s="166">
        <f>TillageOperations!$I$36*$C$998</f>
        <v>0</v>
      </c>
      <c r="F1097" s="166">
        <f t="shared" si="77"/>
        <v>0</v>
      </c>
      <c r="G1097" s="166"/>
    </row>
    <row r="1098" spans="2:7">
      <c r="B1098" t="str">
        <f>TillageOperations!$B$23&amp;" (Repairs, maint., fuel &amp; lube)"</f>
        <v>Fertilizer Spreader (Repairs, maint., fuel &amp; lube)</v>
      </c>
      <c r="C1098" s="464" t="s">
        <v>157</v>
      </c>
      <c r="D1098" s="166">
        <f>PubMachineryTables!$AM$64+PubMachineryTables!$AN$64</f>
        <v>2.6573732562743069</v>
      </c>
      <c r="E1098" s="166">
        <f>TillageOperations!$I$23*$C$998</f>
        <v>0</v>
      </c>
      <c r="F1098" s="168">
        <f t="shared" si="77"/>
        <v>0</v>
      </c>
      <c r="G1098" s="168"/>
    </row>
    <row r="1099" spans="2:7">
      <c r="B1099" t="str">
        <f>TillageOperations!$B$23&amp;" (Labor)"</f>
        <v>Fertilizer Spreader (Labor)</v>
      </c>
      <c r="C1099" s="464" t="s">
        <v>157</v>
      </c>
      <c r="D1099" s="166">
        <f>PubMachineryTables!$AL$64</f>
        <v>1.879071180555556</v>
      </c>
      <c r="E1099" s="166">
        <f>TillageOperations!$I$23*$C$998</f>
        <v>0</v>
      </c>
      <c r="F1099" s="168">
        <f t="shared" si="77"/>
        <v>0</v>
      </c>
      <c r="G1099" s="168"/>
    </row>
    <row r="1100" spans="2:7">
      <c r="B1100" t="str">
        <f>TillageOperations!$B$24&amp;" (Repairs, maint., fuel &amp; lube)"</f>
        <v>Fertilizer Injection System (Repairs, maint., fuel &amp; lube)</v>
      </c>
      <c r="C1100" s="464" t="s">
        <v>157</v>
      </c>
      <c r="D1100" s="166">
        <f>PubMachineryTables!$AM$65+PubMachineryTables!$AN$65</f>
        <v>8.4333333333333336</v>
      </c>
      <c r="E1100" s="166">
        <f>TillageOperations!$I$24*$C$998</f>
        <v>0</v>
      </c>
      <c r="F1100" s="168">
        <f t="shared" si="77"/>
        <v>0</v>
      </c>
      <c r="G1100" s="168"/>
    </row>
    <row r="1101" spans="2:7">
      <c r="B1101" t="str">
        <f>TillageOperations!$B$24&amp;" (Labor)"</f>
        <v>Fertilizer Injection System (Labor)</v>
      </c>
      <c r="C1101" s="464" t="s">
        <v>157</v>
      </c>
      <c r="D1101" s="166">
        <f>PubMachineryTables!$AL$65</f>
        <v>4.5097708333333344</v>
      </c>
      <c r="E1101" s="166">
        <f>TillageOperations!$I$24*$C$998</f>
        <v>0</v>
      </c>
      <c r="F1101" s="168">
        <f t="shared" si="77"/>
        <v>0</v>
      </c>
      <c r="G1101" s="168"/>
    </row>
    <row r="1102" spans="2:7">
      <c r="B1102" t="str">
        <f>TillageOperations!$B$25&amp;" (Repairs, maint., fuel &amp; lube)"</f>
        <v>Boom Sprayer (Repairs, maint., fuel &amp; lube)</v>
      </c>
      <c r="C1102" s="464" t="s">
        <v>157</v>
      </c>
      <c r="D1102" s="166">
        <f>PubMachineryTables!AN$66+PubMachineryTables!$AM$66</f>
        <v>1.5996307048468115</v>
      </c>
      <c r="E1102" s="166">
        <f>TillageOperations!$I$25*$C$998</f>
        <v>0</v>
      </c>
      <c r="F1102" s="166">
        <f t="shared" si="77"/>
        <v>0</v>
      </c>
      <c r="G1102" s="166"/>
    </row>
    <row r="1103" spans="2:7">
      <c r="B1103" t="str">
        <f>TillageOperations!$B$25&amp;" (Labor)"</f>
        <v>Boom Sprayer (Labor)</v>
      </c>
      <c r="C1103" s="464" t="s">
        <v>157</v>
      </c>
      <c r="D1103" s="166">
        <f>PubMachineryTables!$AL$66</f>
        <v>1.1893901098901098</v>
      </c>
      <c r="E1103" s="166">
        <f>TillageOperations!$I$25*$C$998</f>
        <v>0</v>
      </c>
      <c r="F1103" s="166">
        <f t="shared" si="77"/>
        <v>0</v>
      </c>
      <c r="G1103" s="166"/>
    </row>
    <row r="1104" spans="2:7">
      <c r="B1104" t="str">
        <f>TillageOperations!$B$22&amp;" (Repairs, maint., fuel &amp; lube)"</f>
        <v>Transplanter (Repairs, maint., fuel &amp; lube)</v>
      </c>
      <c r="C1104" s="464" t="s">
        <v>157</v>
      </c>
      <c r="D1104" s="166">
        <f>PubMachineryTables!AN$63+PubMachineryTables!$AM$63</f>
        <v>61.668749999999996</v>
      </c>
      <c r="E1104" s="166">
        <f>TillageOperations!$I$22*$C$998</f>
        <v>0</v>
      </c>
      <c r="F1104" s="170">
        <f>D1104*E1104</f>
        <v>0</v>
      </c>
      <c r="G1104" s="170"/>
    </row>
    <row r="1105" spans="2:7">
      <c r="B1105" t="str">
        <f>TillageOperations!$B$22&amp;" (Labor)"</f>
        <v>Transplanter (Labor)</v>
      </c>
      <c r="C1105" s="464" t="s">
        <v>157</v>
      </c>
      <c r="D1105" s="166">
        <f>PubMachineryTables!$AL$63</f>
        <v>20.293968750000001</v>
      </c>
      <c r="E1105" s="166">
        <f>TillageOperations!$I$22*$C$998</f>
        <v>0</v>
      </c>
      <c r="F1105" s="166">
        <f t="shared" si="77"/>
        <v>0</v>
      </c>
      <c r="G1105" s="166"/>
    </row>
    <row r="1106" spans="2:7">
      <c r="B1106" t="str">
        <f>'Inputs&amp;PricesbyCrop'!$B$14</f>
        <v>Additional Land Prep. Labor</v>
      </c>
      <c r="C1106" s="137" t="str">
        <f>'Inputs&amp;PricesbyCrop'!$C$14</f>
        <v>hour</v>
      </c>
      <c r="D1106" s="166">
        <f>GeneralInputPrices!$D$30</f>
        <v>14.55</v>
      </c>
      <c r="E1106" s="166">
        <f>'Inputs&amp;PricesbyCrop'!$J$14*BASEBUDGETS!$C998</f>
        <v>0</v>
      </c>
      <c r="F1106" s="166">
        <f t="shared" si="77"/>
        <v>0</v>
      </c>
      <c r="G1106" s="166"/>
    </row>
    <row r="1107" spans="2:7">
      <c r="B1107" t="str">
        <f>'Inputs&amp;PricesbyCrop'!$B$15</f>
        <v>Additional Land Prep. Labor</v>
      </c>
      <c r="C1107" s="137" t="str">
        <f>'Inputs&amp;PricesbyCrop'!$C$15</f>
        <v>hour</v>
      </c>
      <c r="D1107" s="166">
        <f>GeneralInputPrices!$D$30</f>
        <v>14.55</v>
      </c>
      <c r="E1107" s="166">
        <f>'Inputs&amp;PricesbyCrop'!$J$15*BASEBUDGETS!$C998</f>
        <v>0</v>
      </c>
      <c r="F1107" s="166">
        <f t="shared" si="77"/>
        <v>0</v>
      </c>
      <c r="G1107" s="166"/>
    </row>
    <row r="1108" spans="2:7">
      <c r="B1108" t="str">
        <f>'Inputs&amp;PricesbyCrop'!$B$17</f>
        <v>Additional Crop Prod. Labor</v>
      </c>
      <c r="C1108" s="137" t="str">
        <f>'Inputs&amp;PricesbyCrop'!$C$17</f>
        <v>hour</v>
      </c>
      <c r="D1108" s="166">
        <f>GeneralInputPrices!$D$31</f>
        <v>14.55</v>
      </c>
      <c r="E1108" s="166">
        <f>'Inputs&amp;PricesbyCrop'!$J$17*BASEBUDGETS!$C998</f>
        <v>0</v>
      </c>
      <c r="F1108" s="166">
        <f t="shared" si="77"/>
        <v>0</v>
      </c>
      <c r="G1108" s="166"/>
    </row>
    <row r="1109" spans="2:7">
      <c r="B1109" t="str">
        <f>'Inputs&amp;PricesbyCrop'!$B$18</f>
        <v>Additional Crop Prod. Labor</v>
      </c>
      <c r="C1109" s="137" t="str">
        <f>'Inputs&amp;PricesbyCrop'!$C$18</f>
        <v>hour</v>
      </c>
      <c r="D1109" s="166">
        <f>GeneralInputPrices!$D$31</f>
        <v>14.55</v>
      </c>
      <c r="E1109" s="166">
        <f>'Inputs&amp;PricesbyCrop'!$J$18*BASEBUDGETS!$C998</f>
        <v>0</v>
      </c>
      <c r="F1109" s="166">
        <f t="shared" si="77"/>
        <v>0</v>
      </c>
      <c r="G1109" s="166"/>
    </row>
    <row r="1110" spans="2:7">
      <c r="B1110" t="str">
        <f>'Inputs&amp;PricesbyCrop'!$B$20</f>
        <v>Additional Harvest Labor</v>
      </c>
      <c r="C1110" s="137" t="str">
        <f>'Inputs&amp;PricesbyCrop'!$C$20</f>
        <v>hour</v>
      </c>
      <c r="D1110" s="166">
        <f>GeneralInputPrices!$D$32</f>
        <v>17.89</v>
      </c>
      <c r="E1110" s="166">
        <f>'Inputs&amp;PricesbyCrop'!$J$20*BASEBUDGETS!$C998</f>
        <v>0</v>
      </c>
      <c r="F1110" s="166">
        <f t="shared" si="77"/>
        <v>0</v>
      </c>
      <c r="G1110" s="166"/>
    </row>
    <row r="1111" spans="2:7">
      <c r="B1111" t="str">
        <f>'Inputs&amp;PricesbyCrop'!$B$21</f>
        <v>Additional Harvest Labor</v>
      </c>
      <c r="C1111" s="137" t="str">
        <f>'Inputs&amp;PricesbyCrop'!$C$21</f>
        <v>hour</v>
      </c>
      <c r="D1111" s="166">
        <f>GeneralInputPrices!$D$32</f>
        <v>17.89</v>
      </c>
      <c r="E1111" s="166">
        <f>'Inputs&amp;PricesbyCrop'!$J$21*BASEBUDGETS!$C998</f>
        <v>0</v>
      </c>
      <c r="F1111" s="166">
        <f t="shared" si="77"/>
        <v>0</v>
      </c>
      <c r="G1111" s="166"/>
    </row>
    <row r="1112" spans="2:7">
      <c r="B1112" t="s">
        <v>59</v>
      </c>
      <c r="C1112" s="137" t="str">
        <f>GeneralInputPrices!$C$34</f>
        <v>percent</v>
      </c>
      <c r="D1112" s="138">
        <f>GeneralInputPrices!$D$34</f>
        <v>0.05</v>
      </c>
      <c r="E1112" s="75" t="s">
        <v>10</v>
      </c>
      <c r="F1112" s="37">
        <f>SUM(F1006:F1111)*D1112</f>
        <v>0</v>
      </c>
      <c r="G1112" s="37"/>
    </row>
    <row r="1113" spans="2:7">
      <c r="B1113" t="s">
        <v>60</v>
      </c>
      <c r="C1113" s="137" t="str">
        <f>GeneralInputPrices!$C$34</f>
        <v>percent</v>
      </c>
      <c r="D1113" s="138">
        <f>GeneralInputPrices!$D$35</f>
        <v>0.06</v>
      </c>
      <c r="F1113" s="139">
        <f>SUM(F1006:F1112)*((D1113/12)*GeneralInputPrices!$D$39)</f>
        <v>0</v>
      </c>
      <c r="G1113" s="139"/>
    </row>
    <row r="1114" spans="2:7">
      <c r="B1114" t="s">
        <v>61</v>
      </c>
      <c r="D1114" s="454"/>
      <c r="F1114" s="37">
        <f>SUM(F1006:F1113)</f>
        <v>0</v>
      </c>
      <c r="G1114" s="37"/>
    </row>
    <row r="1115" spans="2:7">
      <c r="D1115" s="454"/>
    </row>
    <row r="1116" spans="2:7">
      <c r="B1116" s="140" t="s">
        <v>129</v>
      </c>
      <c r="C1116" s="458" t="s">
        <v>1</v>
      </c>
      <c r="D1116" s="459" t="s">
        <v>24</v>
      </c>
      <c r="E1116" s="460" t="s">
        <v>25</v>
      </c>
      <c r="F1116" s="460" t="s">
        <v>0</v>
      </c>
      <c r="G1116" s="277"/>
    </row>
    <row r="1117" spans="2:7">
      <c r="B1117" t="str">
        <f>GeneralInputPrices!$B$15&amp;" - Upfront Costs for New System"</f>
        <v>Flood - Upfront Costs for New System</v>
      </c>
      <c r="C1117" s="453" t="str">
        <f>GeneralInputPrices!$C$16</f>
        <v>acre</v>
      </c>
      <c r="D1117">
        <f>IF('BreakevenInputs&amp;Resources'!T$16=0,0,(('BreakevenInputs&amp;Resources'!T$16/GeneralInputPrices!$D$17)*('AcresYieldsPrices&amp;Water'!$Q$14/'AcresYieldsPrices&amp;Water'!$Q$31))/$C998)</f>
        <v>0</v>
      </c>
      <c r="E1117" s="166">
        <f>$C998</f>
        <v>0</v>
      </c>
      <c r="F1117" s="166">
        <f>D1117*E1117</f>
        <v>0</v>
      </c>
      <c r="G1117" s="163"/>
    </row>
    <row r="1118" spans="2:7">
      <c r="B1118" t="str">
        <f>GeneralInputPrices!$B$19&amp;" - Upfront Costs for New System"</f>
        <v>Drip-tape - Upfront Costs for New System</v>
      </c>
      <c r="C1118" s="453" t="str">
        <f>GeneralInputPrices!$C$20</f>
        <v>acre</v>
      </c>
      <c r="D1118">
        <f>IF('BreakevenInputs&amp;Resources'!T$17=0,0,(('BreakevenInputs&amp;Resources'!T$17/GeneralInputPrices!$D$21)*('AcresYieldsPrices&amp;Water'!$Q$14/'AcresYieldsPrices&amp;Water'!$Q$31))/$C998)</f>
        <v>0</v>
      </c>
      <c r="E1118" s="166">
        <f>$C998</f>
        <v>0</v>
      </c>
      <c r="F1118" s="166">
        <f>D1118*E1118</f>
        <v>0</v>
      </c>
      <c r="G1118" s="163"/>
    </row>
    <row r="1119" spans="2:7">
      <c r="B1119" t="str">
        <f>GeneralInputPrices!$B$23&amp;" - Upfront Costs for New System"</f>
        <v>Sprinkler - Upfront Costs for New System</v>
      </c>
      <c r="C1119" s="453" t="str">
        <f>GeneralInputPrices!$C$24</f>
        <v>acre</v>
      </c>
      <c r="D1119">
        <f>IF('BreakevenInputs&amp;Resources'!T$18=0,0,(('BreakevenInputs&amp;Resources'!T$18/GeneralInputPrices!$D$25)*('AcresYieldsPrices&amp;Water'!$Q$14/'AcresYieldsPrices&amp;Water'!$Q$31))/$C998)</f>
        <v>0</v>
      </c>
      <c r="E1119" s="166">
        <f>$C998</f>
        <v>0</v>
      </c>
      <c r="F1119" s="166">
        <f>D1119*E1119</f>
        <v>0</v>
      </c>
      <c r="G1119" s="163"/>
    </row>
    <row r="1120" spans="2:7">
      <c r="B1120" s="463" t="str">
        <f>TillageOperations!$B$7</f>
        <v>V-Ripper</v>
      </c>
      <c r="C1120" s="464" t="s">
        <v>157</v>
      </c>
      <c r="D1120" s="166">
        <f>PubMachineryTables!$AO$49</f>
        <v>209.18701372031111</v>
      </c>
      <c r="E1120" s="166">
        <f>E1049</f>
        <v>0</v>
      </c>
      <c r="F1120" s="168">
        <f t="shared" ref="F1120:F1131" si="78">D1120*E1120</f>
        <v>0</v>
      </c>
      <c r="G1120" s="168"/>
    </row>
    <row r="1121" spans="2:7">
      <c r="B1121" s="463" t="str">
        <f>TillageOperations!$B$8</f>
        <v>Offset Disk</v>
      </c>
      <c r="C1121" s="464" t="s">
        <v>157</v>
      </c>
      <c r="D1121" s="166">
        <f>PubMachineryTables!$AO$50</f>
        <v>42.467441655558019</v>
      </c>
      <c r="E1121" s="166">
        <f>E1051</f>
        <v>0</v>
      </c>
      <c r="F1121" s="166">
        <f t="shared" si="78"/>
        <v>0</v>
      </c>
      <c r="G1121" s="166"/>
    </row>
    <row r="1122" spans="2:7">
      <c r="B1122" s="463" t="str">
        <f>TillageOperations!$B$9</f>
        <v>Drag</v>
      </c>
      <c r="C1122" s="464" t="s">
        <v>157</v>
      </c>
      <c r="D1122" s="166">
        <f>PubMachineryTables!$AO$51</f>
        <v>0</v>
      </c>
      <c r="E1122" s="166">
        <f>E1053</f>
        <v>0</v>
      </c>
      <c r="F1122" s="166">
        <f t="shared" si="78"/>
        <v>0</v>
      </c>
      <c r="G1122" s="166"/>
    </row>
    <row r="1123" spans="2:7">
      <c r="B1123" s="463" t="str">
        <f>TillageOperations!$B$10</f>
        <v>Chisel</v>
      </c>
      <c r="C1123" s="464" t="s">
        <v>157</v>
      </c>
      <c r="D1123" s="166">
        <f>PubMachineryTables!$AO$52</f>
        <v>40.724752902248241</v>
      </c>
      <c r="E1123" s="166">
        <f>E1055</f>
        <v>0</v>
      </c>
      <c r="F1123" s="166">
        <f t="shared" si="78"/>
        <v>0</v>
      </c>
      <c r="G1123" s="166"/>
    </row>
    <row r="1124" spans="2:7">
      <c r="B1124" s="463" t="str">
        <f>TillageOperations!$B$11</f>
        <v>Moldboard Plow</v>
      </c>
      <c r="C1124" s="464" t="s">
        <v>157</v>
      </c>
      <c r="D1124" s="166">
        <f>PubMachineryTables!$AO$53</f>
        <v>0</v>
      </c>
      <c r="E1124" s="166">
        <f>E1057</f>
        <v>0</v>
      </c>
      <c r="F1124" s="166">
        <f t="shared" si="78"/>
        <v>0</v>
      </c>
      <c r="G1124" s="166"/>
    </row>
    <row r="1125" spans="2:7">
      <c r="B1125" s="463" t="str">
        <f>TillageOperations!$B$12</f>
        <v>Cultivator</v>
      </c>
      <c r="C1125" s="464" t="s">
        <v>157</v>
      </c>
      <c r="D1125" s="166">
        <f>PubMachineryTables!$AO$54</f>
        <v>0</v>
      </c>
      <c r="E1125" s="166">
        <f>E1059</f>
        <v>0</v>
      </c>
      <c r="F1125" s="166">
        <f t="shared" si="78"/>
        <v>0</v>
      </c>
      <c r="G1125" s="166"/>
    </row>
    <row r="1126" spans="2:7">
      <c r="B1126" s="463" t="str">
        <f>TillageOperations!$B$13</f>
        <v>Landplane</v>
      </c>
      <c r="C1126" s="464" t="s">
        <v>157</v>
      </c>
      <c r="D1126" s="166">
        <f>PubMachineryTables!$AO$55</f>
        <v>107.77752986339607</v>
      </c>
      <c r="E1126" s="166">
        <f>E1061</f>
        <v>0</v>
      </c>
      <c r="F1126" s="166">
        <f t="shared" si="78"/>
        <v>0</v>
      </c>
      <c r="G1126" s="166"/>
    </row>
    <row r="1127" spans="2:7">
      <c r="B1127" s="463" t="str">
        <f>TillageOperations!$B$14</f>
        <v>Float</v>
      </c>
      <c r="C1127" s="464" t="s">
        <v>157</v>
      </c>
      <c r="D1127" s="166">
        <f>PubMachineryTables!$AO$56</f>
        <v>0</v>
      </c>
      <c r="E1127" s="166">
        <f>E1063</f>
        <v>0</v>
      </c>
      <c r="F1127" s="166">
        <f t="shared" si="78"/>
        <v>0</v>
      </c>
      <c r="G1127" s="166"/>
    </row>
    <row r="1128" spans="2:7">
      <c r="B1128" s="463" t="str">
        <f>TillageOperations!$B$15</f>
        <v>Lister</v>
      </c>
      <c r="C1128" s="464" t="s">
        <v>157</v>
      </c>
      <c r="D1128" s="166">
        <f>PubMachineryTables!$AO$57</f>
        <v>72.676050764764099</v>
      </c>
      <c r="E1128" s="166">
        <f>E1065</f>
        <v>0</v>
      </c>
      <c r="F1128" s="166">
        <f t="shared" si="78"/>
        <v>0</v>
      </c>
      <c r="G1128" s="166"/>
    </row>
    <row r="1129" spans="2:7">
      <c r="B1129" s="463" t="str">
        <f>TillageOperations!$B$16</f>
        <v>Bed Shaper</v>
      </c>
      <c r="C1129" s="464" t="s">
        <v>157</v>
      </c>
      <c r="D1129" s="166">
        <f>PubMachineryTables!$AO$58</f>
        <v>50.420091551988918</v>
      </c>
      <c r="E1129" s="166">
        <f>E1067</f>
        <v>0</v>
      </c>
      <c r="F1129" s="166">
        <f t="shared" si="78"/>
        <v>0</v>
      </c>
      <c r="G1129" s="166"/>
    </row>
    <row r="1130" spans="2:7">
      <c r="B1130" s="463" t="str">
        <f>TillageOperations!$B$19</f>
        <v>Row Planter</v>
      </c>
      <c r="C1130" s="464" t="s">
        <v>157</v>
      </c>
      <c r="D1130" s="166">
        <f>PubMachineryTables!$AO$60</f>
        <v>218.60367298033367</v>
      </c>
      <c r="E1130" s="166">
        <f>E1069</f>
        <v>0</v>
      </c>
      <c r="F1130" s="166">
        <f t="shared" si="78"/>
        <v>0</v>
      </c>
      <c r="G1130" s="166"/>
    </row>
    <row r="1131" spans="2:7">
      <c r="B1131" s="463" t="str">
        <f>TillageOperations!$B$20</f>
        <v>Row Cultivator</v>
      </c>
      <c r="C1131" s="464" t="s">
        <v>157</v>
      </c>
      <c r="D1131" s="166">
        <f>PubMachineryTables!$AO$61</f>
        <v>74.064902712939798</v>
      </c>
      <c r="E1131" s="166">
        <f>E1071</f>
        <v>0</v>
      </c>
      <c r="F1131" s="166">
        <f t="shared" si="78"/>
        <v>0</v>
      </c>
      <c r="G1131" s="166"/>
    </row>
    <row r="1132" spans="2:7">
      <c r="B1132" s="465" t="str">
        <f>TillageOperations!$B$21</f>
        <v>Drill</v>
      </c>
      <c r="C1132" s="464" t="s">
        <v>157</v>
      </c>
      <c r="D1132" s="166">
        <f>PubMachineryTables!$AO$62</f>
        <v>51.837941761576523</v>
      </c>
      <c r="E1132" s="166">
        <f>E1073</f>
        <v>0</v>
      </c>
      <c r="F1132" s="166">
        <f t="shared" ref="F1132:F1136" si="79">D1132*E1132</f>
        <v>0</v>
      </c>
      <c r="G1132" s="166"/>
    </row>
    <row r="1133" spans="2:7">
      <c r="B1133" s="463" t="str">
        <f>TillageOperations!$B$27</f>
        <v>Cotton Picker</v>
      </c>
      <c r="C1133" s="464" t="s">
        <v>157</v>
      </c>
      <c r="D1133" s="166">
        <f>PubMachineryTables!$AO$67</f>
        <v>0</v>
      </c>
      <c r="E1133" s="166">
        <f>E1075</f>
        <v>0</v>
      </c>
      <c r="F1133" s="166">
        <f t="shared" si="79"/>
        <v>0</v>
      </c>
      <c r="G1133" s="166"/>
    </row>
    <row r="1134" spans="2:7">
      <c r="B1134" s="463" t="str">
        <f>TillageOperations!$B$28</f>
        <v>Module Unit</v>
      </c>
      <c r="C1134" s="464" t="s">
        <v>157</v>
      </c>
      <c r="D1134" s="166">
        <f>PubMachineryTables!$AO$68</f>
        <v>0</v>
      </c>
      <c r="E1134" s="166">
        <f>E1077</f>
        <v>0</v>
      </c>
      <c r="F1134" s="166">
        <f t="shared" si="79"/>
        <v>0</v>
      </c>
      <c r="G1134" s="166"/>
    </row>
    <row r="1135" spans="2:7">
      <c r="B1135" s="463" t="str">
        <f>TillageOperations!$B$29</f>
        <v>Haul Cotton</v>
      </c>
      <c r="C1135" s="464" t="s">
        <v>157</v>
      </c>
      <c r="D1135" s="166">
        <f>PubMachineryTables!$AO$69</f>
        <v>0</v>
      </c>
      <c r="E1135" s="166">
        <f>E1079</f>
        <v>0</v>
      </c>
      <c r="F1135" s="166">
        <f t="shared" si="79"/>
        <v>0</v>
      </c>
      <c r="G1135" s="166"/>
    </row>
    <row r="1136" spans="2:7">
      <c r="B1136" s="465" t="str">
        <f>TillageOperations!$B$17</f>
        <v>Cotton Shredder/Root Puller</v>
      </c>
      <c r="C1136" s="464" t="s">
        <v>157</v>
      </c>
      <c r="D1136" s="166">
        <f>PubMachineryTables!$AO$59</f>
        <v>0</v>
      </c>
      <c r="E1136" s="166">
        <f>E1081</f>
        <v>0</v>
      </c>
      <c r="F1136" s="166">
        <f t="shared" si="79"/>
        <v>0</v>
      </c>
      <c r="G1136" s="166"/>
    </row>
    <row r="1137" spans="2:7">
      <c r="B1137" s="102" t="str">
        <f>TillageOperations!$B$30</f>
        <v>Combine</v>
      </c>
      <c r="C1137" s="464" t="s">
        <v>157</v>
      </c>
      <c r="D1137" s="166">
        <f>PubMachineryTables!$AO$70</f>
        <v>154.43457969840463</v>
      </c>
      <c r="E1137" s="166">
        <f>E1083</f>
        <v>0</v>
      </c>
      <c r="F1137" s="166">
        <f>D1137*E1137</f>
        <v>0</v>
      </c>
      <c r="G1137" s="166"/>
    </row>
    <row r="1138" spans="2:7">
      <c r="B1138" s="102" t="str">
        <f>TillageOperations!$B$31</f>
        <v>Grain Cart</v>
      </c>
      <c r="C1138" s="464" t="s">
        <v>157</v>
      </c>
      <c r="D1138" s="166">
        <f>PubMachineryTables!$AO$71</f>
        <v>25.28843211678571</v>
      </c>
      <c r="E1138" s="166">
        <f>E1085</f>
        <v>0</v>
      </c>
      <c r="F1138" s="166">
        <f>D1138*E1138</f>
        <v>0</v>
      </c>
      <c r="G1138" s="166"/>
    </row>
    <row r="1139" spans="2:7">
      <c r="B1139" s="102" t="str">
        <f>TillageOperations!$B$32</f>
        <v>Swather</v>
      </c>
      <c r="C1139" s="464" t="s">
        <v>157</v>
      </c>
      <c r="D1139" s="166">
        <f>PubMachineryTables!$AO$72</f>
        <v>0</v>
      </c>
      <c r="E1139" s="166">
        <f>E1087</f>
        <v>0</v>
      </c>
      <c r="F1139" s="166">
        <f t="shared" ref="F1139:F1147" si="80">D1139*E1139</f>
        <v>0</v>
      </c>
      <c r="G1139" s="166"/>
    </row>
    <row r="1140" spans="2:7">
      <c r="B1140" s="102" t="str">
        <f>TillageOperations!$B$33</f>
        <v>Baler</v>
      </c>
      <c r="C1140" s="464" t="s">
        <v>157</v>
      </c>
      <c r="D1140" s="166">
        <f>PubMachineryTables!$AO$73</f>
        <v>0</v>
      </c>
      <c r="E1140" s="166">
        <f>E1089</f>
        <v>0</v>
      </c>
      <c r="F1140" s="166">
        <f t="shared" si="80"/>
        <v>0</v>
      </c>
      <c r="G1140" s="166"/>
    </row>
    <row r="1141" spans="2:7">
      <c r="B1141" s="102" t="str">
        <f>TillageOperations!$B$34</f>
        <v>Swather</v>
      </c>
      <c r="C1141" s="464" t="s">
        <v>157</v>
      </c>
      <c r="D1141" s="166">
        <f>PubMachineryTables!$AO$74</f>
        <v>0</v>
      </c>
      <c r="E1141" s="166">
        <f>E1091</f>
        <v>0</v>
      </c>
      <c r="F1141" s="166">
        <f t="shared" si="80"/>
        <v>0</v>
      </c>
      <c r="G1141" s="166"/>
    </row>
    <row r="1142" spans="2:7">
      <c r="B1142" s="102" t="str">
        <f>TillageOperations!$B$35</f>
        <v>Baler</v>
      </c>
      <c r="C1142" s="464" t="s">
        <v>157</v>
      </c>
      <c r="D1142" s="166">
        <f>PubMachineryTables!$AO$75</f>
        <v>0</v>
      </c>
      <c r="E1142" s="166">
        <f>E1093</f>
        <v>0</v>
      </c>
      <c r="F1142" s="166">
        <f t="shared" si="80"/>
        <v>0</v>
      </c>
      <c r="G1142" s="166"/>
    </row>
    <row r="1143" spans="2:7">
      <c r="B1143" s="102" t="str">
        <f>TillageOperations!$B$36</f>
        <v>Bale Wagon</v>
      </c>
      <c r="C1143" s="464" t="s">
        <v>157</v>
      </c>
      <c r="D1143" s="166">
        <f>PubMachineryTables!$AO$76</f>
        <v>0</v>
      </c>
      <c r="E1143" s="166">
        <f>E1096</f>
        <v>0</v>
      </c>
      <c r="F1143" s="166">
        <f t="shared" si="80"/>
        <v>0</v>
      </c>
      <c r="G1143" s="166"/>
    </row>
    <row r="1144" spans="2:7">
      <c r="B1144" s="102" t="str">
        <f>TillageOperations!$B$23</f>
        <v>Fertilizer Spreader</v>
      </c>
      <c r="C1144" s="464" t="s">
        <v>157</v>
      </c>
      <c r="D1144" s="166">
        <f>PubMachineryTables!$AO$64</f>
        <v>93.913865291400512</v>
      </c>
      <c r="E1144" s="166">
        <f>E1098</f>
        <v>0</v>
      </c>
      <c r="F1144" s="166">
        <f t="shared" si="80"/>
        <v>0</v>
      </c>
      <c r="G1144" s="166"/>
    </row>
    <row r="1145" spans="2:7">
      <c r="B1145" s="102" t="str">
        <f>TillageOperations!$B$24</f>
        <v>Fertilizer Injection System</v>
      </c>
      <c r="C1145" s="464" t="s">
        <v>157</v>
      </c>
      <c r="D1145" s="166">
        <f>PubMachineryTables!$AO$65</f>
        <v>0</v>
      </c>
      <c r="E1145" s="166">
        <f>E1100</f>
        <v>0</v>
      </c>
      <c r="F1145" s="166">
        <f t="shared" si="80"/>
        <v>0</v>
      </c>
      <c r="G1145" s="166"/>
    </row>
    <row r="1146" spans="2:7">
      <c r="B1146" s="102" t="str">
        <f>TillageOperations!$B$25</f>
        <v>Boom Sprayer</v>
      </c>
      <c r="C1146" s="464" t="s">
        <v>157</v>
      </c>
      <c r="D1146" s="166">
        <f>PubMachineryTables!$AO$66</f>
        <v>9.6826493425933542</v>
      </c>
      <c r="E1146" s="166">
        <f>E1102</f>
        <v>0</v>
      </c>
      <c r="F1146" s="166">
        <f t="shared" si="80"/>
        <v>0</v>
      </c>
      <c r="G1146" s="166"/>
    </row>
    <row r="1147" spans="2:7">
      <c r="B1147" s="102" t="str">
        <f>TillageOperations!$B$22</f>
        <v>Transplanter</v>
      </c>
      <c r="C1147" s="464" t="s">
        <v>157</v>
      </c>
      <c r="D1147" s="166">
        <f>PubMachineryTables!$AO$63</f>
        <v>0</v>
      </c>
      <c r="E1147" s="166">
        <f>E1104</f>
        <v>0</v>
      </c>
      <c r="F1147" s="166">
        <f t="shared" si="80"/>
        <v>0</v>
      </c>
      <c r="G1147" s="166"/>
    </row>
    <row r="1148" spans="2:7">
      <c r="B1148" t="str">
        <f>'Inputs&amp;PricesbyCrop'!$B$39</f>
        <v>Crop Insurance</v>
      </c>
      <c r="C1148" s="464" t="s">
        <v>157</v>
      </c>
      <c r="D1148" s="166">
        <f>'Inputs&amp;PricesbyCrop'!$J$39</f>
        <v>0</v>
      </c>
      <c r="E1148" s="169">
        <f t="shared" ref="E1148:E1153" si="81">$C$998</f>
        <v>0</v>
      </c>
      <c r="F1148" s="166">
        <f>D1148*E1148</f>
        <v>0</v>
      </c>
      <c r="G1148" s="166"/>
    </row>
    <row r="1149" spans="2:7">
      <c r="B1149" t="str">
        <f>'Inputs&amp;PricesbyCrop'!$B$40</f>
        <v>Property Insurance</v>
      </c>
      <c r="C1149" s="464" t="s">
        <v>157</v>
      </c>
      <c r="D1149" s="166">
        <f>'Inputs&amp;PricesbyCrop'!$J$40</f>
        <v>0</v>
      </c>
      <c r="E1149" s="169">
        <f t="shared" si="81"/>
        <v>0</v>
      </c>
      <c r="F1149" s="166">
        <f>D1149*E1149</f>
        <v>0</v>
      </c>
      <c r="G1149" s="166"/>
    </row>
    <row r="1150" spans="2:7">
      <c r="B1150" t="str">
        <f>'Inputs&amp;PricesbyCrop'!$B$41</f>
        <v>Property Taxes</v>
      </c>
      <c r="C1150" s="464" t="s">
        <v>157</v>
      </c>
      <c r="D1150" s="166">
        <f>'Inputs&amp;PricesbyCrop'!$J$41</f>
        <v>0</v>
      </c>
      <c r="E1150" s="169">
        <f t="shared" si="81"/>
        <v>0</v>
      </c>
      <c r="F1150" s="166">
        <f t="shared" ref="F1150:F1153" si="82">D1150*E1150</f>
        <v>0</v>
      </c>
      <c r="G1150" s="166"/>
    </row>
    <row r="1151" spans="2:7">
      <c r="B1151" t="str">
        <f>'Inputs&amp;PricesbyCrop'!$B$42</f>
        <v>Annual Cash Rent Payment</v>
      </c>
      <c r="C1151" s="464" t="s">
        <v>157</v>
      </c>
      <c r="D1151" s="166">
        <f>'Inputs&amp;PricesbyCrop'!$J$42</f>
        <v>170</v>
      </c>
      <c r="E1151" s="169">
        <f t="shared" si="81"/>
        <v>0</v>
      </c>
      <c r="F1151" s="166">
        <f t="shared" si="82"/>
        <v>0</v>
      </c>
      <c r="G1151" s="166"/>
    </row>
    <row r="1152" spans="2:7">
      <c r="B1152" t="s">
        <v>484</v>
      </c>
      <c r="C1152" s="464" t="s">
        <v>157</v>
      </c>
      <c r="D1152" s="166">
        <f>'Sheet #7'!I103</f>
        <v>0</v>
      </c>
      <c r="E1152" s="169">
        <f t="shared" si="81"/>
        <v>0</v>
      </c>
      <c r="F1152" s="166">
        <f t="shared" ref="F1152" si="83">D1152*E1152</f>
        <v>0</v>
      </c>
      <c r="G1152" s="166"/>
    </row>
    <row r="1153" spans="2:7">
      <c r="B1153" t="str">
        <f>'Inputs&amp;PricesbyCrop'!$B$49</f>
        <v>Licenses and Fees</v>
      </c>
      <c r="C1153" s="464" t="s">
        <v>157</v>
      </c>
      <c r="D1153" s="166">
        <f>'Inputs&amp;PricesbyCrop'!$J$49</f>
        <v>30</v>
      </c>
      <c r="E1153" s="169">
        <f t="shared" si="81"/>
        <v>0</v>
      </c>
      <c r="F1153" s="170">
        <f t="shared" si="82"/>
        <v>0</v>
      </c>
      <c r="G1153" s="170"/>
    </row>
    <row r="1154" spans="2:7">
      <c r="B1154" t="s">
        <v>131</v>
      </c>
      <c r="D1154" s="454"/>
      <c r="F1154" s="37">
        <f>SUM(F1117:F1153)</f>
        <v>0</v>
      </c>
      <c r="G1154" s="37"/>
    </row>
    <row r="1155" spans="2:7">
      <c r="D1155" s="454"/>
    </row>
    <row r="1156" spans="2:7">
      <c r="B1156" t="s">
        <v>63</v>
      </c>
      <c r="D1156" s="454"/>
      <c r="F1156" s="37">
        <f>(F1154+F1114)</f>
        <v>0</v>
      </c>
      <c r="G1156" s="37"/>
    </row>
    <row r="1157" spans="2:7">
      <c r="B1157" t="s">
        <v>64</v>
      </c>
      <c r="D1157" s="454"/>
      <c r="F1157" s="37">
        <f>F1003-F1156</f>
        <v>0</v>
      </c>
      <c r="G1157" s="37"/>
    </row>
    <row r="1158" spans="2:7">
      <c r="B1158" s="249" t="s">
        <v>276</v>
      </c>
      <c r="C1158" s="249" t="s">
        <v>4</v>
      </c>
      <c r="D1158" s="250" t="s">
        <v>277</v>
      </c>
      <c r="E1158" s="249" t="s">
        <v>278</v>
      </c>
      <c r="F1158" s="249" t="s">
        <v>279</v>
      </c>
      <c r="G1158" s="249"/>
    </row>
    <row r="1159" spans="2:7">
      <c r="B1159" s="135" t="str">
        <f>B1164</f>
        <v>Irr. Water Reduction: Set-aside</v>
      </c>
      <c r="D1159" s="454"/>
    </row>
    <row r="1160" spans="2:7">
      <c r="B1160" t="s">
        <v>16</v>
      </c>
      <c r="C1160" s="457">
        <f>IF('AcresYieldsPrices&amp;Water'!D9=0,0,'AcresYieldsPrices&amp;Water'!D9)</f>
        <v>0</v>
      </c>
      <c r="D1160" s="454" t="s">
        <v>17</v>
      </c>
    </row>
    <row r="1161" spans="2:7">
      <c r="D1161" s="454"/>
    </row>
    <row r="1162" spans="2:7">
      <c r="B1162" t="s">
        <v>22</v>
      </c>
      <c r="D1162" s="454"/>
    </row>
    <row r="1163" spans="2:7">
      <c r="B1163" s="455" t="s">
        <v>23</v>
      </c>
      <c r="C1163" s="458" t="s">
        <v>1</v>
      </c>
      <c r="D1163" s="459" t="s">
        <v>24</v>
      </c>
      <c r="E1163" s="460" t="s">
        <v>25</v>
      </c>
      <c r="F1163" s="460" t="s">
        <v>0</v>
      </c>
      <c r="G1163" s="277"/>
    </row>
    <row r="1164" spans="2:7">
      <c r="B1164" t="str">
        <f>'AcresYieldsPrices&amp;Water'!J10</f>
        <v>Irr. Water Reduction: Set-aside</v>
      </c>
      <c r="C1164" s="137" t="str">
        <f>'AcresYieldsPrices&amp;Water'!L10</f>
        <v>acre</v>
      </c>
      <c r="D1164" s="454">
        <f>'AcresYieldsPrices&amp;Water'!$M$10</f>
        <v>0</v>
      </c>
      <c r="E1164" s="462">
        <f>'AcresYieldsPrices&amp;Water'!$N$10*$C$1160</f>
        <v>0</v>
      </c>
      <c r="F1164" s="136">
        <f>D1164*E1164</f>
        <v>0</v>
      </c>
      <c r="G1164" s="136"/>
    </row>
    <row r="1165" spans="2:7">
      <c r="B1165" t="s">
        <v>27</v>
      </c>
      <c r="D1165" s="454"/>
      <c r="F1165" s="37">
        <f>F1164</f>
        <v>0</v>
      </c>
      <c r="G1165" s="163" t="e">
        <f>F1165/C$1160</f>
        <v>#DIV/0!</v>
      </c>
    </row>
    <row r="1166" spans="2:7">
      <c r="D1166" s="454"/>
      <c r="G1166" s="163" t="e">
        <f t="shared" ref="G1166:G1229" si="84">F1166/C$1160</f>
        <v>#DIV/0!</v>
      </c>
    </row>
    <row r="1167" spans="2:7">
      <c r="B1167" s="455" t="s">
        <v>62</v>
      </c>
      <c r="C1167" s="458" t="s">
        <v>1</v>
      </c>
      <c r="D1167" s="459" t="s">
        <v>24</v>
      </c>
      <c r="E1167" s="460" t="s">
        <v>25</v>
      </c>
      <c r="F1167" s="460" t="s">
        <v>0</v>
      </c>
      <c r="G1167" s="322" t="s">
        <v>10</v>
      </c>
    </row>
    <row r="1168" spans="2:7">
      <c r="B1168" t="str">
        <f>'Inputs&amp;PricesbyCrop'!B$78</f>
        <v xml:space="preserve">   - Seed</v>
      </c>
      <c r="C1168" s="137" t="str">
        <f>'Inputs&amp;PricesbyCrop'!C$91</f>
        <v>pounds</v>
      </c>
      <c r="D1168" s="163">
        <f>'Inputs&amp;PricesbyCrop'!$K$5</f>
        <v>0</v>
      </c>
      <c r="E1168" s="166">
        <f>'Inputs&amp;PricesbyCrop'!$K$6*$C$1321</f>
        <v>0</v>
      </c>
      <c r="F1168" s="163">
        <f t="shared" ref="F1168:F1192" si="85">D1168*E1168</f>
        <v>0</v>
      </c>
      <c r="G1168" s="163" t="e">
        <f t="shared" si="84"/>
        <v>#DIV/0!</v>
      </c>
    </row>
    <row r="1169" spans="2:7">
      <c r="B1169" t="str">
        <f>GeneralInputPrices!$B$3</f>
        <v xml:space="preserve">   - Inoculant</v>
      </c>
      <c r="C1169" s="137" t="str">
        <f>GeneralInputPrices!$C$3</f>
        <v>pounds</v>
      </c>
      <c r="D1169" s="166">
        <f>GeneralInputPrices!$D$3</f>
        <v>3</v>
      </c>
      <c r="E1169" s="166">
        <f>'Inputs&amp;PricesbyCrop'!$K$22*$C$1160</f>
        <v>0</v>
      </c>
      <c r="F1169" s="166">
        <f t="shared" si="85"/>
        <v>0</v>
      </c>
      <c r="G1169" s="163" t="e">
        <f t="shared" si="84"/>
        <v>#DIV/0!</v>
      </c>
    </row>
    <row r="1170" spans="2:7">
      <c r="B1170" t="str">
        <f>GeneralInputPrices!B$5</f>
        <v xml:space="preserve">   - Nitrogen</v>
      </c>
      <c r="C1170" s="137" t="str">
        <f>GeneralInputPrices!$C$5</f>
        <v>pounds</v>
      </c>
      <c r="D1170" s="166">
        <f>GeneralInputPrices!$D$5</f>
        <v>0.46</v>
      </c>
      <c r="E1170" s="166">
        <f>'Inputs&amp;PricesbyCrop'!$K$23*$C$1160</f>
        <v>0</v>
      </c>
      <c r="F1170" s="166">
        <f t="shared" si="85"/>
        <v>0</v>
      </c>
      <c r="G1170" s="163" t="e">
        <f t="shared" si="84"/>
        <v>#DIV/0!</v>
      </c>
    </row>
    <row r="1171" spans="2:7">
      <c r="B1171" t="str">
        <f>GeneralInputPrices!B$6</f>
        <v xml:space="preserve">   - Phosphorus</v>
      </c>
      <c r="C1171" s="137" t="str">
        <f>GeneralInputPrices!$C$6</f>
        <v>pounds</v>
      </c>
      <c r="D1171" s="166">
        <f>GeneralInputPrices!$D$6</f>
        <v>0.36</v>
      </c>
      <c r="E1171" s="166">
        <f>'Inputs&amp;PricesbyCrop'!$K$24*$C$1160</f>
        <v>0</v>
      </c>
      <c r="F1171" s="166">
        <f t="shared" si="85"/>
        <v>0</v>
      </c>
      <c r="G1171" s="163" t="e">
        <f t="shared" si="84"/>
        <v>#DIV/0!</v>
      </c>
    </row>
    <row r="1172" spans="2:7">
      <c r="B1172" t="str">
        <f>GeneralInputPrices!B$7</f>
        <v xml:space="preserve">   - Anhydrous Ammonia</v>
      </c>
      <c r="C1172" s="137" t="str">
        <f>GeneralInputPrices!$C$7</f>
        <v>pounds</v>
      </c>
      <c r="D1172" s="166">
        <f>GeneralInputPrices!$D$7</f>
        <v>0.21</v>
      </c>
      <c r="E1172" s="166">
        <f>'Inputs&amp;PricesbyCrop'!$K$25*$C$1160</f>
        <v>0</v>
      </c>
      <c r="F1172" s="166">
        <f t="shared" si="85"/>
        <v>0</v>
      </c>
      <c r="G1172" s="163" t="e">
        <f t="shared" si="84"/>
        <v>#DIV/0!</v>
      </c>
    </row>
    <row r="1173" spans="2:7">
      <c r="B1173" t="str">
        <f>GeneralInputPrices!$B$8</f>
        <v xml:space="preserve">   - Trace Elements</v>
      </c>
      <c r="C1173" s="137" t="str">
        <f>GeneralInputPrices!$C$8</f>
        <v>pounds</v>
      </c>
      <c r="D1173" s="166">
        <f>GeneralInputPrices!$D$8</f>
        <v>0.24</v>
      </c>
      <c r="E1173" s="166">
        <f>'Inputs&amp;PricesbyCrop'!$K$26*$C$1160</f>
        <v>0</v>
      </c>
      <c r="F1173" s="166">
        <f t="shared" si="85"/>
        <v>0</v>
      </c>
      <c r="G1173" s="163" t="e">
        <f t="shared" si="84"/>
        <v>#DIV/0!</v>
      </c>
    </row>
    <row r="1174" spans="2:7">
      <c r="B1174" t="str">
        <f>'Inputs&amp;PricesbyCrop'!$B$32</f>
        <v xml:space="preserve">   - Nitrogen</v>
      </c>
      <c r="C1174" s="137" t="str">
        <f>'Inputs&amp;PricesbyCrop'!$C$32</f>
        <v>acre</v>
      </c>
      <c r="D1174" s="166">
        <f>'Inputs&amp;PricesbyCrop'!$K$32</f>
        <v>0</v>
      </c>
      <c r="E1174" s="166">
        <f>$C$1160</f>
        <v>0</v>
      </c>
      <c r="F1174" s="166">
        <f t="shared" si="85"/>
        <v>0</v>
      </c>
      <c r="G1174" s="163" t="e">
        <f t="shared" si="84"/>
        <v>#DIV/0!</v>
      </c>
    </row>
    <row r="1175" spans="2:7">
      <c r="B1175" t="str">
        <f>'Inputs&amp;PricesbyCrop'!$B$33</f>
        <v xml:space="preserve">   - Phosphorus</v>
      </c>
      <c r="C1175" s="137" t="str">
        <f>'Inputs&amp;PricesbyCrop'!$C$33</f>
        <v>acre</v>
      </c>
      <c r="D1175" s="166">
        <f>'Inputs&amp;PricesbyCrop'!$K$33</f>
        <v>0</v>
      </c>
      <c r="E1175" s="166">
        <f>$C$1160</f>
        <v>0</v>
      </c>
      <c r="F1175" s="166">
        <f t="shared" si="85"/>
        <v>0</v>
      </c>
      <c r="G1175" s="163" t="e">
        <f t="shared" si="84"/>
        <v>#DIV/0!</v>
      </c>
    </row>
    <row r="1176" spans="2:7">
      <c r="B1176" t="str">
        <f>'Inputs&amp;PricesbyCrop'!$B$34</f>
        <v xml:space="preserve">   - Fertilizer - Anhydrous Applicator</v>
      </c>
      <c r="C1176" s="137" t="str">
        <f>'Inputs&amp;PricesbyCrop'!$C$34</f>
        <v>acre</v>
      </c>
      <c r="D1176" s="166">
        <f>'Inputs&amp;PricesbyCrop'!$K$34</f>
        <v>0</v>
      </c>
      <c r="E1176" s="166">
        <f>$C$1160</f>
        <v>0</v>
      </c>
      <c r="F1176" s="166">
        <f t="shared" si="85"/>
        <v>0</v>
      </c>
      <c r="G1176" s="163" t="e">
        <f t="shared" si="84"/>
        <v>#DIV/0!</v>
      </c>
    </row>
    <row r="1177" spans="2:7">
      <c r="B1177" t="str">
        <f>GeneralInputPrices!$B$10</f>
        <v xml:space="preserve">   - Prowl</v>
      </c>
      <c r="C1177" s="137" t="str">
        <f>GeneralInputPrices!$C$10</f>
        <v>pints</v>
      </c>
      <c r="D1177" s="166">
        <f>GeneralInputPrices!$D$10</f>
        <v>6.0625</v>
      </c>
      <c r="E1177" s="166">
        <f>'Inputs&amp;PricesbyCrop'!$K$27*$C$1160</f>
        <v>0</v>
      </c>
      <c r="F1177" s="166">
        <f t="shared" si="85"/>
        <v>0</v>
      </c>
      <c r="G1177" s="163" t="e">
        <f t="shared" si="84"/>
        <v>#DIV/0!</v>
      </c>
    </row>
    <row r="1178" spans="2:7">
      <c r="B1178" t="str">
        <f>GeneralInputPrices!$B$11</f>
        <v xml:space="preserve">   - Aim</v>
      </c>
      <c r="C1178" s="137" t="str">
        <f>GeneralInputPrices!$C$11</f>
        <v>ounces</v>
      </c>
      <c r="D1178" s="166">
        <f>GeneralInputPrices!$D$11</f>
        <v>5.9375</v>
      </c>
      <c r="E1178" s="166">
        <f>'Inputs&amp;PricesbyCrop'!$K$28*$C$1160</f>
        <v>0</v>
      </c>
      <c r="F1178" s="166">
        <f t="shared" si="85"/>
        <v>0</v>
      </c>
      <c r="G1178" s="163" t="e">
        <f t="shared" si="84"/>
        <v>#DIV/0!</v>
      </c>
    </row>
    <row r="1179" spans="2:7">
      <c r="B1179" t="str">
        <f>GeneralInputPrices!$B$12</f>
        <v xml:space="preserve">   - Fusilade</v>
      </c>
      <c r="C1179" s="137" t="str">
        <f>GeneralInputPrices!$C$12</f>
        <v>ounces</v>
      </c>
      <c r="D1179" s="166">
        <f>GeneralInputPrices!$D$12</f>
        <v>1.25</v>
      </c>
      <c r="E1179" s="166">
        <f>'Inputs&amp;PricesbyCrop'!$K$29*$C$1160</f>
        <v>0</v>
      </c>
      <c r="F1179" s="166">
        <f t="shared" si="85"/>
        <v>0</v>
      </c>
      <c r="G1179" s="163" t="e">
        <f t="shared" si="84"/>
        <v>#DIV/0!</v>
      </c>
    </row>
    <row r="1180" spans="2:7">
      <c r="B1180" t="str">
        <f>'Inputs&amp;PricesbyCrop'!$B$35</f>
        <v xml:space="preserve">   - Herbicides</v>
      </c>
      <c r="C1180" s="137" t="str">
        <f>'Inputs&amp;PricesbyCrop'!$C$35</f>
        <v>acre</v>
      </c>
      <c r="D1180" s="166">
        <f>'Inputs&amp;PricesbyCrop'!$K$35</f>
        <v>27</v>
      </c>
      <c r="E1180" s="166">
        <f>$C$1160</f>
        <v>0</v>
      </c>
      <c r="F1180" s="166">
        <f t="shared" si="85"/>
        <v>0</v>
      </c>
      <c r="G1180" s="163" t="e">
        <f t="shared" si="84"/>
        <v>#DIV/0!</v>
      </c>
    </row>
    <row r="1181" spans="2:7">
      <c r="B1181" t="str">
        <f>'Inputs&amp;PricesbyCrop'!$B$36</f>
        <v xml:space="preserve">   - Herbicide - #2</v>
      </c>
      <c r="C1181" s="137" t="str">
        <f>'Inputs&amp;PricesbyCrop'!$C$36</f>
        <v>acre</v>
      </c>
      <c r="D1181" s="166">
        <f>'Inputs&amp;PricesbyCrop'!$K$36</f>
        <v>0</v>
      </c>
      <c r="E1181" s="166">
        <f>$C$1160</f>
        <v>0</v>
      </c>
      <c r="F1181" s="166">
        <f t="shared" si="85"/>
        <v>0</v>
      </c>
      <c r="G1181" s="163" t="e">
        <f t="shared" si="84"/>
        <v>#DIV/0!</v>
      </c>
    </row>
    <row r="1182" spans="2:7">
      <c r="B1182" t="str">
        <f>'Inputs&amp;PricesbyCrop'!$B$37</f>
        <v xml:space="preserve">   - Insecticides</v>
      </c>
      <c r="C1182" s="137" t="str">
        <f>'Inputs&amp;PricesbyCrop'!$C$37</f>
        <v>acre</v>
      </c>
      <c r="D1182" s="166">
        <f>'Inputs&amp;PricesbyCrop'!$K$37</f>
        <v>0</v>
      </c>
      <c r="E1182" s="166">
        <f>$C$1160</f>
        <v>0</v>
      </c>
      <c r="F1182" s="166">
        <f t="shared" si="85"/>
        <v>0</v>
      </c>
      <c r="G1182" s="163" t="e">
        <f t="shared" si="84"/>
        <v>#DIV/0!</v>
      </c>
    </row>
    <row r="1183" spans="2:7">
      <c r="B1183" t="str">
        <f>'Inputs&amp;PricesbyCrop'!$B$38</f>
        <v xml:space="preserve">   - Insecticide - #2</v>
      </c>
      <c r="C1183" s="137" t="str">
        <f>'Inputs&amp;PricesbyCrop'!$C$38</f>
        <v>acre</v>
      </c>
      <c r="D1183" s="166">
        <f>'Inputs&amp;PricesbyCrop'!$K$38</f>
        <v>0</v>
      </c>
      <c r="E1183" s="166">
        <f>$C$1160</f>
        <v>0</v>
      </c>
      <c r="F1183" s="166">
        <f t="shared" si="85"/>
        <v>0</v>
      </c>
      <c r="G1183" s="163" t="e">
        <f t="shared" si="84"/>
        <v>#DIV/0!</v>
      </c>
    </row>
    <row r="1184" spans="2:7">
      <c r="B1184" t="str">
        <f>'Inputs&amp;PricesbyCrop'!$B$7</f>
        <v>Flood - Irrigation Water</v>
      </c>
      <c r="C1184" s="137" t="str">
        <f>'Inputs&amp;PricesbyCrop'!$C$7</f>
        <v>ac ft</v>
      </c>
      <c r="D1184" s="166">
        <f>GeneralInputPrices!$D$13</f>
        <v>55</v>
      </c>
      <c r="E1184" s="102">
        <f>('AcresYieldsPrices&amp;Water'!$E$9*'Inputs&amp;PricesbyCrop'!$K$7)*$C1160</f>
        <v>0</v>
      </c>
      <c r="F1184" s="166">
        <f t="shared" si="85"/>
        <v>0</v>
      </c>
      <c r="G1184" s="163" t="e">
        <f t="shared" si="84"/>
        <v>#DIV/0!</v>
      </c>
    </row>
    <row r="1185" spans="2:7">
      <c r="B1185" t="str">
        <f>'Inputs&amp;PricesbyCrop'!$B$8</f>
        <v>Flood - Irrigation Labor</v>
      </c>
      <c r="C1185" s="137" t="str">
        <f>'Inputs&amp;PricesbyCrop'!$C$8</f>
        <v>hour</v>
      </c>
      <c r="D1185" s="166">
        <f>GeneralInputPrices!$D$28</f>
        <v>14.55</v>
      </c>
      <c r="E1185" s="166">
        <f>('AcresYieldsPrices&amp;Water'!$E$9*'Inputs&amp;PricesbyCrop'!$K$8)*$C1160</f>
        <v>0</v>
      </c>
      <c r="F1185" s="166">
        <f t="shared" si="85"/>
        <v>0</v>
      </c>
      <c r="G1185" s="163" t="e">
        <f t="shared" si="84"/>
        <v>#DIV/0!</v>
      </c>
    </row>
    <row r="1186" spans="2:7">
      <c r="B1186" t="str">
        <f>GeneralInputPrices!$B$18</f>
        <v xml:space="preserve">   - Annual Repairs &amp; Maintenance</v>
      </c>
      <c r="C1186" s="453" t="str">
        <f>GeneralInputPrices!$C$18</f>
        <v>acre</v>
      </c>
      <c r="D1186" s="166">
        <f>GeneralInputPrices!$D$18</f>
        <v>3</v>
      </c>
      <c r="E1186" s="166">
        <f>'AcresYieldsPrices&amp;Water'!$E$9*$C1160</f>
        <v>0</v>
      </c>
      <c r="F1186" s="166">
        <f t="shared" si="85"/>
        <v>0</v>
      </c>
      <c r="G1186" s="163" t="e">
        <f t="shared" si="84"/>
        <v>#DIV/0!</v>
      </c>
    </row>
    <row r="1187" spans="2:7">
      <c r="B1187" t="str">
        <f>'Inputs&amp;PricesbyCrop'!$B$9</f>
        <v>Drip-tape - Irrigation Water</v>
      </c>
      <c r="C1187" s="137" t="str">
        <f>'Inputs&amp;PricesbyCrop'!$C$9</f>
        <v>ac ft</v>
      </c>
      <c r="D1187" s="166">
        <f>GeneralInputPrices!$D$13</f>
        <v>55</v>
      </c>
      <c r="E1187" s="166">
        <f>('AcresYieldsPrices&amp;Water'!$F$9*'Inputs&amp;PricesbyCrop'!$K$9)*$C1160</f>
        <v>0</v>
      </c>
      <c r="F1187" s="166">
        <f t="shared" si="85"/>
        <v>0</v>
      </c>
      <c r="G1187" s="163" t="e">
        <f t="shared" si="84"/>
        <v>#DIV/0!</v>
      </c>
    </row>
    <row r="1188" spans="2:7">
      <c r="B1188" t="str">
        <f>'Inputs&amp;PricesbyCrop'!$B$10</f>
        <v>Drip-tape - Irrigation Labor</v>
      </c>
      <c r="C1188" s="137" t="str">
        <f>'Inputs&amp;PricesbyCrop'!$C$10</f>
        <v>hour</v>
      </c>
      <c r="D1188" s="166">
        <f>GeneralInputPrices!$D$28</f>
        <v>14.55</v>
      </c>
      <c r="E1188" s="166">
        <f>('AcresYieldsPrices&amp;Water'!$F$9*'Inputs&amp;PricesbyCrop'!$K$10)*$C1160</f>
        <v>0</v>
      </c>
      <c r="F1188" s="166">
        <f t="shared" si="85"/>
        <v>0</v>
      </c>
      <c r="G1188" s="163" t="e">
        <f t="shared" si="84"/>
        <v>#DIV/0!</v>
      </c>
    </row>
    <row r="1189" spans="2:7">
      <c r="B1189" t="str">
        <f>GeneralInputPrices!$B$22</f>
        <v xml:space="preserve">   - Annual Repairs &amp; Maintenance</v>
      </c>
      <c r="C1189" s="453" t="str">
        <f>GeneralInputPrices!$C$22</f>
        <v>acre</v>
      </c>
      <c r="D1189" s="166">
        <f>GeneralInputPrices!$D$22</f>
        <v>7.5</v>
      </c>
      <c r="E1189" s="166">
        <f>'AcresYieldsPrices&amp;Water'!$F$9*C1160</f>
        <v>0</v>
      </c>
      <c r="F1189" s="166">
        <f t="shared" si="85"/>
        <v>0</v>
      </c>
      <c r="G1189" s="163" t="e">
        <f t="shared" si="84"/>
        <v>#DIV/0!</v>
      </c>
    </row>
    <row r="1190" spans="2:7">
      <c r="B1190" t="str">
        <f>'Inputs&amp;PricesbyCrop'!$B$11</f>
        <v>Sprinkler - Irrigation Water</v>
      </c>
      <c r="C1190" s="137" t="str">
        <f>'Inputs&amp;PricesbyCrop'!$C$11</f>
        <v>ac ft</v>
      </c>
      <c r="D1190" s="166">
        <f>GeneralInputPrices!$D$13</f>
        <v>55</v>
      </c>
      <c r="E1190" s="166">
        <f>('AcresYieldsPrices&amp;Water'!$G$9*'Inputs&amp;PricesbyCrop'!$K$11)*$C1160</f>
        <v>0</v>
      </c>
      <c r="F1190" s="166">
        <f t="shared" si="85"/>
        <v>0</v>
      </c>
      <c r="G1190" s="163" t="e">
        <f t="shared" si="84"/>
        <v>#DIV/0!</v>
      </c>
    </row>
    <row r="1191" spans="2:7">
      <c r="B1191" t="str">
        <f>'Inputs&amp;PricesbyCrop'!$B$12</f>
        <v>Sprinkler - Irrigation Labor</v>
      </c>
      <c r="C1191" s="137" t="str">
        <f>'Inputs&amp;PricesbyCrop'!$C$12</f>
        <v>hour</v>
      </c>
      <c r="D1191" s="166">
        <f>GeneralInputPrices!$D$28</f>
        <v>14.55</v>
      </c>
      <c r="E1191" s="166">
        <f>('AcresYieldsPrices&amp;Water'!$G$9*'Inputs&amp;PricesbyCrop'!$K$12)*$C1160</f>
        <v>0</v>
      </c>
      <c r="F1191" s="166">
        <f t="shared" si="85"/>
        <v>0</v>
      </c>
      <c r="G1191" s="163" t="e">
        <f t="shared" si="84"/>
        <v>#DIV/0!</v>
      </c>
    </row>
    <row r="1192" spans="2:7">
      <c r="B1192" t="str">
        <f>GeneralInputPrices!$B$26</f>
        <v xml:space="preserve">   - Annual Repairs &amp; Maintenance</v>
      </c>
      <c r="C1192" s="453" t="str">
        <f>GeneralInputPrices!$C$26</f>
        <v>acre</v>
      </c>
      <c r="D1192" s="166">
        <f>GeneralInputPrices!$D$26</f>
        <v>15</v>
      </c>
      <c r="E1192" s="166">
        <f>'AcresYieldsPrices&amp;Water'!$G$9*$C1160</f>
        <v>0</v>
      </c>
      <c r="F1192" s="166">
        <f t="shared" si="85"/>
        <v>0</v>
      </c>
      <c r="G1192" s="163" t="e">
        <f t="shared" si="84"/>
        <v>#DIV/0!</v>
      </c>
    </row>
    <row r="1193" spans="2:7">
      <c r="B1193" t="str">
        <f>CustomOperations!$B$37</f>
        <v>Harvest, Custom</v>
      </c>
      <c r="C1193" s="137" t="str">
        <f>CustomOperations!$C$37</f>
        <v>acre</v>
      </c>
      <c r="D1193" s="166">
        <f>CustomOperations!$K$37</f>
        <v>0</v>
      </c>
      <c r="E1193" s="166">
        <f>CustomOperations!$K$38*$C$1160</f>
        <v>0</v>
      </c>
      <c r="F1193" s="166">
        <f t="shared" ref="F1193:F1207" si="86">D1193*E1193</f>
        <v>0</v>
      </c>
      <c r="G1193" s="163" t="e">
        <f t="shared" si="84"/>
        <v>#DIV/0!</v>
      </c>
    </row>
    <row r="1194" spans="2:7">
      <c r="B1194" t="str">
        <f>CustomOperations!$B$39</f>
        <v>Hauling, Custom</v>
      </c>
      <c r="C1194" s="137" t="str">
        <f>CustomOperations!$C$39</f>
        <v>mile</v>
      </c>
      <c r="D1194" s="166">
        <f>CustomOperations!$K$39</f>
        <v>0</v>
      </c>
      <c r="E1194" s="166">
        <f>CustomOperations!$K$40*$C$1160</f>
        <v>0</v>
      </c>
      <c r="F1194" s="166">
        <f t="shared" si="86"/>
        <v>0</v>
      </c>
      <c r="G1194" s="163" t="e">
        <f t="shared" si="84"/>
        <v>#DIV/0!</v>
      </c>
    </row>
    <row r="1195" spans="2:7">
      <c r="B1195" t="str">
        <f>CustomOperations!$B$41</f>
        <v>Gin Cotton/Drying/Swathing, Custom</v>
      </c>
      <c r="C1195" s="137" t="str">
        <f>CustomOperations!$C$41</f>
        <v>bale</v>
      </c>
      <c r="D1195" s="166">
        <f>CustomOperations!$K$41</f>
        <v>0</v>
      </c>
      <c r="E1195" s="166">
        <f>CustomOperations!$K$42*$C$1160</f>
        <v>0</v>
      </c>
      <c r="F1195" s="166">
        <f t="shared" si="86"/>
        <v>0</v>
      </c>
      <c r="G1195" s="163" t="e">
        <f t="shared" si="84"/>
        <v>#DIV/0!</v>
      </c>
    </row>
    <row r="1196" spans="2:7">
      <c r="B1196" t="str">
        <f>CustomOperations!$B$24</f>
        <v>Drill, Custom</v>
      </c>
      <c r="C1196" s="137" t="str">
        <f>CustomOperations!$C$24</f>
        <v>acre</v>
      </c>
      <c r="D1196" s="166">
        <f>CustomOperations!$K$24</f>
        <v>0</v>
      </c>
      <c r="E1196" s="166">
        <f>CustomOperations!$K$25*$C$1160</f>
        <v>0</v>
      </c>
      <c r="F1196" s="166">
        <f t="shared" si="86"/>
        <v>0</v>
      </c>
      <c r="G1196" s="163" t="e">
        <f t="shared" si="84"/>
        <v>#DIV/0!</v>
      </c>
    </row>
    <row r="1197" spans="2:7">
      <c r="B1197" t="str">
        <f>CustomOperations!$B$26</f>
        <v>Row Planter, Custom</v>
      </c>
      <c r="C1197" s="137" t="str">
        <f>CustomOperations!$C$26</f>
        <v>acre</v>
      </c>
      <c r="D1197" s="166">
        <f>CustomOperations!$K$26</f>
        <v>0</v>
      </c>
      <c r="E1197" s="166">
        <f>CustomOperations!$K$27*$C$1160</f>
        <v>0</v>
      </c>
      <c r="F1197" s="166">
        <f t="shared" si="86"/>
        <v>0</v>
      </c>
      <c r="G1197" s="163" t="e">
        <f t="shared" si="84"/>
        <v>#DIV/0!</v>
      </c>
    </row>
    <row r="1198" spans="2:7">
      <c r="B1198" t="str">
        <f>CustomOperations!$B$28</f>
        <v>Row Cultivator, Custom</v>
      </c>
      <c r="C1198" s="137" t="str">
        <f>CustomOperations!$C$28</f>
        <v>acre</v>
      </c>
      <c r="D1198" s="166">
        <f>CustomOperations!$K$28</f>
        <v>0</v>
      </c>
      <c r="E1198" s="166">
        <f>CustomOperations!$K$29*$C$1160</f>
        <v>0</v>
      </c>
      <c r="F1198" s="166">
        <f t="shared" si="86"/>
        <v>0</v>
      </c>
      <c r="G1198" s="163" t="e">
        <f t="shared" si="84"/>
        <v>#DIV/0!</v>
      </c>
    </row>
    <row r="1199" spans="2:7">
      <c r="B1199" t="str">
        <f>CustomOperations!$B$5</f>
        <v>V Ripper, Custom</v>
      </c>
      <c r="C1199" s="137" t="str">
        <f>CustomOperations!$C$5</f>
        <v>acre</v>
      </c>
      <c r="D1199" s="166">
        <f>CustomOperations!$K$5</f>
        <v>44.25</v>
      </c>
      <c r="E1199" s="166">
        <f>CustomOperations!$K$6*$C$1160</f>
        <v>0</v>
      </c>
      <c r="F1199" s="166">
        <f t="shared" si="86"/>
        <v>0</v>
      </c>
      <c r="G1199" s="163" t="e">
        <f t="shared" si="84"/>
        <v>#DIV/0!</v>
      </c>
    </row>
    <row r="1200" spans="2:7">
      <c r="B1200" t="str">
        <f>CustomOperations!$B$7</f>
        <v>Disk, Custom</v>
      </c>
      <c r="C1200" s="137" t="str">
        <f>CustomOperations!$C$7</f>
        <v>acre</v>
      </c>
      <c r="D1200" s="166">
        <f>CustomOperations!$K$7</f>
        <v>0</v>
      </c>
      <c r="E1200" s="166">
        <f>CustomOperations!$K$8*$C$1160</f>
        <v>0</v>
      </c>
      <c r="F1200" s="166">
        <f t="shared" si="86"/>
        <v>0</v>
      </c>
      <c r="G1200" s="163" t="e">
        <f t="shared" si="84"/>
        <v>#DIV/0!</v>
      </c>
    </row>
    <row r="1201" spans="2:7">
      <c r="B1201" t="str">
        <f>CustomOperations!$B$9</f>
        <v>Drag, Custom</v>
      </c>
      <c r="C1201" s="137" t="str">
        <f>CustomOperations!$C$9</f>
        <v>acre</v>
      </c>
      <c r="D1201" s="166">
        <f>CustomOperations!$K$9</f>
        <v>0</v>
      </c>
      <c r="E1201" s="166">
        <f>CustomOperations!$K$10*$C$1160</f>
        <v>0</v>
      </c>
      <c r="F1201" s="166">
        <f t="shared" si="86"/>
        <v>0</v>
      </c>
      <c r="G1201" s="163" t="e">
        <f t="shared" si="84"/>
        <v>#DIV/0!</v>
      </c>
    </row>
    <row r="1202" spans="2:7">
      <c r="B1202" t="str">
        <f>CustomOperations!$B$11</f>
        <v>Chisel, Custom</v>
      </c>
      <c r="C1202" s="137" t="str">
        <f>CustomOperations!$C$11</f>
        <v>acre</v>
      </c>
      <c r="D1202" s="166">
        <f>CustomOperations!$K$11</f>
        <v>0</v>
      </c>
      <c r="E1202" s="166">
        <f>CustomOperations!$K$12*$C$1160</f>
        <v>0</v>
      </c>
      <c r="F1202" s="166">
        <f t="shared" si="86"/>
        <v>0</v>
      </c>
      <c r="G1202" s="163" t="e">
        <f t="shared" si="84"/>
        <v>#DIV/0!</v>
      </c>
    </row>
    <row r="1203" spans="2:7">
      <c r="B1203" t="str">
        <f>CustomOperations!$B$13</f>
        <v>Moldboard Plow, Custom</v>
      </c>
      <c r="C1203" s="137" t="str">
        <f>CustomOperations!$C$13</f>
        <v>acre</v>
      </c>
      <c r="D1203" s="166">
        <f>CustomOperations!$K$13</f>
        <v>0</v>
      </c>
      <c r="E1203" s="166">
        <f>CustomOperations!$K$14*$C$1160</f>
        <v>0</v>
      </c>
      <c r="F1203" s="166">
        <f t="shared" si="86"/>
        <v>0</v>
      </c>
      <c r="G1203" s="163" t="e">
        <f t="shared" si="84"/>
        <v>#DIV/0!</v>
      </c>
    </row>
    <row r="1204" spans="2:7">
      <c r="B1204" t="str">
        <f>CustomOperations!$B$15</f>
        <v>Landplane, Custom</v>
      </c>
      <c r="C1204" s="137" t="str">
        <f>CustomOperations!$C$15</f>
        <v>acre</v>
      </c>
      <c r="D1204" s="166">
        <f>CustomOperations!$K$15</f>
        <v>17.940000000000001</v>
      </c>
      <c r="E1204" s="166">
        <f>CustomOperations!$K$16*$C$1160</f>
        <v>0</v>
      </c>
      <c r="F1204" s="166">
        <f t="shared" si="86"/>
        <v>0</v>
      </c>
      <c r="G1204" s="163" t="e">
        <f t="shared" si="84"/>
        <v>#DIV/0!</v>
      </c>
    </row>
    <row r="1205" spans="2:7">
      <c r="B1205" t="str">
        <f>CustomOperations!$B$17</f>
        <v>Float, Custom</v>
      </c>
      <c r="C1205" s="137" t="str">
        <f>CustomOperations!$C$17</f>
        <v>acre</v>
      </c>
      <c r="D1205" s="166">
        <f>CustomOperations!$K$17</f>
        <v>17.940000000000001</v>
      </c>
      <c r="E1205" s="166">
        <f>CustomOperations!$K$18*$C$1160</f>
        <v>0</v>
      </c>
      <c r="F1205" s="166">
        <f t="shared" si="86"/>
        <v>0</v>
      </c>
      <c r="G1205" s="163" t="e">
        <f t="shared" si="84"/>
        <v>#DIV/0!</v>
      </c>
    </row>
    <row r="1206" spans="2:7">
      <c r="B1206" t="str">
        <f>CustomOperations!$B$19</f>
        <v>Lister, Custom</v>
      </c>
      <c r="C1206" s="137" t="str">
        <f>CustomOperations!$C$19</f>
        <v>acre</v>
      </c>
      <c r="D1206" s="166">
        <f>CustomOperations!$K$19</f>
        <v>20.38</v>
      </c>
      <c r="E1206" s="166">
        <f>CustomOperations!$K$20*$C$1160</f>
        <v>0</v>
      </c>
      <c r="F1206" s="166">
        <f t="shared" si="86"/>
        <v>0</v>
      </c>
      <c r="G1206" s="163" t="e">
        <f t="shared" si="84"/>
        <v>#DIV/0!</v>
      </c>
    </row>
    <row r="1207" spans="2:7">
      <c r="B1207" t="str">
        <f>CustomOperations!$B$21</f>
        <v>Bed Shape, Custom</v>
      </c>
      <c r="C1207" s="137" t="str">
        <f>CustomOperations!$C$21</f>
        <v>acre</v>
      </c>
      <c r="D1207" s="166">
        <f>CustomOperations!$K$21</f>
        <v>13.69</v>
      </c>
      <c r="E1207" s="166">
        <f>CustomOperations!$K$22*$C$1160</f>
        <v>0</v>
      </c>
      <c r="F1207" s="166">
        <f t="shared" si="86"/>
        <v>0</v>
      </c>
      <c r="G1207" s="163" t="e">
        <f t="shared" si="84"/>
        <v>#DIV/0!</v>
      </c>
    </row>
    <row r="1208" spans="2:7">
      <c r="B1208" t="str">
        <f>CustomOperations!$B$32</f>
        <v>Fertilizer Spreader, Custom</v>
      </c>
      <c r="C1208" s="137" t="str">
        <f>CustomOperations!$C$32</f>
        <v>acre</v>
      </c>
      <c r="D1208" s="166">
        <f>CustomOperations!$K$32</f>
        <v>10.08</v>
      </c>
      <c r="E1208" s="166">
        <f>CustomOperations!$K$33*$C$1160</f>
        <v>0</v>
      </c>
      <c r="F1208" s="166">
        <f>D1208*E1208</f>
        <v>0</v>
      </c>
      <c r="G1208" s="163" t="e">
        <f t="shared" si="84"/>
        <v>#DIV/0!</v>
      </c>
    </row>
    <row r="1209" spans="2:7">
      <c r="B1209" t="str">
        <f>CustomOperations!$B$34</f>
        <v>Laser Landplaning, Custom</v>
      </c>
      <c r="C1209" s="137" t="str">
        <f>CustomOperations!$C$34</f>
        <v>acre</v>
      </c>
      <c r="D1209" s="166">
        <f>CustomOperations!$K$34</f>
        <v>0</v>
      </c>
      <c r="E1209" s="166">
        <f>CustomOperations!$K$35*$C$1160</f>
        <v>0</v>
      </c>
      <c r="F1209" s="166">
        <f>D1209*E1209</f>
        <v>0</v>
      </c>
      <c r="G1209" s="163" t="e">
        <f t="shared" si="84"/>
        <v>#DIV/0!</v>
      </c>
    </row>
    <row r="1210" spans="2:7">
      <c r="B1210" t="str">
        <f>CustomOperations!$B$30</f>
        <v>Boom Sprayer, Custom</v>
      </c>
      <c r="C1210" s="137" t="str">
        <f>CustomOperations!$C$30</f>
        <v>acre</v>
      </c>
      <c r="D1210" s="166">
        <f>CustomOperations!$K$30</f>
        <v>10.050000000000001</v>
      </c>
      <c r="E1210" s="166">
        <f>CustomOperations!$K$31*$C$1160</f>
        <v>0</v>
      </c>
      <c r="F1210" s="166">
        <f t="shared" ref="F1210:F1232" si="87">D1210*E1210</f>
        <v>0</v>
      </c>
      <c r="G1210" s="163" t="e">
        <f t="shared" si="84"/>
        <v>#DIV/0!</v>
      </c>
    </row>
    <row r="1211" spans="2:7">
      <c r="B1211" s="463" t="str">
        <f>TillageOperations!$B$7&amp;" (Repairs, maint., fuel &amp; lube)"</f>
        <v>V-Ripper (Repairs, maint., fuel &amp; lube)</v>
      </c>
      <c r="C1211" s="464" t="s">
        <v>157</v>
      </c>
      <c r="D1211" s="166">
        <f>PubMachineryTables!$AM$49+PubMachineryTables!$AN$49</f>
        <v>30.16333889180672</v>
      </c>
      <c r="E1211" s="166">
        <f>TillageOperations!$J$7*$C$1160</f>
        <v>0</v>
      </c>
      <c r="F1211" s="166">
        <f t="shared" si="87"/>
        <v>0</v>
      </c>
      <c r="G1211" s="163" t="e">
        <f t="shared" si="84"/>
        <v>#DIV/0!</v>
      </c>
    </row>
    <row r="1212" spans="2:7">
      <c r="B1212" s="463" t="str">
        <f>TillageOperations!$B$7&amp;" (Labor)"</f>
        <v>V-Ripper (Labor)</v>
      </c>
      <c r="C1212" s="464" t="s">
        <v>157</v>
      </c>
      <c r="D1212" s="166">
        <f>PubMachineryTables!$AL$49</f>
        <v>13.529312500000001</v>
      </c>
      <c r="E1212" s="166">
        <f>TillageOperations!$J$7*$C$1160</f>
        <v>0</v>
      </c>
      <c r="F1212" s="166">
        <f t="shared" si="87"/>
        <v>0</v>
      </c>
      <c r="G1212" s="163" t="e">
        <f t="shared" si="84"/>
        <v>#DIV/0!</v>
      </c>
    </row>
    <row r="1213" spans="2:7">
      <c r="B1213" s="463" t="str">
        <f>TillageOperations!$B$8&amp;" (Repairs, maint., fuel &amp; lube)"</f>
        <v>Offset Disk (Repairs, maint., fuel &amp; lube)</v>
      </c>
      <c r="C1213" s="464" t="s">
        <v>157</v>
      </c>
      <c r="D1213" s="166">
        <f>PubMachineryTables!$AN$50+PubMachineryTables!$AM$50</f>
        <v>10.332318567950058</v>
      </c>
      <c r="E1213" s="166">
        <f>TillageOperations!$J$8*$C$1160</f>
        <v>0</v>
      </c>
      <c r="F1213" s="166">
        <f t="shared" si="87"/>
        <v>0</v>
      </c>
      <c r="G1213" s="163" t="e">
        <f t="shared" si="84"/>
        <v>#DIV/0!</v>
      </c>
    </row>
    <row r="1214" spans="2:7">
      <c r="B1214" s="463" t="str">
        <f>TillageOperations!$B$8&amp;" (Labor)"</f>
        <v>Offset Disk (Labor)</v>
      </c>
      <c r="C1214" s="464" t="s">
        <v>157</v>
      </c>
      <c r="D1214" s="166">
        <f>PubMachineryTables!$AL$50</f>
        <v>4.7161002178649252</v>
      </c>
      <c r="E1214" s="166">
        <f>TillageOperations!$J$8*$C$1160</f>
        <v>0</v>
      </c>
      <c r="F1214" s="166">
        <f t="shared" si="87"/>
        <v>0</v>
      </c>
      <c r="G1214" s="163" t="e">
        <f t="shared" si="84"/>
        <v>#DIV/0!</v>
      </c>
    </row>
    <row r="1215" spans="2:7">
      <c r="B1215" s="463" t="str">
        <f>TillageOperations!$B$9&amp;" (Repairs, maint., fuel &amp; lube)"</f>
        <v>Drag (Repairs, maint., fuel &amp; lube)</v>
      </c>
      <c r="C1215" s="464" t="s">
        <v>157</v>
      </c>
      <c r="D1215" s="166">
        <f>PubMachineryTables!$AN$51+PubMachineryTables!$AM$51</f>
        <v>2.4803921568627447</v>
      </c>
      <c r="E1215" s="166">
        <f>TillageOperations!$J$9*$C$1160</f>
        <v>0</v>
      </c>
      <c r="F1215" s="166">
        <f t="shared" si="87"/>
        <v>0</v>
      </c>
      <c r="G1215" s="163" t="e">
        <f t="shared" si="84"/>
        <v>#DIV/0!</v>
      </c>
    </row>
    <row r="1216" spans="2:7">
      <c r="B1216" s="463" t="str">
        <f>TillageOperations!$B$9&amp;" (Labor)"</f>
        <v>Drag (Labor)</v>
      </c>
      <c r="C1216" s="464" t="s">
        <v>157</v>
      </c>
      <c r="D1216" s="166">
        <f>PubMachineryTables!$AL$51</f>
        <v>2.1222450980392158</v>
      </c>
      <c r="E1216" s="166">
        <f>TillageOperations!$J$9*$C$1160</f>
        <v>0</v>
      </c>
      <c r="F1216" s="166">
        <f t="shared" si="87"/>
        <v>0</v>
      </c>
      <c r="G1216" s="163" t="e">
        <f t="shared" si="84"/>
        <v>#DIV/0!</v>
      </c>
    </row>
    <row r="1217" spans="2:7">
      <c r="B1217" s="463" t="str">
        <f>TillageOperations!$B$10&amp;" (Repairs, maint., fuel &amp; lube)"</f>
        <v>Chisel (Repairs, maint., fuel &amp; lube)</v>
      </c>
      <c r="C1217" s="464" t="s">
        <v>157</v>
      </c>
      <c r="D1217" s="166">
        <f>PubMachineryTables!$AN$52+PubMachineryTables!$AM$52</f>
        <v>8.5884820270019766</v>
      </c>
      <c r="E1217" s="166">
        <f>TillageOperations!$J$10*$C$1160</f>
        <v>0</v>
      </c>
      <c r="F1217" s="166">
        <f t="shared" si="87"/>
        <v>0</v>
      </c>
      <c r="G1217" s="163" t="e">
        <f t="shared" si="84"/>
        <v>#DIV/0!</v>
      </c>
    </row>
    <row r="1218" spans="2:7">
      <c r="B1218" s="463" t="str">
        <f>TillageOperations!$B$10&amp;" (Labor)"</f>
        <v>Chisel (Labor)</v>
      </c>
      <c r="C1218" s="464" t="s">
        <v>157</v>
      </c>
      <c r="D1218" s="166">
        <f>PubMachineryTables!$AL$52</f>
        <v>3.9792095588235301</v>
      </c>
      <c r="E1218" s="166">
        <f>TillageOperations!$J$10*$C$1160</f>
        <v>0</v>
      </c>
      <c r="F1218" s="166">
        <f t="shared" si="87"/>
        <v>0</v>
      </c>
      <c r="G1218" s="163" t="e">
        <f t="shared" si="84"/>
        <v>#DIV/0!</v>
      </c>
    </row>
    <row r="1219" spans="2:7">
      <c r="B1219" s="463" t="str">
        <f>TillageOperations!$B$11&amp;" (Repairs, maint., fuel &amp; lube)"</f>
        <v>Moldboard Plow (Repairs, maint., fuel &amp; lube)</v>
      </c>
      <c r="C1219" s="464" t="s">
        <v>157</v>
      </c>
      <c r="D1219" s="166">
        <f>PubMachineryTables!$AN$53+PubMachineryTables!$AM$53</f>
        <v>14.457142857142856</v>
      </c>
      <c r="E1219" s="166">
        <f>TillageOperations!$J$11*$C$1160</f>
        <v>0</v>
      </c>
      <c r="F1219" s="166">
        <f t="shared" si="87"/>
        <v>0</v>
      </c>
      <c r="G1219" s="163" t="e">
        <f t="shared" si="84"/>
        <v>#DIV/0!</v>
      </c>
    </row>
    <row r="1220" spans="2:7">
      <c r="B1220" s="463" t="str">
        <f>TillageOperations!$B$11&amp;" (Labor)"</f>
        <v>Moldboard Plow (Labor)</v>
      </c>
      <c r="C1220" s="464" t="s">
        <v>157</v>
      </c>
      <c r="D1220" s="166">
        <f>PubMachineryTables!$AL$53</f>
        <v>7.7310357142857153</v>
      </c>
      <c r="E1220" s="166">
        <f>TillageOperations!$J$11*$C$1160</f>
        <v>0</v>
      </c>
      <c r="F1220" s="166">
        <f t="shared" si="87"/>
        <v>0</v>
      </c>
      <c r="G1220" s="163" t="e">
        <f t="shared" si="84"/>
        <v>#DIV/0!</v>
      </c>
    </row>
    <row r="1221" spans="2:7">
      <c r="B1221" s="463" t="str">
        <f>TillageOperations!$B$12&amp;" (Repairs, maint., fuel &amp; lube)"</f>
        <v>Cultivator (Repairs, maint., fuel &amp; lube)</v>
      </c>
      <c r="C1221" s="464" t="s">
        <v>157</v>
      </c>
      <c r="D1221" s="166">
        <f>PubMachineryTables!$AN$54+PubMachineryTables!$AM$54</f>
        <v>5.7828571428571429</v>
      </c>
      <c r="E1221" s="166">
        <f>TillageOperations!$J$12*$C$1160</f>
        <v>0</v>
      </c>
      <c r="F1221" s="166">
        <f t="shared" si="87"/>
        <v>0</v>
      </c>
      <c r="G1221" s="163" t="e">
        <f t="shared" si="84"/>
        <v>#DIV/0!</v>
      </c>
    </row>
    <row r="1222" spans="2:7">
      <c r="B1222" s="463" t="str">
        <f>TillageOperations!$B$12&amp;" (Labor)"</f>
        <v>Cultivator (Labor)</v>
      </c>
      <c r="C1222" s="464" t="s">
        <v>157</v>
      </c>
      <c r="D1222" s="166">
        <f>PubMachineryTables!$AL$54</f>
        <v>3.0924142857142862</v>
      </c>
      <c r="E1222" s="166">
        <f>TillageOperations!$J$12*$C$1160</f>
        <v>0</v>
      </c>
      <c r="F1222" s="166">
        <f t="shared" si="87"/>
        <v>0</v>
      </c>
      <c r="G1222" s="163" t="e">
        <f t="shared" si="84"/>
        <v>#DIV/0!</v>
      </c>
    </row>
    <row r="1223" spans="2:7">
      <c r="B1223" s="463" t="str">
        <f>TillageOperations!$B$13&amp;" (Repairs, maint., fuel &amp; lube)"</f>
        <v>Landplane (Repairs, maint., fuel &amp; lube)</v>
      </c>
      <c r="C1223" s="464" t="s">
        <v>157</v>
      </c>
      <c r="D1223" s="166">
        <f>PubMachineryTables!$AN$55+PubMachineryTables!$AM$55</f>
        <v>8.0445253976590632</v>
      </c>
      <c r="E1223" s="166">
        <f>TillageOperations!$J$13*$C$1160</f>
        <v>0</v>
      </c>
      <c r="F1223" s="166">
        <f t="shared" si="87"/>
        <v>0</v>
      </c>
      <c r="G1223" s="163" t="e">
        <f t="shared" si="84"/>
        <v>#DIV/0!</v>
      </c>
    </row>
    <row r="1224" spans="2:7">
      <c r="B1224" s="463" t="str">
        <f>TillageOperations!$B$13&amp;" (Labor)"</f>
        <v>Landplane (Labor)</v>
      </c>
      <c r="C1224" s="464" t="s">
        <v>157</v>
      </c>
      <c r="D1224" s="166">
        <f>PubMachineryTables!$AL$55</f>
        <v>3.8655178571428577</v>
      </c>
      <c r="E1224" s="166">
        <f>TillageOperations!$J$13*$C$1160</f>
        <v>0</v>
      </c>
      <c r="F1224" s="166">
        <f t="shared" si="87"/>
        <v>0</v>
      </c>
      <c r="G1224" s="163" t="e">
        <f t="shared" si="84"/>
        <v>#DIV/0!</v>
      </c>
    </row>
    <row r="1225" spans="2:7">
      <c r="B1225" s="463" t="str">
        <f>TillageOperations!$B$14&amp;" (Repairs, maint., fuel &amp; lube)"</f>
        <v>Float (Repairs, maint., fuel &amp; lube)</v>
      </c>
      <c r="C1225" s="464" t="s">
        <v>157</v>
      </c>
      <c r="D1225" s="166">
        <f>PubMachineryTables!$AN$56+PubMachineryTables!$AM$56</f>
        <v>5.1632653061224492</v>
      </c>
      <c r="E1225" s="166">
        <f>TillageOperations!$J$14*$C$1160</f>
        <v>0</v>
      </c>
      <c r="F1225" s="166">
        <f t="shared" si="87"/>
        <v>0</v>
      </c>
      <c r="G1225" s="163" t="e">
        <f t="shared" si="84"/>
        <v>#DIV/0!</v>
      </c>
    </row>
    <row r="1226" spans="2:7">
      <c r="B1226" s="463" t="str">
        <f>TillageOperations!$B$14&amp;" (Labor)"</f>
        <v>Float (Labor)</v>
      </c>
      <c r="C1226" s="464" t="s">
        <v>157</v>
      </c>
      <c r="D1226" s="166">
        <f>PubMachineryTables!$AL$56</f>
        <v>4.4177346938775521</v>
      </c>
      <c r="E1226" s="166">
        <f>TillageOperations!$J$14*$C$1160</f>
        <v>0</v>
      </c>
      <c r="F1226" s="166">
        <f t="shared" si="87"/>
        <v>0</v>
      </c>
      <c r="G1226" s="163" t="e">
        <f t="shared" si="84"/>
        <v>#DIV/0!</v>
      </c>
    </row>
    <row r="1227" spans="2:7">
      <c r="B1227" s="463" t="str">
        <f>TillageOperations!$B$15&amp;" (Repairs, maint., fuel &amp; lube)"</f>
        <v>Lister (Repairs, maint., fuel &amp; lube)</v>
      </c>
      <c r="C1227" s="464" t="s">
        <v>157</v>
      </c>
      <c r="D1227" s="166">
        <f>PubMachineryTables!$AN$57+PubMachineryTables!$AM$57</f>
        <v>11.879642797844287</v>
      </c>
      <c r="E1227" s="166">
        <f>TillageOperations!$J$15*$C$1160</f>
        <v>0</v>
      </c>
      <c r="F1227" s="166">
        <f t="shared" si="87"/>
        <v>0</v>
      </c>
      <c r="G1227" s="163" t="e">
        <f t="shared" si="84"/>
        <v>#DIV/0!</v>
      </c>
    </row>
    <row r="1228" spans="2:7">
      <c r="B1228" s="463" t="str">
        <f>TillageOperations!$B$15&amp;" (Labor)"</f>
        <v>Lister (Labor)</v>
      </c>
      <c r="C1228" s="464" t="s">
        <v>157</v>
      </c>
      <c r="D1228" s="166">
        <f>PubMachineryTables!$AL$57</f>
        <v>6.1848285714285725</v>
      </c>
      <c r="E1228" s="166">
        <f>TillageOperations!$J$15*$C$1160</f>
        <v>0</v>
      </c>
      <c r="F1228" s="166">
        <f t="shared" si="87"/>
        <v>0</v>
      </c>
      <c r="G1228" s="163" t="e">
        <f t="shared" si="84"/>
        <v>#DIV/0!</v>
      </c>
    </row>
    <row r="1229" spans="2:7">
      <c r="B1229" s="463" t="str">
        <f>TillageOperations!$B$16&amp;" (Repairs, maint., fuel &amp; lube)"</f>
        <v>Bed Shaper (Repairs, maint., fuel &amp; lube)</v>
      </c>
      <c r="C1229" s="464" t="s">
        <v>157</v>
      </c>
      <c r="D1229" s="166">
        <f>PubMachineryTables!$AN$58+PubMachineryTables!$AM$58</f>
        <v>5.9574634784635725</v>
      </c>
      <c r="E1229" s="166">
        <f>TillageOperations!$J$16*$C$1160</f>
        <v>0</v>
      </c>
      <c r="F1229" s="166">
        <f t="shared" si="87"/>
        <v>0</v>
      </c>
      <c r="G1229" s="163" t="e">
        <f t="shared" si="84"/>
        <v>#DIV/0!</v>
      </c>
    </row>
    <row r="1230" spans="2:7">
      <c r="B1230" s="463" t="str">
        <f>TillageOperations!$B$16&amp;" (Labor)"</f>
        <v>Bed Shaper (Labor)</v>
      </c>
      <c r="C1230" s="464" t="s">
        <v>157</v>
      </c>
      <c r="D1230" s="166">
        <f>PubMachineryTables!$AL$58</f>
        <v>3.0924142857142862</v>
      </c>
      <c r="E1230" s="166">
        <f>TillageOperations!$J$16*$C$1160</f>
        <v>0</v>
      </c>
      <c r="F1230" s="166">
        <f t="shared" si="87"/>
        <v>0</v>
      </c>
      <c r="G1230" s="163" t="e">
        <f t="shared" ref="G1230:G1293" si="88">F1230/C$1160</f>
        <v>#DIV/0!</v>
      </c>
    </row>
    <row r="1231" spans="2:7">
      <c r="B1231" s="463" t="str">
        <f>TillageOperations!$B$19&amp;" (Repairs, maint., fuel &amp; lube)"</f>
        <v>Row Planter (Repairs, maint., fuel &amp; lube)</v>
      </c>
      <c r="C1231" s="464" t="s">
        <v>157</v>
      </c>
      <c r="D1231" s="166">
        <f>PubMachineryTables!$AN$60+PubMachineryTables!$AM$60</f>
        <v>8.8400048303091552</v>
      </c>
      <c r="E1231" s="166">
        <f>TillageOperations!$J$19*$C$1160</f>
        <v>0</v>
      </c>
      <c r="F1231" s="166">
        <f t="shared" si="87"/>
        <v>0</v>
      </c>
      <c r="G1231" s="163" t="e">
        <f t="shared" si="88"/>
        <v>#DIV/0!</v>
      </c>
    </row>
    <row r="1232" spans="2:7">
      <c r="B1232" s="463" t="str">
        <f>TillageOperations!$B$19&amp;" (Labor)"</f>
        <v>Row Planter (Labor)</v>
      </c>
      <c r="C1232" s="464" t="s">
        <v>157</v>
      </c>
      <c r="D1232" s="166">
        <f>PubMachineryTables!$AL$60</f>
        <v>4.5097708333333344</v>
      </c>
      <c r="E1232" s="166">
        <f>TillageOperations!$J$19*$C$1160</f>
        <v>0</v>
      </c>
      <c r="F1232" s="166">
        <f t="shared" si="87"/>
        <v>0</v>
      </c>
      <c r="G1232" s="163" t="e">
        <f t="shared" si="88"/>
        <v>#DIV/0!</v>
      </c>
    </row>
    <row r="1233" spans="2:7">
      <c r="B1233" s="463" t="str">
        <f>TillageOperations!$B$20&amp;" (Repairs, maint., fuel &amp; lube)"</f>
        <v>Row Cultivator (Repairs, maint., fuel &amp; lube)</v>
      </c>
      <c r="C1233" s="464" t="s">
        <v>157</v>
      </c>
      <c r="D1233" s="166">
        <f>PubMachineryTables!$AN$61+PubMachineryTables!$AM$61</f>
        <v>3.5823141032725374</v>
      </c>
      <c r="E1233" s="166">
        <f>TillageOperations!$J$20*$C$1160</f>
        <v>0</v>
      </c>
      <c r="F1233" s="166">
        <f>D1233*E1233</f>
        <v>0</v>
      </c>
      <c r="G1233" s="163" t="e">
        <f t="shared" si="88"/>
        <v>#DIV/0!</v>
      </c>
    </row>
    <row r="1234" spans="2:7">
      <c r="B1234" s="463" t="str">
        <f>TillageOperations!$B$20&amp;" (Labor)"</f>
        <v>Row Cultivator (Labor)</v>
      </c>
      <c r="C1234" s="464" t="s">
        <v>157</v>
      </c>
      <c r="D1234" s="166">
        <f>PubMachineryTables!$AL$61</f>
        <v>3.0065138888888892</v>
      </c>
      <c r="E1234" s="166">
        <f>TillageOperations!$J$20*$C$1160</f>
        <v>0</v>
      </c>
      <c r="F1234" s="166">
        <f>D1234*E1234</f>
        <v>0</v>
      </c>
      <c r="G1234" s="163" t="e">
        <f t="shared" si="88"/>
        <v>#DIV/0!</v>
      </c>
    </row>
    <row r="1235" spans="2:7">
      <c r="B1235" s="463" t="str">
        <f>TillageOperations!$B$21&amp;" (Repairs, maint., fuel &amp; lube)"</f>
        <v>Drill (Repairs, maint., fuel &amp; lube)</v>
      </c>
      <c r="C1235" s="464" t="s">
        <v>157</v>
      </c>
      <c r="D1235" s="166">
        <f>PubMachineryTables!$AN$62+PubMachineryTables!$AM$62</f>
        <v>7.6986395922631168</v>
      </c>
      <c r="E1235" s="166">
        <f>TillageOperations!$J$21*$C$1160</f>
        <v>0</v>
      </c>
      <c r="F1235" s="166">
        <f>D1235*E1235</f>
        <v>0</v>
      </c>
      <c r="G1235" s="163" t="e">
        <f t="shared" si="88"/>
        <v>#DIV/0!</v>
      </c>
    </row>
    <row r="1236" spans="2:7">
      <c r="B1236" s="463" t="str">
        <f>TillageOperations!$B$21&amp;" (Labor)"</f>
        <v>Drill (Labor)</v>
      </c>
      <c r="C1236" s="464" t="s">
        <v>157</v>
      </c>
      <c r="D1236" s="166">
        <f>PubMachineryTables!$AL$62</f>
        <v>5.4117250000000006</v>
      </c>
      <c r="E1236" s="166">
        <f>TillageOperations!$J$21*$C$1160</f>
        <v>0</v>
      </c>
      <c r="F1236" s="166">
        <f>D1236*E1236</f>
        <v>0</v>
      </c>
      <c r="G1236" s="163" t="e">
        <f t="shared" si="88"/>
        <v>#DIV/0!</v>
      </c>
    </row>
    <row r="1237" spans="2:7">
      <c r="B1237" s="75" t="str">
        <f>TillageOperations!$B$27&amp;" (Repairs, maint., fuel &amp; lube)"</f>
        <v>Cotton Picker (Repairs, maint., fuel &amp; lube)</v>
      </c>
      <c r="C1237" s="464" t="s">
        <v>157</v>
      </c>
      <c r="D1237" s="166">
        <f>PubMachineryTables!$AN$67+PubMachineryTables!$AM$67</f>
        <v>20.587703435804702</v>
      </c>
      <c r="E1237" s="166">
        <f>TillageOperations!$J$27*$C$1160</f>
        <v>0</v>
      </c>
      <c r="F1237" s="166">
        <f t="shared" ref="F1237:F1244" si="89">D1237*E1237</f>
        <v>0</v>
      </c>
      <c r="G1237" s="163" t="e">
        <f t="shared" si="88"/>
        <v>#DIV/0!</v>
      </c>
    </row>
    <row r="1238" spans="2:7">
      <c r="B1238" t="str">
        <f>TillageOperations!$B$27&amp;" (Labor)"</f>
        <v>Cotton Picker (Labor)</v>
      </c>
      <c r="C1238" s="464" t="s">
        <v>157</v>
      </c>
      <c r="D1238" s="166">
        <f>PubMachineryTables!$AL$67</f>
        <v>7.3395908679927677</v>
      </c>
      <c r="E1238" s="166">
        <f>TillageOperations!$J$27*$C$1160</f>
        <v>0</v>
      </c>
      <c r="F1238" s="166">
        <f t="shared" si="89"/>
        <v>0</v>
      </c>
      <c r="G1238" s="163" t="e">
        <f t="shared" si="88"/>
        <v>#DIV/0!</v>
      </c>
    </row>
    <row r="1239" spans="2:7">
      <c r="B1239" s="75" t="str">
        <f>TillageOperations!$B$28&amp;" (Repairs, maint., fuel &amp; lube)"</f>
        <v>Module Unit (Repairs, maint., fuel &amp; lube)</v>
      </c>
      <c r="C1239" s="464" t="s">
        <v>157</v>
      </c>
      <c r="D1239" s="166">
        <f>PubMachineryTables!$AN$68+PubMachineryTables!$AM$68</f>
        <v>7.0644080416976918</v>
      </c>
      <c r="E1239" s="166">
        <f>TillageOperations!$J$28*$C$1160</f>
        <v>0</v>
      </c>
      <c r="F1239" s="166">
        <f t="shared" si="89"/>
        <v>0</v>
      </c>
      <c r="G1239" s="163" t="e">
        <f t="shared" si="88"/>
        <v>#DIV/0!</v>
      </c>
    </row>
    <row r="1240" spans="2:7">
      <c r="B1240" t="str">
        <f>TillageOperations!$B$28&amp;" (Labor)"</f>
        <v>Module Unit (Labor)</v>
      </c>
      <c r="C1240" s="464" t="s">
        <v>157</v>
      </c>
      <c r="D1240" s="166">
        <f>PubMachineryTables!$AL$68</f>
        <v>6.0443689501116911</v>
      </c>
      <c r="E1240" s="166">
        <f>TillageOperations!$J$28*$C$1160</f>
        <v>0</v>
      </c>
      <c r="F1240" s="166">
        <f t="shared" si="89"/>
        <v>0</v>
      </c>
      <c r="G1240" s="163" t="e">
        <f t="shared" si="88"/>
        <v>#DIV/0!</v>
      </c>
    </row>
    <row r="1241" spans="2:7">
      <c r="B1241" t="str">
        <f>TillageOperations!$B$29&amp;" (Repairs, maint., fuel &amp; lube)"</f>
        <v>Haul Cotton (Repairs, maint., fuel &amp; lube)</v>
      </c>
      <c r="C1241" s="464" t="s">
        <v>157</v>
      </c>
      <c r="D1241" s="166">
        <f>PubMachineryTables!$AN$69+PubMachineryTables!$AM$69</f>
        <v>7.0644080416976918</v>
      </c>
      <c r="E1241" s="166">
        <f>TillageOperations!$J$29*$C$1160</f>
        <v>0</v>
      </c>
      <c r="F1241" s="166">
        <f t="shared" si="89"/>
        <v>0</v>
      </c>
      <c r="G1241" s="163" t="e">
        <f t="shared" si="88"/>
        <v>#DIV/0!</v>
      </c>
    </row>
    <row r="1242" spans="2:7">
      <c r="B1242" t="str">
        <f>TillageOperations!$B$29&amp;" (Labor)"</f>
        <v>Haul Cotton (Labor)</v>
      </c>
      <c r="C1242" s="464" t="s">
        <v>157</v>
      </c>
      <c r="D1242" s="166">
        <f>PubMachineryTables!$AL$69</f>
        <v>6.0443689501116911</v>
      </c>
      <c r="E1242" s="166">
        <f>TillageOperations!$J$29*$C$1160</f>
        <v>0</v>
      </c>
      <c r="F1242" s="166">
        <f t="shared" si="89"/>
        <v>0</v>
      </c>
      <c r="G1242" s="163" t="e">
        <f t="shared" si="88"/>
        <v>#DIV/0!</v>
      </c>
    </row>
    <row r="1243" spans="2:7">
      <c r="B1243" t="str">
        <f>TillageOperations!$B$17&amp;" (Repairs, maint., fuel &amp; lube)"</f>
        <v>Cotton Shredder/Root Puller (Repairs, maint., fuel &amp; lube)</v>
      </c>
      <c r="C1243" s="464" t="s">
        <v>157</v>
      </c>
      <c r="D1243" s="166">
        <f>PubMachineryTables!$AN$59+PubMachineryTables!$AM$59</f>
        <v>3.4657534246575339</v>
      </c>
      <c r="E1243" s="166">
        <f>TillageOperations!$J$17*$C$1160</f>
        <v>0</v>
      </c>
      <c r="F1243" s="166">
        <f t="shared" si="89"/>
        <v>0</v>
      </c>
      <c r="G1243" s="163" t="e">
        <f t="shared" si="88"/>
        <v>#DIV/0!</v>
      </c>
    </row>
    <row r="1244" spans="2:7">
      <c r="B1244" t="str">
        <f>TillageOperations!$B$17&amp;" (Labor)"</f>
        <v>Cotton Shredder/Root Puller (Labor)</v>
      </c>
      <c r="C1244" s="464" t="s">
        <v>157</v>
      </c>
      <c r="D1244" s="166">
        <f>PubMachineryTables!$AL$59</f>
        <v>2.965328767123288</v>
      </c>
      <c r="E1244" s="166">
        <f>TillageOperations!$J$17*$C$1160</f>
        <v>0</v>
      </c>
      <c r="F1244" s="166">
        <f t="shared" si="89"/>
        <v>0</v>
      </c>
      <c r="G1244" s="163" t="e">
        <f t="shared" si="88"/>
        <v>#DIV/0!</v>
      </c>
    </row>
    <row r="1245" spans="2:7">
      <c r="B1245" t="str">
        <f>TillageOperations!$B$30&amp;" (Repairs, maint., fuel &amp; lube)"</f>
        <v>Combine (Repairs, maint., fuel &amp; lube)</v>
      </c>
      <c r="C1245" s="464" t="s">
        <v>157</v>
      </c>
      <c r="D1245" s="166">
        <f>PubMachineryTables!$AN$70+PubMachineryTables!$AM$70</f>
        <v>4.8939818019913757</v>
      </c>
      <c r="E1245" s="166">
        <f>TillageOperations!$J$30*$C$1160</f>
        <v>0</v>
      </c>
      <c r="F1245" s="166">
        <f>D1245*E1245</f>
        <v>0</v>
      </c>
      <c r="G1245" s="163" t="e">
        <f t="shared" si="88"/>
        <v>#DIV/0!</v>
      </c>
    </row>
    <row r="1246" spans="2:7">
      <c r="B1246" t="str">
        <f>TillageOperations!$B$30&amp;" (Labor)"</f>
        <v>Combine (Labor)</v>
      </c>
      <c r="C1246" s="464" t="s">
        <v>157</v>
      </c>
      <c r="D1246" s="166">
        <f>PubMachineryTables!$AL$70</f>
        <v>1.591683823529412</v>
      </c>
      <c r="E1246" s="166">
        <f>TillageOperations!$J$30*$C$1160</f>
        <v>0</v>
      </c>
      <c r="F1246" s="166">
        <f>D1246*E1246</f>
        <v>0</v>
      </c>
      <c r="G1246" s="163" t="e">
        <f t="shared" si="88"/>
        <v>#DIV/0!</v>
      </c>
    </row>
    <row r="1247" spans="2:7">
      <c r="B1247" t="str">
        <f>TillageOperations!$B$31&amp;" (Repairs, maint., fuel &amp; lube)"</f>
        <v>Grain Cart (Repairs, maint., fuel &amp; lube)</v>
      </c>
      <c r="C1247" s="464" t="s">
        <v>157</v>
      </c>
      <c r="D1247" s="166">
        <f>PubMachineryTables!$AN$71+PubMachineryTables!$AM$71</f>
        <v>3.2163097667975675</v>
      </c>
      <c r="E1247" s="166">
        <f>TillageOperations!$J$31*$C$1160</f>
        <v>0</v>
      </c>
      <c r="F1247" s="166">
        <f>D1247*E1247</f>
        <v>0</v>
      </c>
      <c r="G1247" s="163" t="e">
        <f t="shared" si="88"/>
        <v>#DIV/0!</v>
      </c>
    </row>
    <row r="1248" spans="2:7">
      <c r="B1248" t="str">
        <f>TillageOperations!$B$31&amp;" (Labor)"</f>
        <v>Grain Cart (Labor)</v>
      </c>
      <c r="C1248" s="464" t="s">
        <v>157</v>
      </c>
      <c r="D1248" s="166">
        <f>PubMachineryTables!$AL$71</f>
        <v>1.591683823529412</v>
      </c>
      <c r="E1248" s="166">
        <f>TillageOperations!$J$31*$C$1160</f>
        <v>0</v>
      </c>
      <c r="F1248" s="166">
        <f>D1248*E1248</f>
        <v>0</v>
      </c>
      <c r="G1248" s="163" t="e">
        <f t="shared" si="88"/>
        <v>#DIV/0!</v>
      </c>
    </row>
    <row r="1249" spans="2:7">
      <c r="B1249" t="str">
        <f>TillageOperations!$B$32&amp;" (Repairs, maint., fuel &amp; lube)"</f>
        <v>Swather (Repairs, maint., fuel &amp; lube)</v>
      </c>
      <c r="C1249" s="464" t="s">
        <v>157</v>
      </c>
      <c r="D1249" s="166">
        <f>PubMachineryTables!$AN$72+PubMachineryTables!$AM$72</f>
        <v>2.0239999999999996</v>
      </c>
      <c r="E1249" s="166">
        <f>TillageOperations!$J$32*$C$1160</f>
        <v>0</v>
      </c>
      <c r="F1249" s="166">
        <f t="shared" ref="F1249:F1273" si="90">D1249*E1249</f>
        <v>0</v>
      </c>
      <c r="G1249" s="163" t="e">
        <f t="shared" si="88"/>
        <v>#DIV/0!</v>
      </c>
    </row>
    <row r="1250" spans="2:7">
      <c r="B1250" t="str">
        <f>TillageOperations!$B$32&amp;" (Labor)"</f>
        <v>Swather (Labor)</v>
      </c>
      <c r="C1250" s="464" t="s">
        <v>157</v>
      </c>
      <c r="D1250" s="166">
        <f>PubMachineryTables!$AL$72</f>
        <v>2.1646900000000002</v>
      </c>
      <c r="E1250" s="166">
        <f>TillageOperations!$J$32*$C$1160</f>
        <v>0</v>
      </c>
      <c r="F1250" s="166">
        <f t="shared" si="90"/>
        <v>0</v>
      </c>
      <c r="G1250" s="163" t="e">
        <f t="shared" si="88"/>
        <v>#DIV/0!</v>
      </c>
    </row>
    <row r="1251" spans="2:7">
      <c r="B1251" t="str">
        <f>TillageOperations!$B$33&amp;" (Repairs, maint., fuel &amp; lube)"</f>
        <v>Baler (Repairs, maint., fuel &amp; lube)</v>
      </c>
      <c r="C1251" s="464" t="s">
        <v>157</v>
      </c>
      <c r="D1251" s="166">
        <f>PubMachineryTables!$AN$73+PubMachineryTables!$AM$73</f>
        <v>3.953125</v>
      </c>
      <c r="E1251" s="166">
        <f>TillageOperations!$J$33*$C$1160</f>
        <v>0</v>
      </c>
      <c r="F1251" s="166">
        <f t="shared" si="90"/>
        <v>0</v>
      </c>
      <c r="G1251" s="163" t="e">
        <f t="shared" si="88"/>
        <v>#DIV/0!</v>
      </c>
    </row>
    <row r="1252" spans="2:7">
      <c r="B1252" t="str">
        <f>TillageOperations!$B$33&amp;" (Labor)"</f>
        <v>Baler (Labor)</v>
      </c>
      <c r="C1252" s="464" t="s">
        <v>157</v>
      </c>
      <c r="D1252" s="166">
        <f>PubMachineryTables!$AL$73</f>
        <v>3.3823281250000004</v>
      </c>
      <c r="E1252" s="166">
        <f>TillageOperations!$J$33*$C$1160</f>
        <v>0</v>
      </c>
      <c r="F1252" s="166">
        <f t="shared" si="90"/>
        <v>0</v>
      </c>
      <c r="G1252" s="163" t="e">
        <f t="shared" si="88"/>
        <v>#DIV/0!</v>
      </c>
    </row>
    <row r="1253" spans="2:7">
      <c r="B1253" t="str">
        <f>TillageOperations!$B$34&amp;" (Repairs, maint., fuel &amp; lube)"</f>
        <v>Swather (Repairs, maint., fuel &amp; lube)</v>
      </c>
      <c r="C1253" s="464" t="s">
        <v>157</v>
      </c>
      <c r="D1253" s="166">
        <f>PubMachineryTables!$AN$74+PubMachineryTables!$AM$74</f>
        <v>19.46153846153846</v>
      </c>
      <c r="E1253" s="166">
        <f>TillageOperations!$J$34*$C$1160</f>
        <v>0</v>
      </c>
      <c r="F1253" s="166">
        <f t="shared" si="90"/>
        <v>0</v>
      </c>
      <c r="G1253" s="163" t="e">
        <f t="shared" si="88"/>
        <v>#DIV/0!</v>
      </c>
    </row>
    <row r="1254" spans="2:7">
      <c r="B1254" t="str">
        <f>TillageOperations!$B$34&amp;" (Labor)"</f>
        <v>Swather (Labor)</v>
      </c>
      <c r="C1254" s="464" t="s">
        <v>157</v>
      </c>
      <c r="D1254" s="166">
        <f>PubMachineryTables!$AL$74</f>
        <v>20.814326923076923</v>
      </c>
      <c r="E1254" s="166">
        <f>TillageOperations!$J$34*$C$1160</f>
        <v>0</v>
      </c>
      <c r="F1254" s="166">
        <f t="shared" si="90"/>
        <v>0</v>
      </c>
      <c r="G1254" s="163" t="e">
        <f t="shared" si="88"/>
        <v>#DIV/0!</v>
      </c>
    </row>
    <row r="1255" spans="2:7">
      <c r="B1255" t="str">
        <f>TillageOperations!$B$35&amp;" (Repairs, maint., fuel &amp; lube)"</f>
        <v>Baler (Repairs, maint., fuel &amp; lube)</v>
      </c>
      <c r="C1255" s="464" t="s">
        <v>157</v>
      </c>
      <c r="D1255" s="166">
        <f>PubMachineryTables!$AN$75+PubMachineryTables!$AM$75</f>
        <v>24.326923076923073</v>
      </c>
      <c r="E1255" s="166">
        <f>TillageOperations!$J$35*$C$1160</f>
        <v>0</v>
      </c>
      <c r="F1255" s="166">
        <f t="shared" si="90"/>
        <v>0</v>
      </c>
      <c r="G1255" s="163" t="e">
        <f t="shared" si="88"/>
        <v>#DIV/0!</v>
      </c>
    </row>
    <row r="1256" spans="2:7">
      <c r="B1256" t="str">
        <f>TillageOperations!$B$35&amp;" (Labor)"</f>
        <v>Baler (Labor)</v>
      </c>
      <c r="C1256" s="464" t="s">
        <v>157</v>
      </c>
      <c r="D1256" s="166">
        <f>PubMachineryTables!$AL$75</f>
        <v>20.814326923076923</v>
      </c>
      <c r="E1256" s="166">
        <f>TillageOperations!$J$35*$C$1160</f>
        <v>0</v>
      </c>
      <c r="F1256" s="166">
        <f t="shared" si="90"/>
        <v>0</v>
      </c>
      <c r="G1256" s="163" t="e">
        <f t="shared" si="88"/>
        <v>#DIV/0!</v>
      </c>
    </row>
    <row r="1257" spans="2:7">
      <c r="B1257" t="str">
        <f>'Inputs&amp;PricesbyCrop'!$B$31</f>
        <v xml:space="preserve">   - Baling Twine</v>
      </c>
      <c r="C1257" s="137" t="str">
        <f>'Inputs&amp;PricesbyCrop'!$C$31</f>
        <v>acre</v>
      </c>
      <c r="D1257" s="166">
        <f>'Inputs&amp;PricesbyCrop'!$K$31</f>
        <v>0</v>
      </c>
      <c r="E1257" s="166">
        <f>$C$1160</f>
        <v>0</v>
      </c>
      <c r="F1257" s="166">
        <f t="shared" si="90"/>
        <v>0</v>
      </c>
      <c r="G1257" s="163" t="e">
        <f t="shared" si="88"/>
        <v>#DIV/0!</v>
      </c>
    </row>
    <row r="1258" spans="2:7">
      <c r="B1258" t="str">
        <f>TillageOperations!$B$36&amp;" (Repairs, maint., fuel &amp; lube)"</f>
        <v>Bale Wagon (Repairs, maint., fuel &amp; lube)</v>
      </c>
      <c r="C1258" s="464" t="s">
        <v>157</v>
      </c>
      <c r="D1258" s="166">
        <f>PubMachineryTables!$AN$76+PubMachineryTables!$AM$76</f>
        <v>3.1624999999999996</v>
      </c>
      <c r="E1258" s="166">
        <f>TillageOperations!$J$36*$C$1160</f>
        <v>0</v>
      </c>
      <c r="F1258" s="166">
        <f t="shared" si="90"/>
        <v>0</v>
      </c>
      <c r="G1258" s="163" t="e">
        <f t="shared" si="88"/>
        <v>#DIV/0!</v>
      </c>
    </row>
    <row r="1259" spans="2:7">
      <c r="B1259" t="str">
        <f>TillageOperations!$B$36&amp;" (Labor)"</f>
        <v>Bale Wagon (Labor)</v>
      </c>
      <c r="C1259" s="464" t="s">
        <v>157</v>
      </c>
      <c r="D1259" s="166">
        <f>PubMachineryTables!$AL$76</f>
        <v>3.3823281250000004</v>
      </c>
      <c r="E1259" s="166">
        <f>TillageOperations!$J$36*$C$1160</f>
        <v>0</v>
      </c>
      <c r="F1259" s="166">
        <f t="shared" si="90"/>
        <v>0</v>
      </c>
      <c r="G1259" s="163" t="e">
        <f t="shared" si="88"/>
        <v>#DIV/0!</v>
      </c>
    </row>
    <row r="1260" spans="2:7">
      <c r="B1260" t="str">
        <f>TillageOperations!$B$23&amp;" (Repairs, maint., fuel &amp; lube)"</f>
        <v>Fertilizer Spreader (Repairs, maint., fuel &amp; lube)</v>
      </c>
      <c r="C1260" s="464" t="s">
        <v>157</v>
      </c>
      <c r="D1260" s="166">
        <f>PubMachineryTables!$AM$64+PubMachineryTables!$AN$64</f>
        <v>2.6573732562743069</v>
      </c>
      <c r="E1260" s="166">
        <f>TillageOperations!$J$23*$C$1160</f>
        <v>0</v>
      </c>
      <c r="F1260" s="168">
        <f t="shared" si="90"/>
        <v>0</v>
      </c>
      <c r="G1260" s="163" t="e">
        <f t="shared" si="88"/>
        <v>#DIV/0!</v>
      </c>
    </row>
    <row r="1261" spans="2:7">
      <c r="B1261" t="str">
        <f>TillageOperations!$B$23&amp;" (Labor)"</f>
        <v>Fertilizer Spreader (Labor)</v>
      </c>
      <c r="C1261" s="464" t="s">
        <v>157</v>
      </c>
      <c r="D1261" s="166">
        <f>PubMachineryTables!$AL$64</f>
        <v>1.879071180555556</v>
      </c>
      <c r="E1261" s="166">
        <f>TillageOperations!$J$23*$C$1160</f>
        <v>0</v>
      </c>
      <c r="F1261" s="168">
        <f t="shared" si="90"/>
        <v>0</v>
      </c>
      <c r="G1261" s="163" t="e">
        <f t="shared" si="88"/>
        <v>#DIV/0!</v>
      </c>
    </row>
    <row r="1262" spans="2:7">
      <c r="B1262" t="str">
        <f>TillageOperations!$B$24&amp;" (Repairs, maint., fuel &amp; lube)"</f>
        <v>Fertilizer Injection System (Repairs, maint., fuel &amp; lube)</v>
      </c>
      <c r="C1262" s="464" t="s">
        <v>157</v>
      </c>
      <c r="D1262" s="166">
        <f>PubMachineryTables!$AM$65+PubMachineryTables!$AN$65</f>
        <v>8.4333333333333336</v>
      </c>
      <c r="E1262" s="166">
        <f>TillageOperations!$J$24*$C$1160</f>
        <v>0</v>
      </c>
      <c r="F1262" s="168">
        <f t="shared" si="90"/>
        <v>0</v>
      </c>
      <c r="G1262" s="163" t="e">
        <f t="shared" si="88"/>
        <v>#DIV/0!</v>
      </c>
    </row>
    <row r="1263" spans="2:7">
      <c r="B1263" t="str">
        <f>TillageOperations!$B$24&amp;" (Labor)"</f>
        <v>Fertilizer Injection System (Labor)</v>
      </c>
      <c r="C1263" s="464" t="s">
        <v>157</v>
      </c>
      <c r="D1263" s="166">
        <f>PubMachineryTables!$AL$65</f>
        <v>4.5097708333333344</v>
      </c>
      <c r="E1263" s="166">
        <f>TillageOperations!$J$24*$C$1160</f>
        <v>0</v>
      </c>
      <c r="F1263" s="168">
        <f t="shared" si="90"/>
        <v>0</v>
      </c>
      <c r="G1263" s="163" t="e">
        <f t="shared" si="88"/>
        <v>#DIV/0!</v>
      </c>
    </row>
    <row r="1264" spans="2:7">
      <c r="B1264" t="str">
        <f>TillageOperations!$B$25&amp;" (Repairs, maint., fuel &amp; lube)"</f>
        <v>Boom Sprayer (Repairs, maint., fuel &amp; lube)</v>
      </c>
      <c r="C1264" s="464" t="s">
        <v>157</v>
      </c>
      <c r="D1264" s="166">
        <f>PubMachineryTables!AN$66+PubMachineryTables!$AM$66</f>
        <v>1.5996307048468115</v>
      </c>
      <c r="E1264" s="166">
        <f>TillageOperations!$J$25*$C$1160</f>
        <v>0</v>
      </c>
      <c r="F1264" s="166">
        <f t="shared" si="90"/>
        <v>0</v>
      </c>
      <c r="G1264" s="163" t="e">
        <f t="shared" si="88"/>
        <v>#DIV/0!</v>
      </c>
    </row>
    <row r="1265" spans="2:7">
      <c r="B1265" t="str">
        <f>TillageOperations!$B$25&amp;" (Labor)"</f>
        <v>Boom Sprayer (Labor)</v>
      </c>
      <c r="C1265" s="464" t="s">
        <v>157</v>
      </c>
      <c r="D1265" s="166">
        <f>PubMachineryTables!$AL$66</f>
        <v>1.1893901098901098</v>
      </c>
      <c r="E1265" s="166">
        <f>TillageOperations!$J$25*$C$1160</f>
        <v>0</v>
      </c>
      <c r="F1265" s="166">
        <f t="shared" si="90"/>
        <v>0</v>
      </c>
      <c r="G1265" s="163" t="e">
        <f t="shared" si="88"/>
        <v>#DIV/0!</v>
      </c>
    </row>
    <row r="1266" spans="2:7">
      <c r="B1266" t="str">
        <f>TillageOperations!$B$22&amp;" (Repairs, maint., fuel &amp; lube)"</f>
        <v>Transplanter (Repairs, maint., fuel &amp; lube)</v>
      </c>
      <c r="C1266" s="464" t="s">
        <v>157</v>
      </c>
      <c r="D1266" s="166">
        <f>PubMachineryTables!AN$63+PubMachineryTables!$AM$63</f>
        <v>61.668749999999996</v>
      </c>
      <c r="E1266" s="166">
        <f>TillageOperations!$J$22*$C$1160</f>
        <v>0</v>
      </c>
      <c r="F1266" s="166">
        <f>D1266*E1266</f>
        <v>0</v>
      </c>
      <c r="G1266" s="163" t="e">
        <f t="shared" si="88"/>
        <v>#DIV/0!</v>
      </c>
    </row>
    <row r="1267" spans="2:7">
      <c r="B1267" t="str">
        <f>TillageOperations!$B$22&amp;" (Labor)"</f>
        <v>Transplanter (Labor)</v>
      </c>
      <c r="C1267" s="464" t="s">
        <v>157</v>
      </c>
      <c r="D1267" s="166">
        <f>PubMachineryTables!$AL$63</f>
        <v>20.293968750000001</v>
      </c>
      <c r="E1267" s="166">
        <f>TillageOperations!$J$22*$C$1160</f>
        <v>0</v>
      </c>
      <c r="F1267" s="166">
        <f t="shared" si="90"/>
        <v>0</v>
      </c>
      <c r="G1267" s="163" t="e">
        <f t="shared" si="88"/>
        <v>#DIV/0!</v>
      </c>
    </row>
    <row r="1268" spans="2:7">
      <c r="B1268" t="str">
        <f>'Inputs&amp;PricesbyCrop'!$B$14</f>
        <v>Additional Land Prep. Labor</v>
      </c>
      <c r="C1268" s="137" t="str">
        <f>'Inputs&amp;PricesbyCrop'!$C$14</f>
        <v>hour</v>
      </c>
      <c r="D1268" s="166">
        <f>GeneralInputPrices!$D$30</f>
        <v>14.55</v>
      </c>
      <c r="E1268" s="166">
        <f>'Inputs&amp;PricesbyCrop'!$K$14*BASEBUDGETS!$C1160</f>
        <v>0</v>
      </c>
      <c r="F1268" s="166">
        <f t="shared" si="90"/>
        <v>0</v>
      </c>
      <c r="G1268" s="163" t="e">
        <f t="shared" si="88"/>
        <v>#DIV/0!</v>
      </c>
    </row>
    <row r="1269" spans="2:7">
      <c r="B1269" t="str">
        <f>'Inputs&amp;PricesbyCrop'!$B$15</f>
        <v>Additional Land Prep. Labor</v>
      </c>
      <c r="C1269" s="137" t="str">
        <f>'Inputs&amp;PricesbyCrop'!$C$15</f>
        <v>hour</v>
      </c>
      <c r="D1269" s="166">
        <f>GeneralInputPrices!$D$30</f>
        <v>14.55</v>
      </c>
      <c r="E1269" s="166">
        <f>'Inputs&amp;PricesbyCrop'!$K$15*BASEBUDGETS!$C1160</f>
        <v>0</v>
      </c>
      <c r="F1269" s="166">
        <f t="shared" si="90"/>
        <v>0</v>
      </c>
      <c r="G1269" s="163" t="e">
        <f t="shared" si="88"/>
        <v>#DIV/0!</v>
      </c>
    </row>
    <row r="1270" spans="2:7">
      <c r="B1270" t="str">
        <f>'Inputs&amp;PricesbyCrop'!$B$17</f>
        <v>Additional Crop Prod. Labor</v>
      </c>
      <c r="C1270" s="137" t="str">
        <f>'Inputs&amp;PricesbyCrop'!$C$17</f>
        <v>hour</v>
      </c>
      <c r="D1270" s="166">
        <f>GeneralInputPrices!$D$31</f>
        <v>14.55</v>
      </c>
      <c r="E1270" s="166">
        <f>'Inputs&amp;PricesbyCrop'!$K$17*BASEBUDGETS!$C1160</f>
        <v>0</v>
      </c>
      <c r="F1270" s="166">
        <f t="shared" si="90"/>
        <v>0</v>
      </c>
      <c r="G1270" s="163" t="e">
        <f t="shared" si="88"/>
        <v>#DIV/0!</v>
      </c>
    </row>
    <row r="1271" spans="2:7">
      <c r="B1271" t="str">
        <f>'Inputs&amp;PricesbyCrop'!$B$18</f>
        <v>Additional Crop Prod. Labor</v>
      </c>
      <c r="C1271" s="137" t="str">
        <f>'Inputs&amp;PricesbyCrop'!$C$18</f>
        <v>hour</v>
      </c>
      <c r="D1271" s="166">
        <f>GeneralInputPrices!$D$31</f>
        <v>14.55</v>
      </c>
      <c r="E1271" s="166">
        <f>'Inputs&amp;PricesbyCrop'!$K$18*BASEBUDGETS!$C1160</f>
        <v>0</v>
      </c>
      <c r="F1271" s="166">
        <f t="shared" si="90"/>
        <v>0</v>
      </c>
      <c r="G1271" s="163" t="e">
        <f t="shared" si="88"/>
        <v>#DIV/0!</v>
      </c>
    </row>
    <row r="1272" spans="2:7">
      <c r="B1272" t="str">
        <f>'Inputs&amp;PricesbyCrop'!$B$20</f>
        <v>Additional Harvest Labor</v>
      </c>
      <c r="C1272" s="137" t="str">
        <f>'Inputs&amp;PricesbyCrop'!$C$20</f>
        <v>hour</v>
      </c>
      <c r="D1272" s="166">
        <f>GeneralInputPrices!$D$32</f>
        <v>17.89</v>
      </c>
      <c r="E1272" s="166">
        <f>'Inputs&amp;PricesbyCrop'!$K$20*BASEBUDGETS!$C1160</f>
        <v>0</v>
      </c>
      <c r="F1272" s="166">
        <f t="shared" si="90"/>
        <v>0</v>
      </c>
      <c r="G1272" s="163" t="e">
        <f t="shared" si="88"/>
        <v>#DIV/0!</v>
      </c>
    </row>
    <row r="1273" spans="2:7">
      <c r="B1273" t="str">
        <f>'Inputs&amp;PricesbyCrop'!$B$21</f>
        <v>Additional Harvest Labor</v>
      </c>
      <c r="C1273" s="137" t="str">
        <f>'Inputs&amp;PricesbyCrop'!$C$21</f>
        <v>hour</v>
      </c>
      <c r="D1273" s="166">
        <f>GeneralInputPrices!$D$32</f>
        <v>17.89</v>
      </c>
      <c r="E1273" s="166">
        <f>'Inputs&amp;PricesbyCrop'!$K$21*BASEBUDGETS!$C1160</f>
        <v>0</v>
      </c>
      <c r="F1273" s="166">
        <f t="shared" si="90"/>
        <v>0</v>
      </c>
      <c r="G1273" s="163" t="e">
        <f t="shared" si="88"/>
        <v>#DIV/0!</v>
      </c>
    </row>
    <row r="1274" spans="2:7">
      <c r="B1274" t="s">
        <v>59</v>
      </c>
      <c r="C1274" s="137" t="str">
        <f>GeneralInputPrices!$C$34</f>
        <v>percent</v>
      </c>
      <c r="D1274" s="138">
        <f>GeneralInputPrices!$D$34</f>
        <v>0.05</v>
      </c>
      <c r="E1274" s="75" t="s">
        <v>10</v>
      </c>
      <c r="F1274" s="37">
        <f>SUM(F1168:F1273)*D1274</f>
        <v>0</v>
      </c>
      <c r="G1274" s="163" t="e">
        <f t="shared" si="88"/>
        <v>#DIV/0!</v>
      </c>
    </row>
    <row r="1275" spans="2:7">
      <c r="B1275" t="s">
        <v>60</v>
      </c>
      <c r="C1275" s="137" t="str">
        <f>GeneralInputPrices!$C$34</f>
        <v>percent</v>
      </c>
      <c r="D1275" s="138">
        <f>GeneralInputPrices!$D$35</f>
        <v>0.06</v>
      </c>
      <c r="F1275" s="139">
        <f>SUM(F1168:F1274)*((D1275/12)*GeneralInputPrices!$D$39)</f>
        <v>0</v>
      </c>
      <c r="G1275" s="163" t="e">
        <f t="shared" si="88"/>
        <v>#DIV/0!</v>
      </c>
    </row>
    <row r="1276" spans="2:7">
      <c r="B1276" t="s">
        <v>61</v>
      </c>
      <c r="D1276" s="454"/>
      <c r="F1276" s="37">
        <f>SUM(F1168:F1275)</f>
        <v>0</v>
      </c>
      <c r="G1276" s="163" t="e">
        <f t="shared" si="88"/>
        <v>#DIV/0!</v>
      </c>
    </row>
    <row r="1277" spans="2:7">
      <c r="D1277" s="454"/>
      <c r="G1277" s="163" t="e">
        <f t="shared" si="88"/>
        <v>#DIV/0!</v>
      </c>
    </row>
    <row r="1278" spans="2:7">
      <c r="B1278" s="140" t="s">
        <v>129</v>
      </c>
      <c r="C1278" s="458" t="s">
        <v>1</v>
      </c>
      <c r="D1278" s="459" t="s">
        <v>24</v>
      </c>
      <c r="E1278" s="460" t="s">
        <v>25</v>
      </c>
      <c r="F1278" s="460" t="s">
        <v>0</v>
      </c>
      <c r="G1278" s="322" t="s">
        <v>10</v>
      </c>
    </row>
    <row r="1279" spans="2:7">
      <c r="B1279" t="str">
        <f>GeneralInputPrices!$B$15&amp;" - Upfront Costs for New System"</f>
        <v>Flood - Upfront Costs for New System</v>
      </c>
      <c r="C1279" s="453" t="str">
        <f>GeneralInputPrices!$C$16</f>
        <v>acre</v>
      </c>
      <c r="D1279" s="166">
        <f>IF('BreakevenInputs&amp;Resources'!T$16=0,0,(('BreakevenInputs&amp;Resources'!T$16/GeneralInputPrices!$D$17)*('AcresYieldsPrices&amp;Water'!$Q$15/'AcresYieldsPrices&amp;Water'!$Q$31))/$C1160)</f>
        <v>0</v>
      </c>
      <c r="E1279" s="166">
        <f>$C1160</f>
        <v>0</v>
      </c>
      <c r="F1279" s="166">
        <f>D1279*E1279</f>
        <v>0</v>
      </c>
      <c r="G1279" s="163" t="e">
        <f t="shared" si="88"/>
        <v>#DIV/0!</v>
      </c>
    </row>
    <row r="1280" spans="2:7">
      <c r="B1280" t="str">
        <f>GeneralInputPrices!$B$19&amp;" - Upfront Costs for New System"</f>
        <v>Drip-tape - Upfront Costs for New System</v>
      </c>
      <c r="C1280" s="453" t="str">
        <f>GeneralInputPrices!$C$20</f>
        <v>acre</v>
      </c>
      <c r="D1280" s="166">
        <f>IF('BreakevenInputs&amp;Resources'!T$17=0,0,(('BreakevenInputs&amp;Resources'!T$17/GeneralInputPrices!$D$21)*('AcresYieldsPrices&amp;Water'!$Q$15/'AcresYieldsPrices&amp;Water'!$Q$31))/$C1160)</f>
        <v>0</v>
      </c>
      <c r="E1280" s="166">
        <f>$C1160</f>
        <v>0</v>
      </c>
      <c r="F1280" s="166">
        <f>D1280*E1280</f>
        <v>0</v>
      </c>
      <c r="G1280" s="163" t="e">
        <f t="shared" si="88"/>
        <v>#DIV/0!</v>
      </c>
    </row>
    <row r="1281" spans="2:7">
      <c r="B1281" t="str">
        <f>GeneralInputPrices!$B$23&amp;" - Upfront Costs for New System"</f>
        <v>Sprinkler - Upfront Costs for New System</v>
      </c>
      <c r="C1281" s="453" t="str">
        <f>GeneralInputPrices!$C$24</f>
        <v>acre</v>
      </c>
      <c r="D1281" s="166">
        <f>IF('BreakevenInputs&amp;Resources'!T$18=0,0,(('BreakevenInputs&amp;Resources'!T$18/GeneralInputPrices!$D$25)*('AcresYieldsPrices&amp;Water'!$Q$15/'AcresYieldsPrices&amp;Water'!$Q$31))/$C1160)</f>
        <v>0</v>
      </c>
      <c r="E1281" s="166">
        <f>$C1160</f>
        <v>0</v>
      </c>
      <c r="F1281" s="166">
        <f>D1281*E1281</f>
        <v>0</v>
      </c>
      <c r="G1281" s="163" t="e">
        <f t="shared" si="88"/>
        <v>#DIV/0!</v>
      </c>
    </row>
    <row r="1282" spans="2:7">
      <c r="B1282" s="463" t="str">
        <f>TillageOperations!$B$7</f>
        <v>V-Ripper</v>
      </c>
      <c r="C1282" s="464" t="s">
        <v>157</v>
      </c>
      <c r="D1282" s="166">
        <f>PubMachineryTables!$AO$49</f>
        <v>209.18701372031111</v>
      </c>
      <c r="E1282" s="166">
        <f>E1211</f>
        <v>0</v>
      </c>
      <c r="F1282" s="168">
        <f t="shared" ref="F1282:F1293" si="91">D1282*E1282</f>
        <v>0</v>
      </c>
      <c r="G1282" s="163" t="e">
        <f t="shared" si="88"/>
        <v>#DIV/0!</v>
      </c>
    </row>
    <row r="1283" spans="2:7">
      <c r="B1283" s="463" t="str">
        <f>TillageOperations!$B$8</f>
        <v>Offset Disk</v>
      </c>
      <c r="C1283" s="464" t="s">
        <v>157</v>
      </c>
      <c r="D1283" s="166">
        <f>PubMachineryTables!$AO$50</f>
        <v>42.467441655558019</v>
      </c>
      <c r="E1283" s="166">
        <f>E1213</f>
        <v>0</v>
      </c>
      <c r="F1283" s="166">
        <f t="shared" si="91"/>
        <v>0</v>
      </c>
      <c r="G1283" s="163" t="e">
        <f t="shared" si="88"/>
        <v>#DIV/0!</v>
      </c>
    </row>
    <row r="1284" spans="2:7">
      <c r="B1284" s="463" t="str">
        <f>TillageOperations!$B$9</f>
        <v>Drag</v>
      </c>
      <c r="C1284" s="464" t="s">
        <v>157</v>
      </c>
      <c r="D1284" s="166">
        <f>PubMachineryTables!$AO$51</f>
        <v>0</v>
      </c>
      <c r="E1284" s="166">
        <f>E1215</f>
        <v>0</v>
      </c>
      <c r="F1284" s="166">
        <f t="shared" si="91"/>
        <v>0</v>
      </c>
      <c r="G1284" s="163" t="e">
        <f t="shared" si="88"/>
        <v>#DIV/0!</v>
      </c>
    </row>
    <row r="1285" spans="2:7">
      <c r="B1285" s="463" t="str">
        <f>TillageOperations!$B$10</f>
        <v>Chisel</v>
      </c>
      <c r="C1285" s="464" t="s">
        <v>157</v>
      </c>
      <c r="D1285" s="166">
        <f>PubMachineryTables!$AO$52</f>
        <v>40.724752902248241</v>
      </c>
      <c r="E1285" s="166">
        <f>E1217</f>
        <v>0</v>
      </c>
      <c r="F1285" s="166">
        <f t="shared" si="91"/>
        <v>0</v>
      </c>
      <c r="G1285" s="163" t="e">
        <f t="shared" si="88"/>
        <v>#DIV/0!</v>
      </c>
    </row>
    <row r="1286" spans="2:7">
      <c r="B1286" s="463" t="str">
        <f>TillageOperations!$B$11</f>
        <v>Moldboard Plow</v>
      </c>
      <c r="C1286" s="464" t="s">
        <v>157</v>
      </c>
      <c r="D1286" s="166">
        <f>PubMachineryTables!$AO$53</f>
        <v>0</v>
      </c>
      <c r="E1286" s="166">
        <f>E1219</f>
        <v>0</v>
      </c>
      <c r="F1286" s="166">
        <f t="shared" si="91"/>
        <v>0</v>
      </c>
      <c r="G1286" s="163" t="e">
        <f t="shared" si="88"/>
        <v>#DIV/0!</v>
      </c>
    </row>
    <row r="1287" spans="2:7">
      <c r="B1287" s="463" t="str">
        <f>TillageOperations!$B$12</f>
        <v>Cultivator</v>
      </c>
      <c r="C1287" s="464" t="s">
        <v>157</v>
      </c>
      <c r="D1287" s="166">
        <f>PubMachineryTables!$AO$54</f>
        <v>0</v>
      </c>
      <c r="E1287" s="166">
        <f>E1221</f>
        <v>0</v>
      </c>
      <c r="F1287" s="166">
        <f t="shared" si="91"/>
        <v>0</v>
      </c>
      <c r="G1287" s="163" t="e">
        <f t="shared" si="88"/>
        <v>#DIV/0!</v>
      </c>
    </row>
    <row r="1288" spans="2:7">
      <c r="B1288" s="463" t="str">
        <f>TillageOperations!$B$13</f>
        <v>Landplane</v>
      </c>
      <c r="C1288" s="464" t="s">
        <v>157</v>
      </c>
      <c r="D1288" s="166">
        <f>PubMachineryTables!$AO$55</f>
        <v>107.77752986339607</v>
      </c>
      <c r="E1288" s="166">
        <f>E1223</f>
        <v>0</v>
      </c>
      <c r="F1288" s="166">
        <f t="shared" si="91"/>
        <v>0</v>
      </c>
      <c r="G1288" s="163" t="e">
        <f t="shared" si="88"/>
        <v>#DIV/0!</v>
      </c>
    </row>
    <row r="1289" spans="2:7">
      <c r="B1289" s="463" t="str">
        <f>TillageOperations!$B$14</f>
        <v>Float</v>
      </c>
      <c r="C1289" s="464" t="s">
        <v>157</v>
      </c>
      <c r="D1289" s="166">
        <f>PubMachineryTables!$AO$56</f>
        <v>0</v>
      </c>
      <c r="E1289" s="166">
        <f>E1225</f>
        <v>0</v>
      </c>
      <c r="F1289" s="166">
        <f t="shared" si="91"/>
        <v>0</v>
      </c>
      <c r="G1289" s="163" t="e">
        <f t="shared" si="88"/>
        <v>#DIV/0!</v>
      </c>
    </row>
    <row r="1290" spans="2:7">
      <c r="B1290" s="463" t="str">
        <f>TillageOperations!$B$15</f>
        <v>Lister</v>
      </c>
      <c r="C1290" s="464" t="s">
        <v>157</v>
      </c>
      <c r="D1290" s="166">
        <f>PubMachineryTables!$AO$57</f>
        <v>72.676050764764099</v>
      </c>
      <c r="E1290" s="166">
        <f>E1227</f>
        <v>0</v>
      </c>
      <c r="F1290" s="166">
        <f t="shared" si="91"/>
        <v>0</v>
      </c>
      <c r="G1290" s="163" t="e">
        <f t="shared" si="88"/>
        <v>#DIV/0!</v>
      </c>
    </row>
    <row r="1291" spans="2:7">
      <c r="B1291" s="463" t="str">
        <f>TillageOperations!$B$16</f>
        <v>Bed Shaper</v>
      </c>
      <c r="C1291" s="464" t="s">
        <v>157</v>
      </c>
      <c r="D1291" s="166">
        <f>PubMachineryTables!$AO$58</f>
        <v>50.420091551988918</v>
      </c>
      <c r="E1291" s="166">
        <f>E1229</f>
        <v>0</v>
      </c>
      <c r="F1291" s="166">
        <f t="shared" si="91"/>
        <v>0</v>
      </c>
      <c r="G1291" s="163" t="e">
        <f t="shared" si="88"/>
        <v>#DIV/0!</v>
      </c>
    </row>
    <row r="1292" spans="2:7">
      <c r="B1292" s="463" t="str">
        <f>TillageOperations!$B$19</f>
        <v>Row Planter</v>
      </c>
      <c r="C1292" s="464" t="s">
        <v>157</v>
      </c>
      <c r="D1292" s="166">
        <f>PubMachineryTables!$AO$60</f>
        <v>218.60367298033367</v>
      </c>
      <c r="E1292" s="166">
        <f>E1231</f>
        <v>0</v>
      </c>
      <c r="F1292" s="166">
        <f t="shared" si="91"/>
        <v>0</v>
      </c>
      <c r="G1292" s="163" t="e">
        <f t="shared" si="88"/>
        <v>#DIV/0!</v>
      </c>
    </row>
    <row r="1293" spans="2:7">
      <c r="B1293" s="463" t="str">
        <f>TillageOperations!$B$20</f>
        <v>Row Cultivator</v>
      </c>
      <c r="C1293" s="464" t="s">
        <v>157</v>
      </c>
      <c r="D1293" s="166">
        <f>PubMachineryTables!$AO$61</f>
        <v>74.064902712939798</v>
      </c>
      <c r="E1293" s="166">
        <f>E1233</f>
        <v>0</v>
      </c>
      <c r="F1293" s="166">
        <f t="shared" si="91"/>
        <v>0</v>
      </c>
      <c r="G1293" s="163" t="e">
        <f t="shared" si="88"/>
        <v>#DIV/0!</v>
      </c>
    </row>
    <row r="1294" spans="2:7">
      <c r="B1294" s="465" t="str">
        <f>TillageOperations!$B$21</f>
        <v>Drill</v>
      </c>
      <c r="C1294" s="464" t="s">
        <v>157</v>
      </c>
      <c r="D1294" s="166">
        <f>PubMachineryTables!$AO$62</f>
        <v>51.837941761576523</v>
      </c>
      <c r="E1294" s="166">
        <f>E1235</f>
        <v>0</v>
      </c>
      <c r="F1294" s="166">
        <f t="shared" ref="F1294:F1298" si="92">D1294*E1294</f>
        <v>0</v>
      </c>
      <c r="G1294" s="163" t="e">
        <f t="shared" ref="G1294:G1317" si="93">F1294/C$1160</f>
        <v>#DIV/0!</v>
      </c>
    </row>
    <row r="1295" spans="2:7">
      <c r="B1295" s="463" t="str">
        <f>TillageOperations!$B$27</f>
        <v>Cotton Picker</v>
      </c>
      <c r="C1295" s="464" t="s">
        <v>157</v>
      </c>
      <c r="D1295" s="166">
        <f>PubMachineryTables!$AO$67</f>
        <v>0</v>
      </c>
      <c r="E1295" s="166">
        <f>E1237</f>
        <v>0</v>
      </c>
      <c r="F1295" s="166">
        <f t="shared" si="92"/>
        <v>0</v>
      </c>
      <c r="G1295" s="163" t="e">
        <f t="shared" si="93"/>
        <v>#DIV/0!</v>
      </c>
    </row>
    <row r="1296" spans="2:7">
      <c r="B1296" s="463" t="str">
        <f>TillageOperations!$B$28</f>
        <v>Module Unit</v>
      </c>
      <c r="C1296" s="464" t="s">
        <v>157</v>
      </c>
      <c r="D1296" s="166">
        <f>PubMachineryTables!$AO$68</f>
        <v>0</v>
      </c>
      <c r="E1296" s="166">
        <f>E1239</f>
        <v>0</v>
      </c>
      <c r="F1296" s="166">
        <f t="shared" si="92"/>
        <v>0</v>
      </c>
      <c r="G1296" s="163" t="e">
        <f t="shared" si="93"/>
        <v>#DIV/0!</v>
      </c>
    </row>
    <row r="1297" spans="2:7">
      <c r="B1297" s="463" t="str">
        <f>TillageOperations!$B$29</f>
        <v>Haul Cotton</v>
      </c>
      <c r="C1297" s="464" t="s">
        <v>157</v>
      </c>
      <c r="D1297" s="166">
        <f>PubMachineryTables!$AO$69</f>
        <v>0</v>
      </c>
      <c r="E1297" s="166">
        <f>E1241</f>
        <v>0</v>
      </c>
      <c r="F1297" s="166">
        <f t="shared" si="92"/>
        <v>0</v>
      </c>
      <c r="G1297" s="163" t="e">
        <f t="shared" si="93"/>
        <v>#DIV/0!</v>
      </c>
    </row>
    <row r="1298" spans="2:7">
      <c r="B1298" s="465" t="str">
        <f>TillageOperations!$B$17</f>
        <v>Cotton Shredder/Root Puller</v>
      </c>
      <c r="C1298" s="464" t="s">
        <v>157</v>
      </c>
      <c r="D1298" s="166">
        <f>PubMachineryTables!$AO$59</f>
        <v>0</v>
      </c>
      <c r="E1298" s="166">
        <f>E1243</f>
        <v>0</v>
      </c>
      <c r="F1298" s="166">
        <f t="shared" si="92"/>
        <v>0</v>
      </c>
      <c r="G1298" s="163" t="e">
        <f t="shared" si="93"/>
        <v>#DIV/0!</v>
      </c>
    </row>
    <row r="1299" spans="2:7">
      <c r="B1299" s="102" t="str">
        <f>TillageOperations!$B$30</f>
        <v>Combine</v>
      </c>
      <c r="C1299" s="464" t="s">
        <v>157</v>
      </c>
      <c r="D1299" s="166">
        <f>PubMachineryTables!$AO$70</f>
        <v>154.43457969840463</v>
      </c>
      <c r="E1299" s="166">
        <f>E1245</f>
        <v>0</v>
      </c>
      <c r="F1299" s="166">
        <f>D1299*E1299</f>
        <v>0</v>
      </c>
      <c r="G1299" s="163" t="e">
        <f t="shared" si="93"/>
        <v>#DIV/0!</v>
      </c>
    </row>
    <row r="1300" spans="2:7">
      <c r="B1300" s="102" t="str">
        <f>TillageOperations!$B$31</f>
        <v>Grain Cart</v>
      </c>
      <c r="C1300" s="464" t="s">
        <v>157</v>
      </c>
      <c r="D1300" s="166">
        <f>PubMachineryTables!$AO$71</f>
        <v>25.28843211678571</v>
      </c>
      <c r="E1300" s="166">
        <f>E1247</f>
        <v>0</v>
      </c>
      <c r="F1300" s="166">
        <f>D1300*E1300</f>
        <v>0</v>
      </c>
      <c r="G1300" s="163" t="e">
        <f t="shared" si="93"/>
        <v>#DIV/0!</v>
      </c>
    </row>
    <row r="1301" spans="2:7">
      <c r="B1301" s="102" t="str">
        <f>TillageOperations!$B$32</f>
        <v>Swather</v>
      </c>
      <c r="C1301" s="464" t="s">
        <v>157</v>
      </c>
      <c r="D1301" s="166">
        <f>PubMachineryTables!$AO$72</f>
        <v>0</v>
      </c>
      <c r="E1301" s="166">
        <f>E1249</f>
        <v>0</v>
      </c>
      <c r="F1301" s="166">
        <f t="shared" ref="F1301:F1309" si="94">D1301*E1301</f>
        <v>0</v>
      </c>
      <c r="G1301" s="163" t="e">
        <f t="shared" si="93"/>
        <v>#DIV/0!</v>
      </c>
    </row>
    <row r="1302" spans="2:7">
      <c r="B1302" s="102" t="str">
        <f>TillageOperations!$B$33</f>
        <v>Baler</v>
      </c>
      <c r="C1302" s="464" t="s">
        <v>157</v>
      </c>
      <c r="D1302" s="166">
        <f>PubMachineryTables!$AO$73</f>
        <v>0</v>
      </c>
      <c r="E1302" s="166">
        <f>E1251</f>
        <v>0</v>
      </c>
      <c r="F1302" s="166">
        <f t="shared" si="94"/>
        <v>0</v>
      </c>
      <c r="G1302" s="163" t="e">
        <f t="shared" si="93"/>
        <v>#DIV/0!</v>
      </c>
    </row>
    <row r="1303" spans="2:7">
      <c r="B1303" s="102" t="str">
        <f>TillageOperations!$B$34</f>
        <v>Swather</v>
      </c>
      <c r="C1303" s="464" t="s">
        <v>157</v>
      </c>
      <c r="D1303" s="166">
        <f>PubMachineryTables!$AO$74</f>
        <v>0</v>
      </c>
      <c r="E1303" s="166">
        <f>E1253</f>
        <v>0</v>
      </c>
      <c r="F1303" s="166">
        <f t="shared" si="94"/>
        <v>0</v>
      </c>
      <c r="G1303" s="163" t="e">
        <f t="shared" si="93"/>
        <v>#DIV/0!</v>
      </c>
    </row>
    <row r="1304" spans="2:7">
      <c r="B1304" s="102" t="str">
        <f>TillageOperations!$B$35</f>
        <v>Baler</v>
      </c>
      <c r="C1304" s="464" t="s">
        <v>157</v>
      </c>
      <c r="D1304" s="166">
        <f>PubMachineryTables!$AO$75</f>
        <v>0</v>
      </c>
      <c r="E1304" s="166">
        <f>E1255</f>
        <v>0</v>
      </c>
      <c r="F1304" s="166">
        <f t="shared" si="94"/>
        <v>0</v>
      </c>
      <c r="G1304" s="163" t="e">
        <f t="shared" si="93"/>
        <v>#DIV/0!</v>
      </c>
    </row>
    <row r="1305" spans="2:7">
      <c r="B1305" s="102" t="str">
        <f>TillageOperations!$B$36</f>
        <v>Bale Wagon</v>
      </c>
      <c r="C1305" s="464" t="s">
        <v>157</v>
      </c>
      <c r="D1305" s="166">
        <f>PubMachineryTables!$AO$76</f>
        <v>0</v>
      </c>
      <c r="E1305" s="166">
        <f>E1258</f>
        <v>0</v>
      </c>
      <c r="F1305" s="166">
        <f t="shared" si="94"/>
        <v>0</v>
      </c>
      <c r="G1305" s="163" t="e">
        <f t="shared" si="93"/>
        <v>#DIV/0!</v>
      </c>
    </row>
    <row r="1306" spans="2:7">
      <c r="B1306" s="102" t="str">
        <f>TillageOperations!$B$23</f>
        <v>Fertilizer Spreader</v>
      </c>
      <c r="C1306" s="464" t="s">
        <v>157</v>
      </c>
      <c r="D1306" s="166">
        <f>PubMachineryTables!$AO$64</f>
        <v>93.913865291400512</v>
      </c>
      <c r="E1306" s="166">
        <f>E1260</f>
        <v>0</v>
      </c>
      <c r="F1306" s="166">
        <f t="shared" si="94"/>
        <v>0</v>
      </c>
      <c r="G1306" s="163" t="e">
        <f t="shared" si="93"/>
        <v>#DIV/0!</v>
      </c>
    </row>
    <row r="1307" spans="2:7">
      <c r="B1307" s="102" t="str">
        <f>TillageOperations!$B$24</f>
        <v>Fertilizer Injection System</v>
      </c>
      <c r="C1307" s="464" t="s">
        <v>157</v>
      </c>
      <c r="D1307" s="166">
        <f>PubMachineryTables!$AO$65</f>
        <v>0</v>
      </c>
      <c r="E1307" s="166">
        <f>E1262</f>
        <v>0</v>
      </c>
      <c r="F1307" s="166">
        <f t="shared" si="94"/>
        <v>0</v>
      </c>
      <c r="G1307" s="163" t="e">
        <f t="shared" si="93"/>
        <v>#DIV/0!</v>
      </c>
    </row>
    <row r="1308" spans="2:7">
      <c r="B1308" s="102" t="str">
        <f>TillageOperations!$B$25</f>
        <v>Boom Sprayer</v>
      </c>
      <c r="C1308" s="464" t="s">
        <v>157</v>
      </c>
      <c r="D1308" s="166">
        <f>PubMachineryTables!$AO$66</f>
        <v>9.6826493425933542</v>
      </c>
      <c r="E1308" s="166">
        <f>E1264</f>
        <v>0</v>
      </c>
      <c r="F1308" s="166">
        <f t="shared" si="94"/>
        <v>0</v>
      </c>
      <c r="G1308" s="163" t="e">
        <f t="shared" si="93"/>
        <v>#DIV/0!</v>
      </c>
    </row>
    <row r="1309" spans="2:7">
      <c r="B1309" s="102" t="str">
        <f>TillageOperations!$B$22</f>
        <v>Transplanter</v>
      </c>
      <c r="C1309" s="464" t="s">
        <v>157</v>
      </c>
      <c r="D1309" s="166">
        <f>PubMachineryTables!$AO$63</f>
        <v>0</v>
      </c>
      <c r="E1309" s="166">
        <f>E1266</f>
        <v>0</v>
      </c>
      <c r="F1309" s="166">
        <f t="shared" si="94"/>
        <v>0</v>
      </c>
      <c r="G1309" s="163" t="e">
        <f t="shared" si="93"/>
        <v>#DIV/0!</v>
      </c>
    </row>
    <row r="1310" spans="2:7">
      <c r="B1310" t="str">
        <f>'Inputs&amp;PricesbyCrop'!$B$39</f>
        <v>Crop Insurance</v>
      </c>
      <c r="C1310" s="464" t="s">
        <v>157</v>
      </c>
      <c r="D1310" s="166">
        <f>'Inputs&amp;PricesbyCrop'!$K$39</f>
        <v>0</v>
      </c>
      <c r="E1310" s="169">
        <f>$C$1160</f>
        <v>0</v>
      </c>
      <c r="F1310" s="166">
        <f>D1310*E1310</f>
        <v>0</v>
      </c>
      <c r="G1310" s="163" t="e">
        <f t="shared" si="93"/>
        <v>#DIV/0!</v>
      </c>
    </row>
    <row r="1311" spans="2:7">
      <c r="B1311" t="str">
        <f>'Inputs&amp;PricesbyCrop'!$B$40</f>
        <v>Property Insurance</v>
      </c>
      <c r="C1311" s="464" t="s">
        <v>157</v>
      </c>
      <c r="D1311" s="166">
        <f>'Inputs&amp;PricesbyCrop'!$K$40</f>
        <v>0</v>
      </c>
      <c r="E1311" s="169">
        <f>$C$1160</f>
        <v>0</v>
      </c>
      <c r="F1311" s="166">
        <f>D1311*E1311</f>
        <v>0</v>
      </c>
      <c r="G1311" s="163" t="e">
        <f t="shared" si="93"/>
        <v>#DIV/0!</v>
      </c>
    </row>
    <row r="1312" spans="2:7">
      <c r="B1312" t="str">
        <f>'Inputs&amp;PricesbyCrop'!$B$41</f>
        <v>Property Taxes</v>
      </c>
      <c r="C1312" s="464" t="s">
        <v>157</v>
      </c>
      <c r="D1312" s="166">
        <f>'Inputs&amp;PricesbyCrop'!$K$41</f>
        <v>0</v>
      </c>
      <c r="E1312" s="169">
        <f>$C$1160</f>
        <v>0</v>
      </c>
      <c r="F1312" s="166">
        <f t="shared" ref="F1312:F1314" si="95">D1312*E1312</f>
        <v>0</v>
      </c>
      <c r="G1312" s="163" t="e">
        <f t="shared" si="93"/>
        <v>#DIV/0!</v>
      </c>
    </row>
    <row r="1313" spans="2:7">
      <c r="B1313" t="str">
        <f>'Inputs&amp;PricesbyCrop'!$B$42</f>
        <v>Annual Cash Rent Payment</v>
      </c>
      <c r="C1313" s="464" t="s">
        <v>157</v>
      </c>
      <c r="D1313" s="166">
        <f>'Inputs&amp;PricesbyCrop'!$K$42</f>
        <v>170</v>
      </c>
      <c r="E1313" s="169">
        <f>$C$1160</f>
        <v>0</v>
      </c>
      <c r="F1313" s="166">
        <f t="shared" si="95"/>
        <v>0</v>
      </c>
      <c r="G1313" s="163" t="e">
        <f t="shared" si="93"/>
        <v>#DIV/0!</v>
      </c>
    </row>
    <row r="1314" spans="2:7">
      <c r="B1314" t="str">
        <f>'Inputs&amp;PricesbyCrop'!$B$49</f>
        <v>Licenses and Fees</v>
      </c>
      <c r="C1314" s="464" t="s">
        <v>157</v>
      </c>
      <c r="D1314" s="166">
        <f>'Inputs&amp;PricesbyCrop'!$K$49</f>
        <v>0</v>
      </c>
      <c r="E1314" s="169">
        <f>$C$1160</f>
        <v>0</v>
      </c>
      <c r="F1314" s="170">
        <f t="shared" si="95"/>
        <v>0</v>
      </c>
      <c r="G1314" s="163" t="e">
        <f t="shared" si="93"/>
        <v>#DIV/0!</v>
      </c>
    </row>
    <row r="1315" spans="2:7">
      <c r="B1315" t="s">
        <v>131</v>
      </c>
      <c r="D1315" s="454"/>
      <c r="F1315" s="37">
        <f>SUM(F1279:F1314)</f>
        <v>0</v>
      </c>
      <c r="G1315" s="163" t="e">
        <f t="shared" si="93"/>
        <v>#DIV/0!</v>
      </c>
    </row>
    <row r="1316" spans="2:7">
      <c r="G1316" s="322" t="s">
        <v>10</v>
      </c>
    </row>
    <row r="1317" spans="2:7">
      <c r="B1317" t="s">
        <v>63</v>
      </c>
      <c r="D1317" s="454"/>
      <c r="F1317" s="37">
        <f>(F1276+F1315)</f>
        <v>0</v>
      </c>
      <c r="G1317" s="163" t="e">
        <f t="shared" si="93"/>
        <v>#DIV/0!</v>
      </c>
    </row>
    <row r="1318" spans="2:7">
      <c r="B1318" t="s">
        <v>64</v>
      </c>
      <c r="D1318" s="454"/>
      <c r="F1318" s="37">
        <f>F1165-F1317</f>
        <v>0</v>
      </c>
      <c r="G1318" s="163" t="e">
        <f>F1318/C$1160</f>
        <v>#DIV/0!</v>
      </c>
    </row>
    <row r="1319" spans="2:7">
      <c r="B1319" s="249" t="s">
        <v>276</v>
      </c>
      <c r="C1319" s="249" t="s">
        <v>4</v>
      </c>
      <c r="D1319" s="250" t="s">
        <v>277</v>
      </c>
      <c r="E1319" s="249" t="s">
        <v>278</v>
      </c>
      <c r="F1319" s="249" t="s">
        <v>279</v>
      </c>
      <c r="G1319" s="249"/>
    </row>
    <row r="1320" spans="2:7">
      <c r="B1320" s="135" t="str">
        <f>'AcresYieldsPrices&amp;Water'!B10</f>
        <v>Cotton</v>
      </c>
      <c r="D1320" s="454"/>
    </row>
    <row r="1321" spans="2:7">
      <c r="B1321" t="s">
        <v>16</v>
      </c>
      <c r="C1321" s="457">
        <f>IF('AcresYieldsPrices&amp;Water'!D10=0,0,'AcresYieldsPrices&amp;Water'!D10)</f>
        <v>0</v>
      </c>
      <c r="D1321" s="454" t="s">
        <v>17</v>
      </c>
    </row>
    <row r="1322" spans="2:7">
      <c r="D1322" s="454"/>
    </row>
    <row r="1323" spans="2:7">
      <c r="B1323" t="s">
        <v>22</v>
      </c>
      <c r="D1323" s="454"/>
    </row>
    <row r="1324" spans="2:7">
      <c r="B1324" s="455" t="s">
        <v>23</v>
      </c>
      <c r="C1324" s="458" t="s">
        <v>1</v>
      </c>
      <c r="D1324" s="459" t="s">
        <v>24</v>
      </c>
      <c r="E1324" s="460" t="s">
        <v>25</v>
      </c>
      <c r="F1324" s="460" t="s">
        <v>0</v>
      </c>
      <c r="G1324" s="277"/>
    </row>
    <row r="1325" spans="2:7">
      <c r="B1325" t="str">
        <f>'AcresYieldsPrices&amp;Water'!J11</f>
        <v>Cotton Lint</v>
      </c>
      <c r="C1325" s="466" t="str">
        <f>'AcresYieldsPrices&amp;Water'!$L$11</f>
        <v>pound</v>
      </c>
      <c r="D1325" s="163">
        <f>'AcresYieldsPrices&amp;Water'!$M$11</f>
        <v>1</v>
      </c>
      <c r="E1325" s="163">
        <f>'AcresYieldsPrices&amp;Water'!$N$11*$C$1321</f>
        <v>0</v>
      </c>
      <c r="F1325" s="164">
        <f>D1325*E1325</f>
        <v>0</v>
      </c>
      <c r="G1325" s="164"/>
    </row>
    <row r="1326" spans="2:7">
      <c r="B1326" t="str">
        <f>'AcresYieldsPrices&amp;Water'!J12</f>
        <v>Cotton Seed</v>
      </c>
      <c r="C1326" s="466" t="str">
        <f>'AcresYieldsPrices&amp;Water'!$L$12</f>
        <v>pound</v>
      </c>
      <c r="D1326" s="166">
        <f>'AcresYieldsPrices&amp;Water'!$M$12</f>
        <v>0.15</v>
      </c>
      <c r="E1326" s="166">
        <f>'AcresYieldsPrices&amp;Water'!$N$12*$C$1321</f>
        <v>0</v>
      </c>
      <c r="F1326" s="167">
        <f>D1326*E1326</f>
        <v>0</v>
      </c>
      <c r="G1326" s="167"/>
    </row>
    <row r="1327" spans="2:7">
      <c r="B1327" t="s">
        <v>27</v>
      </c>
      <c r="D1327" s="163"/>
      <c r="E1327" s="163"/>
      <c r="F1327" s="163">
        <f>SUM(F1325:F1326)</f>
        <v>0</v>
      </c>
      <c r="G1327" s="163" t="e">
        <f>F1327/C$1321</f>
        <v>#DIV/0!</v>
      </c>
    </row>
    <row r="1328" spans="2:7">
      <c r="D1328" s="454"/>
    </row>
    <row r="1329" spans="2:7">
      <c r="B1329" s="455" t="s">
        <v>62</v>
      </c>
      <c r="C1329" s="458" t="s">
        <v>1</v>
      </c>
      <c r="D1329" s="459" t="s">
        <v>24</v>
      </c>
      <c r="E1329" s="460" t="s">
        <v>25</v>
      </c>
      <c r="F1329" s="460" t="s">
        <v>0</v>
      </c>
      <c r="G1329" s="277"/>
    </row>
    <row r="1330" spans="2:7">
      <c r="B1330" t="str">
        <f>'Inputs&amp;PricesbyCrop'!B$78</f>
        <v xml:space="preserve">   - Seed</v>
      </c>
      <c r="C1330" s="137" t="str">
        <f>'Inputs&amp;PricesbyCrop'!C$54</f>
        <v>acre</v>
      </c>
      <c r="D1330" s="163">
        <f>'Inputs&amp;PricesbyCrop'!$L$5</f>
        <v>110</v>
      </c>
      <c r="E1330" s="166">
        <f>'Inputs&amp;PricesbyCrop'!$L$6*$C$1321</f>
        <v>0</v>
      </c>
      <c r="F1330" s="163">
        <f t="shared" ref="F1330:F1369" si="96">D1330*E1330</f>
        <v>0</v>
      </c>
      <c r="G1330" s="163" t="e">
        <f>F1330/C$1321</f>
        <v>#DIV/0!</v>
      </c>
    </row>
    <row r="1331" spans="2:7">
      <c r="B1331" t="str">
        <f>GeneralInputPrices!$B$3</f>
        <v xml:space="preserve">   - Inoculant</v>
      </c>
      <c r="C1331" s="137" t="str">
        <f>GeneralInputPrices!$C$3</f>
        <v>pounds</v>
      </c>
      <c r="D1331" s="166">
        <f>GeneralInputPrices!$D$3</f>
        <v>3</v>
      </c>
      <c r="E1331" s="166">
        <f>'Inputs&amp;PricesbyCrop'!$L$22*$C$1321</f>
        <v>0</v>
      </c>
      <c r="F1331" s="166">
        <f t="shared" ref="F1331" si="97">D1331*E1331</f>
        <v>0</v>
      </c>
      <c r="G1331" s="163" t="e">
        <f t="shared" ref="G1331:G1394" si="98">F1331/C$1321</f>
        <v>#DIV/0!</v>
      </c>
    </row>
    <row r="1332" spans="2:7">
      <c r="B1332" t="str">
        <f>GeneralInputPrices!B$5</f>
        <v xml:space="preserve">   - Nitrogen</v>
      </c>
      <c r="C1332" s="137" t="str">
        <f>GeneralInputPrices!$C$5</f>
        <v>pounds</v>
      </c>
      <c r="D1332" s="166">
        <f>GeneralInputPrices!$D$5</f>
        <v>0.46</v>
      </c>
      <c r="E1332" s="166">
        <f>'Inputs&amp;PricesbyCrop'!$L$23*$C$1321</f>
        <v>0</v>
      </c>
      <c r="F1332" s="166">
        <f t="shared" si="96"/>
        <v>0</v>
      </c>
      <c r="G1332" s="163" t="e">
        <f t="shared" si="98"/>
        <v>#DIV/0!</v>
      </c>
    </row>
    <row r="1333" spans="2:7">
      <c r="B1333" t="str">
        <f>GeneralInputPrices!B$6</f>
        <v xml:space="preserve">   - Phosphorus</v>
      </c>
      <c r="C1333" s="137" t="str">
        <f>GeneralInputPrices!$C$6</f>
        <v>pounds</v>
      </c>
      <c r="D1333" s="166">
        <f>GeneralInputPrices!$D$6</f>
        <v>0.36</v>
      </c>
      <c r="E1333" s="166">
        <f>'Inputs&amp;PricesbyCrop'!$L$24*$C$1321</f>
        <v>0</v>
      </c>
      <c r="F1333" s="166">
        <f t="shared" si="96"/>
        <v>0</v>
      </c>
      <c r="G1333" s="163" t="e">
        <f t="shared" si="98"/>
        <v>#DIV/0!</v>
      </c>
    </row>
    <row r="1334" spans="2:7">
      <c r="B1334" t="str">
        <f>GeneralInputPrices!B$7</f>
        <v xml:space="preserve">   - Anhydrous Ammonia</v>
      </c>
      <c r="C1334" s="137" t="str">
        <f>GeneralInputPrices!$C$7</f>
        <v>pounds</v>
      </c>
      <c r="D1334" s="166">
        <f>GeneralInputPrices!$D$7</f>
        <v>0.21</v>
      </c>
      <c r="E1334" s="166">
        <f>'Inputs&amp;PricesbyCrop'!$L$25*$C$1321</f>
        <v>0</v>
      </c>
      <c r="F1334" s="166">
        <f t="shared" ref="F1334" si="99">D1334*E1334</f>
        <v>0</v>
      </c>
      <c r="G1334" s="163" t="e">
        <f t="shared" si="98"/>
        <v>#DIV/0!</v>
      </c>
    </row>
    <row r="1335" spans="2:7">
      <c r="B1335" t="str">
        <f>GeneralInputPrices!$B$8</f>
        <v xml:space="preserve">   - Trace Elements</v>
      </c>
      <c r="C1335" s="137" t="str">
        <f>GeneralInputPrices!$C$8</f>
        <v>pounds</v>
      </c>
      <c r="D1335" s="166">
        <f>GeneralInputPrices!$D$8</f>
        <v>0.24</v>
      </c>
      <c r="E1335" s="166">
        <f>'Inputs&amp;PricesbyCrop'!$L$26*$C$1321</f>
        <v>0</v>
      </c>
      <c r="F1335" s="166">
        <f t="shared" ref="F1335" si="100">D1335*E1335</f>
        <v>0</v>
      </c>
      <c r="G1335" s="163" t="e">
        <f t="shared" si="98"/>
        <v>#DIV/0!</v>
      </c>
    </row>
    <row r="1336" spans="2:7">
      <c r="B1336" t="str">
        <f>'Inputs&amp;PricesbyCrop'!$B$32</f>
        <v xml:space="preserve">   - Nitrogen</v>
      </c>
      <c r="C1336" s="137" t="str">
        <f>'Inputs&amp;PricesbyCrop'!$C$32</f>
        <v>acre</v>
      </c>
      <c r="D1336" s="166">
        <f>'Inputs&amp;PricesbyCrop'!$L$32</f>
        <v>175.5</v>
      </c>
      <c r="E1336" s="166">
        <f>C1321</f>
        <v>0</v>
      </c>
      <c r="F1336" s="166">
        <f t="shared" si="96"/>
        <v>0</v>
      </c>
      <c r="G1336" s="163" t="e">
        <f t="shared" si="98"/>
        <v>#DIV/0!</v>
      </c>
    </row>
    <row r="1337" spans="2:7">
      <c r="B1337" t="str">
        <f>'Inputs&amp;PricesbyCrop'!$B$33</f>
        <v xml:space="preserve">   - Phosphorus</v>
      </c>
      <c r="C1337" s="137" t="str">
        <f>'Inputs&amp;PricesbyCrop'!$C$33</f>
        <v>acre</v>
      </c>
      <c r="D1337" s="166">
        <f>'Inputs&amp;PricesbyCrop'!$L$33</f>
        <v>0</v>
      </c>
      <c r="E1337" s="166">
        <f>C1321</f>
        <v>0</v>
      </c>
      <c r="F1337" s="166">
        <f t="shared" si="96"/>
        <v>0</v>
      </c>
      <c r="G1337" s="163" t="e">
        <f t="shared" si="98"/>
        <v>#DIV/0!</v>
      </c>
    </row>
    <row r="1338" spans="2:7">
      <c r="B1338" t="str">
        <f>'Inputs&amp;PricesbyCrop'!$B$34</f>
        <v xml:space="preserve">   - Fertilizer - Anhydrous Applicator</v>
      </c>
      <c r="C1338" s="137" t="str">
        <f>'Inputs&amp;PricesbyCrop'!$C$34</f>
        <v>acre</v>
      </c>
      <c r="D1338" s="166">
        <f>'Inputs&amp;PricesbyCrop'!$L$34</f>
        <v>0</v>
      </c>
      <c r="E1338" s="166">
        <f>C1321</f>
        <v>0</v>
      </c>
      <c r="F1338" s="166">
        <f t="shared" ref="F1338" si="101">D1338*E1338</f>
        <v>0</v>
      </c>
      <c r="G1338" s="163" t="e">
        <f t="shared" si="98"/>
        <v>#DIV/0!</v>
      </c>
    </row>
    <row r="1339" spans="2:7">
      <c r="B1339" t="str">
        <f>GeneralInputPrices!$B$10</f>
        <v xml:space="preserve">   - Prowl</v>
      </c>
      <c r="C1339" s="137" t="str">
        <f>GeneralInputPrices!$C$10</f>
        <v>pints</v>
      </c>
      <c r="D1339" s="166">
        <f>GeneralInputPrices!$D$10</f>
        <v>6.0625</v>
      </c>
      <c r="E1339" s="166">
        <f>'Inputs&amp;PricesbyCrop'!$L$27*$C$1321</f>
        <v>0</v>
      </c>
      <c r="F1339" s="166">
        <f t="shared" si="96"/>
        <v>0</v>
      </c>
      <c r="G1339" s="163" t="e">
        <f t="shared" si="98"/>
        <v>#DIV/0!</v>
      </c>
    </row>
    <row r="1340" spans="2:7">
      <c r="B1340" t="str">
        <f>GeneralInputPrices!$B$11</f>
        <v xml:space="preserve">   - Aim</v>
      </c>
      <c r="C1340" s="137" t="str">
        <f>GeneralInputPrices!$C$11</f>
        <v>ounces</v>
      </c>
      <c r="D1340" s="166">
        <f>GeneralInputPrices!$D$11</f>
        <v>5.9375</v>
      </c>
      <c r="E1340" s="166">
        <f>'Inputs&amp;PricesbyCrop'!$L$28*$C$1321</f>
        <v>0</v>
      </c>
      <c r="F1340" s="166">
        <f t="shared" si="96"/>
        <v>0</v>
      </c>
      <c r="G1340" s="163" t="e">
        <f t="shared" si="98"/>
        <v>#DIV/0!</v>
      </c>
    </row>
    <row r="1341" spans="2:7">
      <c r="B1341" t="str">
        <f>GeneralInputPrices!$B$12</f>
        <v xml:space="preserve">   - Fusilade</v>
      </c>
      <c r="C1341" s="137" t="str">
        <f>GeneralInputPrices!$C$12</f>
        <v>ounces</v>
      </c>
      <c r="D1341" s="166">
        <f>GeneralInputPrices!$D$12</f>
        <v>1.25</v>
      </c>
      <c r="E1341" s="166">
        <f>'Inputs&amp;PricesbyCrop'!$L$29*$C$1321</f>
        <v>0</v>
      </c>
      <c r="F1341" s="166">
        <f t="shared" ref="F1341" si="102">D1341*E1341</f>
        <v>0</v>
      </c>
      <c r="G1341" s="163" t="e">
        <f t="shared" si="98"/>
        <v>#DIV/0!</v>
      </c>
    </row>
    <row r="1342" spans="2:7">
      <c r="B1342" t="str">
        <f>'Inputs&amp;PricesbyCrop'!$B$35</f>
        <v xml:space="preserve">   - Herbicides</v>
      </c>
      <c r="C1342" s="137" t="str">
        <f>'Inputs&amp;PricesbyCrop'!$C$35</f>
        <v>acre</v>
      </c>
      <c r="D1342" s="166">
        <f>'Inputs&amp;PricesbyCrop'!$L$35</f>
        <v>24</v>
      </c>
      <c r="E1342" s="166">
        <f>C1321</f>
        <v>0</v>
      </c>
      <c r="F1342" s="166">
        <f t="shared" ref="F1342:F1354" si="103">D1342*E1342</f>
        <v>0</v>
      </c>
      <c r="G1342" s="163" t="e">
        <f t="shared" si="98"/>
        <v>#DIV/0!</v>
      </c>
    </row>
    <row r="1343" spans="2:7">
      <c r="B1343" t="str">
        <f>'Inputs&amp;PricesbyCrop'!$B$36</f>
        <v xml:space="preserve">   - Herbicide - #2</v>
      </c>
      <c r="C1343" s="137" t="str">
        <f>'Inputs&amp;PricesbyCrop'!$C$36</f>
        <v>acre</v>
      </c>
      <c r="D1343" s="166">
        <f>'Inputs&amp;PricesbyCrop'!$L$36</f>
        <v>0</v>
      </c>
      <c r="E1343" s="166">
        <f>C1321</f>
        <v>0</v>
      </c>
      <c r="F1343" s="166">
        <f t="shared" si="103"/>
        <v>0</v>
      </c>
      <c r="G1343" s="163" t="e">
        <f t="shared" si="98"/>
        <v>#DIV/0!</v>
      </c>
    </row>
    <row r="1344" spans="2:7">
      <c r="B1344" t="str">
        <f>'Inputs&amp;PricesbyCrop'!$B$37</f>
        <v xml:space="preserve">   - Insecticides</v>
      </c>
      <c r="C1344" s="137" t="str">
        <f>'Inputs&amp;PricesbyCrop'!$C$37</f>
        <v>acre</v>
      </c>
      <c r="D1344" s="166">
        <f>'Inputs&amp;PricesbyCrop'!$L$37</f>
        <v>50</v>
      </c>
      <c r="E1344" s="166">
        <f>C1321</f>
        <v>0</v>
      </c>
      <c r="F1344" s="166">
        <f t="shared" si="103"/>
        <v>0</v>
      </c>
      <c r="G1344" s="163" t="e">
        <f t="shared" si="98"/>
        <v>#DIV/0!</v>
      </c>
    </row>
    <row r="1345" spans="2:7">
      <c r="B1345" t="str">
        <f>'Inputs&amp;PricesbyCrop'!$B$38</f>
        <v xml:space="preserve">   - Insecticide - #2</v>
      </c>
      <c r="C1345" s="137" t="str">
        <f>'Inputs&amp;PricesbyCrop'!$C$38</f>
        <v>acre</v>
      </c>
      <c r="D1345" s="166">
        <f>'Inputs&amp;PricesbyCrop'!$L$38</f>
        <v>0</v>
      </c>
      <c r="E1345" s="166">
        <f>C1321</f>
        <v>0</v>
      </c>
      <c r="F1345" s="166">
        <f t="shared" si="103"/>
        <v>0</v>
      </c>
      <c r="G1345" s="163" t="e">
        <f t="shared" si="98"/>
        <v>#DIV/0!</v>
      </c>
    </row>
    <row r="1346" spans="2:7">
      <c r="B1346" t="str">
        <f>'Inputs&amp;PricesbyCrop'!$B$7</f>
        <v>Flood - Irrigation Water</v>
      </c>
      <c r="C1346" s="137" t="str">
        <f>'Inputs&amp;PricesbyCrop'!$C$7</f>
        <v>ac ft</v>
      </c>
      <c r="D1346" s="166">
        <f>GeneralInputPrices!$D$13</f>
        <v>55</v>
      </c>
      <c r="E1346" s="102">
        <f>('AcresYieldsPrices&amp;Water'!$E$10*'Inputs&amp;PricesbyCrop'!$L$7)*$C1321</f>
        <v>0</v>
      </c>
      <c r="F1346" s="166">
        <f t="shared" si="103"/>
        <v>0</v>
      </c>
      <c r="G1346" s="163" t="e">
        <f t="shared" si="98"/>
        <v>#DIV/0!</v>
      </c>
    </row>
    <row r="1347" spans="2:7">
      <c r="B1347" t="str">
        <f>'Inputs&amp;PricesbyCrop'!$B$8</f>
        <v>Flood - Irrigation Labor</v>
      </c>
      <c r="C1347" s="137" t="str">
        <f>'Inputs&amp;PricesbyCrop'!$C$8</f>
        <v>hour</v>
      </c>
      <c r="D1347" s="166">
        <f>GeneralInputPrices!$D$28</f>
        <v>14.55</v>
      </c>
      <c r="E1347" s="166">
        <f>('AcresYieldsPrices&amp;Water'!$E$10*'Inputs&amp;PricesbyCrop'!$L$8)*$C1321</f>
        <v>0</v>
      </c>
      <c r="F1347" s="166">
        <f t="shared" si="103"/>
        <v>0</v>
      </c>
      <c r="G1347" s="163" t="e">
        <f t="shared" si="98"/>
        <v>#DIV/0!</v>
      </c>
    </row>
    <row r="1348" spans="2:7">
      <c r="B1348" t="str">
        <f>GeneralInputPrices!$B$18</f>
        <v xml:space="preserve">   - Annual Repairs &amp; Maintenance</v>
      </c>
      <c r="C1348" s="453" t="str">
        <f>GeneralInputPrices!$C$18</f>
        <v>acre</v>
      </c>
      <c r="D1348" s="166">
        <f>GeneralInputPrices!$D$18</f>
        <v>3</v>
      </c>
      <c r="E1348" s="166">
        <f>'AcresYieldsPrices&amp;Water'!$E$10*$C1321</f>
        <v>0</v>
      </c>
      <c r="F1348" s="166">
        <f t="shared" si="103"/>
        <v>0</v>
      </c>
      <c r="G1348" s="163" t="e">
        <f t="shared" si="98"/>
        <v>#DIV/0!</v>
      </c>
    </row>
    <row r="1349" spans="2:7">
      <c r="B1349" t="str">
        <f>'Inputs&amp;PricesbyCrop'!$B$9</f>
        <v>Drip-tape - Irrigation Water</v>
      </c>
      <c r="C1349" s="137" t="str">
        <f>'Inputs&amp;PricesbyCrop'!$C$9</f>
        <v>ac ft</v>
      </c>
      <c r="D1349" s="166">
        <f>GeneralInputPrices!$D$13</f>
        <v>55</v>
      </c>
      <c r="E1349" s="166">
        <f>('AcresYieldsPrices&amp;Water'!$F$10*'Inputs&amp;PricesbyCrop'!$L$9)*$C1321</f>
        <v>0</v>
      </c>
      <c r="F1349" s="166">
        <f t="shared" si="103"/>
        <v>0</v>
      </c>
      <c r="G1349" s="163" t="e">
        <f t="shared" si="98"/>
        <v>#DIV/0!</v>
      </c>
    </row>
    <row r="1350" spans="2:7">
      <c r="B1350" t="str">
        <f>'Inputs&amp;PricesbyCrop'!$B$10</f>
        <v>Drip-tape - Irrigation Labor</v>
      </c>
      <c r="C1350" s="137" t="str">
        <f>'Inputs&amp;PricesbyCrop'!$C$10</f>
        <v>hour</v>
      </c>
      <c r="D1350" s="166">
        <f>GeneralInputPrices!$D$28</f>
        <v>14.55</v>
      </c>
      <c r="E1350" s="166">
        <f>('AcresYieldsPrices&amp;Water'!$F$10*'Inputs&amp;PricesbyCrop'!$L$10)*$C1321</f>
        <v>0</v>
      </c>
      <c r="F1350" s="166">
        <f t="shared" si="103"/>
        <v>0</v>
      </c>
      <c r="G1350" s="163" t="e">
        <f t="shared" si="98"/>
        <v>#DIV/0!</v>
      </c>
    </row>
    <row r="1351" spans="2:7">
      <c r="B1351" t="str">
        <f>GeneralInputPrices!$B$22</f>
        <v xml:space="preserve">   - Annual Repairs &amp; Maintenance</v>
      </c>
      <c r="C1351" s="453" t="str">
        <f>GeneralInputPrices!$C$22</f>
        <v>acre</v>
      </c>
      <c r="D1351" s="166">
        <f>GeneralInputPrices!$D$22</f>
        <v>7.5</v>
      </c>
      <c r="E1351" s="166">
        <f>'AcresYieldsPrices&amp;Water'!$F$10*C1321</f>
        <v>0</v>
      </c>
      <c r="F1351" s="166">
        <f t="shared" si="103"/>
        <v>0</v>
      </c>
      <c r="G1351" s="163" t="e">
        <f t="shared" si="98"/>
        <v>#DIV/0!</v>
      </c>
    </row>
    <row r="1352" spans="2:7">
      <c r="B1352" t="str">
        <f>'Inputs&amp;PricesbyCrop'!$B$11</f>
        <v>Sprinkler - Irrigation Water</v>
      </c>
      <c r="C1352" s="137" t="str">
        <f>'Inputs&amp;PricesbyCrop'!$C$11</f>
        <v>ac ft</v>
      </c>
      <c r="D1352" s="166">
        <f>GeneralInputPrices!$D$13</f>
        <v>55</v>
      </c>
      <c r="E1352" s="166">
        <f>('AcresYieldsPrices&amp;Water'!$G$10*'Inputs&amp;PricesbyCrop'!$L$11)*$C1321</f>
        <v>0</v>
      </c>
      <c r="F1352" s="166">
        <f t="shared" si="103"/>
        <v>0</v>
      </c>
      <c r="G1352" s="163" t="e">
        <f t="shared" si="98"/>
        <v>#DIV/0!</v>
      </c>
    </row>
    <row r="1353" spans="2:7">
      <c r="B1353" t="str">
        <f>'Inputs&amp;PricesbyCrop'!$B$12</f>
        <v>Sprinkler - Irrigation Labor</v>
      </c>
      <c r="C1353" s="137" t="str">
        <f>'Inputs&amp;PricesbyCrop'!$C$12</f>
        <v>hour</v>
      </c>
      <c r="D1353" s="166">
        <f>GeneralInputPrices!$D$28</f>
        <v>14.55</v>
      </c>
      <c r="E1353" s="166">
        <f>('AcresYieldsPrices&amp;Water'!$G$10*'Inputs&amp;PricesbyCrop'!$L$12)*$C1321</f>
        <v>0</v>
      </c>
      <c r="F1353" s="166">
        <f t="shared" si="103"/>
        <v>0</v>
      </c>
      <c r="G1353" s="163" t="e">
        <f t="shared" si="98"/>
        <v>#DIV/0!</v>
      </c>
    </row>
    <row r="1354" spans="2:7">
      <c r="B1354" t="str">
        <f>GeneralInputPrices!$B$26</f>
        <v xml:space="preserve">   - Annual Repairs &amp; Maintenance</v>
      </c>
      <c r="C1354" s="453" t="str">
        <f>GeneralInputPrices!$C$26</f>
        <v>acre</v>
      </c>
      <c r="D1354" s="166">
        <f>GeneralInputPrices!$D$26</f>
        <v>15</v>
      </c>
      <c r="E1354" s="166">
        <f>'AcresYieldsPrices&amp;Water'!$G$10*$C1321</f>
        <v>0</v>
      </c>
      <c r="F1354" s="166">
        <f t="shared" si="103"/>
        <v>0</v>
      </c>
      <c r="G1354" s="163" t="e">
        <f t="shared" si="98"/>
        <v>#DIV/0!</v>
      </c>
    </row>
    <row r="1355" spans="2:7">
      <c r="B1355" t="str">
        <f>CustomOperations!$B$37</f>
        <v>Harvest, Custom</v>
      </c>
      <c r="C1355" s="137" t="str">
        <f>CustomOperations!$C$37</f>
        <v>acre</v>
      </c>
      <c r="D1355" s="166">
        <f>CustomOperations!$L$37</f>
        <v>160</v>
      </c>
      <c r="E1355" s="166">
        <f>CustomOperations!$L$38*$C$1321</f>
        <v>0</v>
      </c>
      <c r="F1355" s="166">
        <f t="shared" ref="F1355:F1360" si="104">D1355*E1355</f>
        <v>0</v>
      </c>
      <c r="G1355" s="163" t="e">
        <f t="shared" si="98"/>
        <v>#DIV/0!</v>
      </c>
    </row>
    <row r="1356" spans="2:7">
      <c r="B1356" t="str">
        <f>CustomOperations!$B$39</f>
        <v>Hauling, Custom</v>
      </c>
      <c r="C1356" s="137" t="str">
        <f>CustomOperations!$C$39</f>
        <v>mile</v>
      </c>
      <c r="D1356" s="166">
        <f>CustomOperations!$L$39</f>
        <v>0</v>
      </c>
      <c r="E1356" s="166">
        <f>CustomOperations!$L$40*$C$1321</f>
        <v>0</v>
      </c>
      <c r="F1356" s="166">
        <f t="shared" si="104"/>
        <v>0</v>
      </c>
      <c r="G1356" s="163" t="e">
        <f t="shared" si="98"/>
        <v>#DIV/0!</v>
      </c>
    </row>
    <row r="1357" spans="2:7">
      <c r="B1357" t="str">
        <f>CustomOperations!$B$41</f>
        <v>Gin Cotton/Drying/Swathing, Custom</v>
      </c>
      <c r="C1357" s="137" t="str">
        <f>CustomOperations!$C$41</f>
        <v>bale</v>
      </c>
      <c r="D1357" s="166">
        <f>CustomOperations!$L$41</f>
        <v>0</v>
      </c>
      <c r="E1357" s="166">
        <f>CustomOperations!$L$42*$C$1321</f>
        <v>0</v>
      </c>
      <c r="F1357" s="166">
        <f t="shared" si="104"/>
        <v>0</v>
      </c>
      <c r="G1357" s="163" t="e">
        <f t="shared" si="98"/>
        <v>#DIV/0!</v>
      </c>
    </row>
    <row r="1358" spans="2:7">
      <c r="B1358" t="str">
        <f>CustomOperations!$B$24</f>
        <v>Drill, Custom</v>
      </c>
      <c r="C1358" s="137" t="str">
        <f>CustomOperations!$C$24</f>
        <v>acre</v>
      </c>
      <c r="D1358" s="166">
        <f>CustomOperations!$L$24</f>
        <v>0</v>
      </c>
      <c r="E1358" s="166">
        <f>CustomOperations!$L$25*$C$1321</f>
        <v>0</v>
      </c>
      <c r="F1358" s="166">
        <f t="shared" si="104"/>
        <v>0</v>
      </c>
      <c r="G1358" s="163" t="e">
        <f t="shared" si="98"/>
        <v>#DIV/0!</v>
      </c>
    </row>
    <row r="1359" spans="2:7">
      <c r="B1359" t="str">
        <f>CustomOperations!$B$26</f>
        <v>Row Planter, Custom</v>
      </c>
      <c r="C1359" s="137" t="str">
        <f>CustomOperations!$C$26</f>
        <v>acre</v>
      </c>
      <c r="D1359" s="166">
        <f>CustomOperations!$L$26</f>
        <v>0</v>
      </c>
      <c r="E1359" s="166">
        <f>CustomOperations!$L$27*$C$1321</f>
        <v>0</v>
      </c>
      <c r="F1359" s="166">
        <f t="shared" si="104"/>
        <v>0</v>
      </c>
      <c r="G1359" s="163" t="e">
        <f t="shared" si="98"/>
        <v>#DIV/0!</v>
      </c>
    </row>
    <row r="1360" spans="2:7">
      <c r="B1360" t="str">
        <f>CustomOperations!$B$28</f>
        <v>Row Cultivator, Custom</v>
      </c>
      <c r="C1360" s="137" t="str">
        <f>CustomOperations!$C$28</f>
        <v>acre</v>
      </c>
      <c r="D1360" s="166">
        <f>CustomOperations!$L$28</f>
        <v>0</v>
      </c>
      <c r="E1360" s="166">
        <f>CustomOperations!$L$29*$C$1321</f>
        <v>0</v>
      </c>
      <c r="F1360" s="166">
        <f t="shared" si="104"/>
        <v>0</v>
      </c>
      <c r="G1360" s="163" t="e">
        <f t="shared" si="98"/>
        <v>#DIV/0!</v>
      </c>
    </row>
    <row r="1361" spans="2:7">
      <c r="B1361" t="str">
        <f>CustomOperations!$B$5</f>
        <v>V Ripper, Custom</v>
      </c>
      <c r="C1361" s="137" t="str">
        <f>CustomOperations!$C$5</f>
        <v>acre</v>
      </c>
      <c r="D1361" s="166">
        <f>CustomOperations!$L$5</f>
        <v>44.25</v>
      </c>
      <c r="E1361" s="166">
        <f>CustomOperations!$L$6*$C$1321</f>
        <v>0</v>
      </c>
      <c r="F1361" s="166">
        <f t="shared" si="96"/>
        <v>0</v>
      </c>
      <c r="G1361" s="163" t="e">
        <f t="shared" si="98"/>
        <v>#DIV/0!</v>
      </c>
    </row>
    <row r="1362" spans="2:7">
      <c r="B1362" t="str">
        <f>CustomOperations!$B$7</f>
        <v>Disk, Custom</v>
      </c>
      <c r="C1362" s="137" t="str">
        <f>CustomOperations!$C$7</f>
        <v>acre</v>
      </c>
      <c r="D1362" s="166">
        <f>CustomOperations!$L$7</f>
        <v>0</v>
      </c>
      <c r="E1362" s="166">
        <f>CustomOperations!$L$8*$C$1321</f>
        <v>0</v>
      </c>
      <c r="F1362" s="166">
        <f t="shared" si="96"/>
        <v>0</v>
      </c>
      <c r="G1362" s="163" t="e">
        <f t="shared" si="98"/>
        <v>#DIV/0!</v>
      </c>
    </row>
    <row r="1363" spans="2:7">
      <c r="B1363" t="str">
        <f>CustomOperations!$B$9</f>
        <v>Drag, Custom</v>
      </c>
      <c r="C1363" s="137" t="str">
        <f>CustomOperations!$C$9</f>
        <v>acre</v>
      </c>
      <c r="D1363" s="166">
        <f>CustomOperations!$L$9</f>
        <v>0</v>
      </c>
      <c r="E1363" s="166">
        <f>CustomOperations!$L$10*$C$1321</f>
        <v>0</v>
      </c>
      <c r="F1363" s="166">
        <f t="shared" si="96"/>
        <v>0</v>
      </c>
      <c r="G1363" s="163" t="e">
        <f t="shared" si="98"/>
        <v>#DIV/0!</v>
      </c>
    </row>
    <row r="1364" spans="2:7">
      <c r="B1364" t="str">
        <f>CustomOperations!$B$11</f>
        <v>Chisel, Custom</v>
      </c>
      <c r="C1364" s="137" t="str">
        <f>CustomOperations!$C$11</f>
        <v>acre</v>
      </c>
      <c r="D1364" s="166">
        <f>CustomOperations!$L$11</f>
        <v>0</v>
      </c>
      <c r="E1364" s="166">
        <f>CustomOperations!$L$12*$C$1321</f>
        <v>0</v>
      </c>
      <c r="F1364" s="166">
        <f t="shared" si="96"/>
        <v>0</v>
      </c>
      <c r="G1364" s="163" t="e">
        <f t="shared" si="98"/>
        <v>#DIV/0!</v>
      </c>
    </row>
    <row r="1365" spans="2:7">
      <c r="B1365" t="str">
        <f>CustomOperations!$B$13</f>
        <v>Moldboard Plow, Custom</v>
      </c>
      <c r="C1365" s="137" t="str">
        <f>CustomOperations!$C$13</f>
        <v>acre</v>
      </c>
      <c r="D1365" s="166">
        <f>CustomOperations!$L$13</f>
        <v>0</v>
      </c>
      <c r="E1365" s="166">
        <f>CustomOperations!$L$14*$C$1321</f>
        <v>0</v>
      </c>
      <c r="F1365" s="166">
        <f t="shared" si="96"/>
        <v>0</v>
      </c>
      <c r="G1365" s="163" t="e">
        <f t="shared" si="98"/>
        <v>#DIV/0!</v>
      </c>
    </row>
    <row r="1366" spans="2:7">
      <c r="B1366" t="str">
        <f>CustomOperations!$B$15</f>
        <v>Landplane, Custom</v>
      </c>
      <c r="C1366" s="137" t="str">
        <f>CustomOperations!$C$15</f>
        <v>acre</v>
      </c>
      <c r="D1366" s="166">
        <f>CustomOperations!$L$15</f>
        <v>17.940000000000001</v>
      </c>
      <c r="E1366" s="166">
        <f>CustomOperations!$L$16*$C$1321</f>
        <v>0</v>
      </c>
      <c r="F1366" s="166">
        <f t="shared" si="96"/>
        <v>0</v>
      </c>
      <c r="G1366" s="163" t="e">
        <f t="shared" si="98"/>
        <v>#DIV/0!</v>
      </c>
    </row>
    <row r="1367" spans="2:7">
      <c r="B1367" t="str">
        <f>CustomOperations!$B$17</f>
        <v>Float, Custom</v>
      </c>
      <c r="C1367" s="137" t="str">
        <f>CustomOperations!$C$17</f>
        <v>acre</v>
      </c>
      <c r="D1367" s="166">
        <f>CustomOperations!$L$17</f>
        <v>17.940000000000001</v>
      </c>
      <c r="E1367" s="166">
        <f>CustomOperations!$L$18*$C$1321</f>
        <v>0</v>
      </c>
      <c r="F1367" s="166">
        <f t="shared" si="96"/>
        <v>0</v>
      </c>
      <c r="G1367" s="163" t="e">
        <f t="shared" si="98"/>
        <v>#DIV/0!</v>
      </c>
    </row>
    <row r="1368" spans="2:7">
      <c r="B1368" t="str">
        <f>CustomOperations!$B$19</f>
        <v>Lister, Custom</v>
      </c>
      <c r="C1368" s="137" t="str">
        <f>CustomOperations!$C$19</f>
        <v>acre</v>
      </c>
      <c r="D1368" s="166">
        <f>CustomOperations!$L$19</f>
        <v>20.38</v>
      </c>
      <c r="E1368" s="166">
        <f>CustomOperations!$L$20*$C$1321</f>
        <v>0</v>
      </c>
      <c r="F1368" s="166">
        <f t="shared" si="96"/>
        <v>0</v>
      </c>
      <c r="G1368" s="163" t="e">
        <f t="shared" si="98"/>
        <v>#DIV/0!</v>
      </c>
    </row>
    <row r="1369" spans="2:7">
      <c r="B1369" t="str">
        <f>CustomOperations!$B$21</f>
        <v>Bed Shape, Custom</v>
      </c>
      <c r="C1369" s="137" t="str">
        <f>CustomOperations!$C$21</f>
        <v>acre</v>
      </c>
      <c r="D1369" s="166">
        <f>CustomOperations!$L$21</f>
        <v>13.69</v>
      </c>
      <c r="E1369" s="166">
        <f>CustomOperations!$L$22*$C$1321</f>
        <v>0</v>
      </c>
      <c r="F1369" s="166">
        <f t="shared" si="96"/>
        <v>0</v>
      </c>
      <c r="G1369" s="163" t="e">
        <f t="shared" si="98"/>
        <v>#DIV/0!</v>
      </c>
    </row>
    <row r="1370" spans="2:7">
      <c r="B1370" t="str">
        <f>CustomOperations!$B$32</f>
        <v>Fertilizer Spreader, Custom</v>
      </c>
      <c r="C1370" s="137" t="str">
        <f>CustomOperations!$C$32</f>
        <v>acre</v>
      </c>
      <c r="D1370" s="166">
        <f>CustomOperations!$L$32</f>
        <v>10.08</v>
      </c>
      <c r="E1370" s="166">
        <f>CustomOperations!$L$33*$C$1321</f>
        <v>0</v>
      </c>
      <c r="F1370" s="166">
        <f>D1370*E1370</f>
        <v>0</v>
      </c>
      <c r="G1370" s="163" t="e">
        <f t="shared" si="98"/>
        <v>#DIV/0!</v>
      </c>
    </row>
    <row r="1371" spans="2:7">
      <c r="B1371" t="str">
        <f>CustomOperations!$B$34</f>
        <v>Laser Landplaning, Custom</v>
      </c>
      <c r="C1371" s="137" t="str">
        <f>CustomOperations!$C$34</f>
        <v>acre</v>
      </c>
      <c r="D1371" s="166">
        <f>CustomOperations!$L$34</f>
        <v>0</v>
      </c>
      <c r="E1371" s="166">
        <f>CustomOperations!$L$35*$C$1321</f>
        <v>0</v>
      </c>
      <c r="F1371" s="166">
        <f>D1371*E1371</f>
        <v>0</v>
      </c>
      <c r="G1371" s="163" t="e">
        <f t="shared" si="98"/>
        <v>#DIV/0!</v>
      </c>
    </row>
    <row r="1372" spans="2:7">
      <c r="B1372" t="str">
        <f>CustomOperations!$B$30</f>
        <v>Boom Sprayer, Custom</v>
      </c>
      <c r="C1372" s="137" t="str">
        <f>CustomOperations!$C$30</f>
        <v>acre</v>
      </c>
      <c r="D1372" s="166">
        <f>CustomOperations!$L$30</f>
        <v>10.050000000000001</v>
      </c>
      <c r="E1372" s="166">
        <f>CustomOperations!$L$31*$C$1321</f>
        <v>0</v>
      </c>
      <c r="F1372" s="166">
        <f t="shared" ref="F1372" si="105">D1372*E1372</f>
        <v>0</v>
      </c>
      <c r="G1372" s="163" t="e">
        <f t="shared" si="98"/>
        <v>#DIV/0!</v>
      </c>
    </row>
    <row r="1373" spans="2:7">
      <c r="B1373" s="463" t="str">
        <f>TillageOperations!$B$7&amp;" (Repairs, maint., fuel &amp; lube)"</f>
        <v>V-Ripper (Repairs, maint., fuel &amp; lube)</v>
      </c>
      <c r="C1373" s="464" t="s">
        <v>157</v>
      </c>
      <c r="D1373" s="166">
        <f>PubMachineryTables!$AM$49+PubMachineryTables!$AN$49</f>
        <v>30.16333889180672</v>
      </c>
      <c r="E1373" s="166">
        <f>TillageOperations!$K$7*$C$1321</f>
        <v>0</v>
      </c>
      <c r="F1373" s="166">
        <f t="shared" ref="F1373:F1392" si="106">D1373*E1373</f>
        <v>0</v>
      </c>
      <c r="G1373" s="163" t="e">
        <f t="shared" si="98"/>
        <v>#DIV/0!</v>
      </c>
    </row>
    <row r="1374" spans="2:7">
      <c r="B1374" s="463" t="str">
        <f>TillageOperations!$B$7&amp;" (Labor)"</f>
        <v>V-Ripper (Labor)</v>
      </c>
      <c r="C1374" s="464" t="s">
        <v>157</v>
      </c>
      <c r="D1374" s="166">
        <f>PubMachineryTables!$AL$49</f>
        <v>13.529312500000001</v>
      </c>
      <c r="E1374" s="166">
        <f>TillageOperations!$K$7*$C$1321</f>
        <v>0</v>
      </c>
      <c r="F1374" s="166">
        <f t="shared" si="106"/>
        <v>0</v>
      </c>
      <c r="G1374" s="163" t="e">
        <f t="shared" si="98"/>
        <v>#DIV/0!</v>
      </c>
    </row>
    <row r="1375" spans="2:7">
      <c r="B1375" s="463" t="str">
        <f>TillageOperations!$B$8&amp;" (Repairs, maint., fuel &amp; lube)"</f>
        <v>Offset Disk (Repairs, maint., fuel &amp; lube)</v>
      </c>
      <c r="C1375" s="464" t="s">
        <v>157</v>
      </c>
      <c r="D1375" s="166">
        <f>PubMachineryTables!$AN$50+PubMachineryTables!$AM$50</f>
        <v>10.332318567950058</v>
      </c>
      <c r="E1375" s="166">
        <f>TillageOperations!$K$8*$C$1321</f>
        <v>0</v>
      </c>
      <c r="F1375" s="166">
        <f t="shared" si="106"/>
        <v>0</v>
      </c>
      <c r="G1375" s="163" t="e">
        <f t="shared" si="98"/>
        <v>#DIV/0!</v>
      </c>
    </row>
    <row r="1376" spans="2:7">
      <c r="B1376" s="463" t="str">
        <f>TillageOperations!$B$8&amp;" (Labor)"</f>
        <v>Offset Disk (Labor)</v>
      </c>
      <c r="C1376" s="464" t="s">
        <v>157</v>
      </c>
      <c r="D1376" s="166">
        <f>PubMachineryTables!$AL$50</f>
        <v>4.7161002178649252</v>
      </c>
      <c r="E1376" s="166">
        <f>TillageOperations!$K$8*$C$1321</f>
        <v>0</v>
      </c>
      <c r="F1376" s="166">
        <f t="shared" si="106"/>
        <v>0</v>
      </c>
      <c r="G1376" s="163" t="e">
        <f t="shared" si="98"/>
        <v>#DIV/0!</v>
      </c>
    </row>
    <row r="1377" spans="2:7">
      <c r="B1377" s="463" t="str">
        <f>TillageOperations!$B$9&amp;" (Repairs, maint., fuel &amp; lube)"</f>
        <v>Drag (Repairs, maint., fuel &amp; lube)</v>
      </c>
      <c r="C1377" s="464" t="s">
        <v>157</v>
      </c>
      <c r="D1377" s="166">
        <f>PubMachineryTables!$AN$51+PubMachineryTables!$AM$51</f>
        <v>2.4803921568627447</v>
      </c>
      <c r="E1377" s="166">
        <f>TillageOperations!$K$9*$C$1321</f>
        <v>0</v>
      </c>
      <c r="F1377" s="166">
        <f t="shared" si="106"/>
        <v>0</v>
      </c>
      <c r="G1377" s="163" t="e">
        <f t="shared" si="98"/>
        <v>#DIV/0!</v>
      </c>
    </row>
    <row r="1378" spans="2:7">
      <c r="B1378" s="463" t="str">
        <f>TillageOperations!$B$9&amp;" (Labor)"</f>
        <v>Drag (Labor)</v>
      </c>
      <c r="C1378" s="464" t="s">
        <v>157</v>
      </c>
      <c r="D1378" s="166">
        <f>PubMachineryTables!$AL$51</f>
        <v>2.1222450980392158</v>
      </c>
      <c r="E1378" s="166">
        <f>TillageOperations!$K$9*$C$1321</f>
        <v>0</v>
      </c>
      <c r="F1378" s="166">
        <f t="shared" si="106"/>
        <v>0</v>
      </c>
      <c r="G1378" s="163" t="e">
        <f t="shared" si="98"/>
        <v>#DIV/0!</v>
      </c>
    </row>
    <row r="1379" spans="2:7">
      <c r="B1379" s="463" t="str">
        <f>TillageOperations!$B$10&amp;" (Repairs, maint., fuel &amp; lube)"</f>
        <v>Chisel (Repairs, maint., fuel &amp; lube)</v>
      </c>
      <c r="C1379" s="464" t="s">
        <v>157</v>
      </c>
      <c r="D1379" s="166">
        <f>PubMachineryTables!$AN$52+PubMachineryTables!$AM$52</f>
        <v>8.5884820270019766</v>
      </c>
      <c r="E1379" s="166">
        <f>TillageOperations!$K$10*$C$1321</f>
        <v>0</v>
      </c>
      <c r="F1379" s="166">
        <f t="shared" si="106"/>
        <v>0</v>
      </c>
      <c r="G1379" s="163" t="e">
        <f t="shared" si="98"/>
        <v>#DIV/0!</v>
      </c>
    </row>
    <row r="1380" spans="2:7">
      <c r="B1380" s="463" t="str">
        <f>TillageOperations!$B$10&amp;" (Labor)"</f>
        <v>Chisel (Labor)</v>
      </c>
      <c r="C1380" s="464" t="s">
        <v>157</v>
      </c>
      <c r="D1380" s="166">
        <f>PubMachineryTables!$AL$52</f>
        <v>3.9792095588235301</v>
      </c>
      <c r="E1380" s="166">
        <f>TillageOperations!$K$10*$C$1321</f>
        <v>0</v>
      </c>
      <c r="F1380" s="166">
        <f t="shared" si="106"/>
        <v>0</v>
      </c>
      <c r="G1380" s="163" t="e">
        <f t="shared" si="98"/>
        <v>#DIV/0!</v>
      </c>
    </row>
    <row r="1381" spans="2:7">
      <c r="B1381" s="463" t="str">
        <f>TillageOperations!$B$11&amp;" (Repairs, maint., fuel &amp; lube)"</f>
        <v>Moldboard Plow (Repairs, maint., fuel &amp; lube)</v>
      </c>
      <c r="C1381" s="464" t="s">
        <v>157</v>
      </c>
      <c r="D1381" s="166">
        <f>PubMachineryTables!$AN$53+PubMachineryTables!$AM$53</f>
        <v>14.457142857142856</v>
      </c>
      <c r="E1381" s="166">
        <f>TillageOperations!$K$11*$C$1321</f>
        <v>0</v>
      </c>
      <c r="F1381" s="166">
        <f t="shared" si="106"/>
        <v>0</v>
      </c>
      <c r="G1381" s="163" t="e">
        <f t="shared" si="98"/>
        <v>#DIV/0!</v>
      </c>
    </row>
    <row r="1382" spans="2:7">
      <c r="B1382" s="463" t="str">
        <f>TillageOperations!$B$11&amp;" (Labor)"</f>
        <v>Moldboard Plow (Labor)</v>
      </c>
      <c r="C1382" s="464" t="s">
        <v>157</v>
      </c>
      <c r="D1382" s="166">
        <f>PubMachineryTables!$AL$53</f>
        <v>7.7310357142857153</v>
      </c>
      <c r="E1382" s="166">
        <f>TillageOperations!$K$11*$C$1321</f>
        <v>0</v>
      </c>
      <c r="F1382" s="166">
        <f t="shared" si="106"/>
        <v>0</v>
      </c>
      <c r="G1382" s="163" t="e">
        <f t="shared" si="98"/>
        <v>#DIV/0!</v>
      </c>
    </row>
    <row r="1383" spans="2:7">
      <c r="B1383" s="463" t="str">
        <f>TillageOperations!$B$12&amp;" (Repairs, maint., fuel &amp; lube)"</f>
        <v>Cultivator (Repairs, maint., fuel &amp; lube)</v>
      </c>
      <c r="C1383" s="464" t="s">
        <v>157</v>
      </c>
      <c r="D1383" s="166">
        <f>PubMachineryTables!$AN$54+PubMachineryTables!$AM$54</f>
        <v>5.7828571428571429</v>
      </c>
      <c r="E1383" s="166">
        <f>TillageOperations!$K$12*$C$1321</f>
        <v>0</v>
      </c>
      <c r="F1383" s="166">
        <f t="shared" si="106"/>
        <v>0</v>
      </c>
      <c r="G1383" s="163" t="e">
        <f t="shared" si="98"/>
        <v>#DIV/0!</v>
      </c>
    </row>
    <row r="1384" spans="2:7">
      <c r="B1384" s="463" t="str">
        <f>TillageOperations!$B$12&amp;" (Labor)"</f>
        <v>Cultivator (Labor)</v>
      </c>
      <c r="C1384" s="464" t="s">
        <v>157</v>
      </c>
      <c r="D1384" s="166">
        <f>PubMachineryTables!$AL$54</f>
        <v>3.0924142857142862</v>
      </c>
      <c r="E1384" s="166">
        <f>TillageOperations!$K$12*$C$1321</f>
        <v>0</v>
      </c>
      <c r="F1384" s="166">
        <f t="shared" si="106"/>
        <v>0</v>
      </c>
      <c r="G1384" s="163" t="e">
        <f t="shared" si="98"/>
        <v>#DIV/0!</v>
      </c>
    </row>
    <row r="1385" spans="2:7">
      <c r="B1385" s="463" t="str">
        <f>TillageOperations!$B$13&amp;" (Repairs, maint., fuel &amp; lube)"</f>
        <v>Landplane (Repairs, maint., fuel &amp; lube)</v>
      </c>
      <c r="C1385" s="464" t="s">
        <v>157</v>
      </c>
      <c r="D1385" s="166">
        <f>PubMachineryTables!$AN$55+PubMachineryTables!$AM$55</f>
        <v>8.0445253976590632</v>
      </c>
      <c r="E1385" s="166">
        <f>TillageOperations!$K$13*$C$1321</f>
        <v>0</v>
      </c>
      <c r="F1385" s="166">
        <f t="shared" si="106"/>
        <v>0</v>
      </c>
      <c r="G1385" s="163" t="e">
        <f t="shared" si="98"/>
        <v>#DIV/0!</v>
      </c>
    </row>
    <row r="1386" spans="2:7">
      <c r="B1386" s="463" t="str">
        <f>TillageOperations!$B$13&amp;" (Labor)"</f>
        <v>Landplane (Labor)</v>
      </c>
      <c r="C1386" s="464" t="s">
        <v>157</v>
      </c>
      <c r="D1386" s="166">
        <f>PubMachineryTables!$AL$55</f>
        <v>3.8655178571428577</v>
      </c>
      <c r="E1386" s="166">
        <f>TillageOperations!$K$13*$C$1321</f>
        <v>0</v>
      </c>
      <c r="F1386" s="166">
        <f t="shared" si="106"/>
        <v>0</v>
      </c>
      <c r="G1386" s="163" t="e">
        <f t="shared" si="98"/>
        <v>#DIV/0!</v>
      </c>
    </row>
    <row r="1387" spans="2:7">
      <c r="B1387" s="463" t="str">
        <f>TillageOperations!$B$14&amp;" (Repairs, maint., fuel &amp; lube)"</f>
        <v>Float (Repairs, maint., fuel &amp; lube)</v>
      </c>
      <c r="C1387" s="464" t="s">
        <v>157</v>
      </c>
      <c r="D1387" s="166">
        <f>PubMachineryTables!$AN$56+PubMachineryTables!$AM$56</f>
        <v>5.1632653061224492</v>
      </c>
      <c r="E1387" s="166">
        <f>TillageOperations!$K$14*$C$1321</f>
        <v>0</v>
      </c>
      <c r="F1387" s="166">
        <f t="shared" si="106"/>
        <v>0</v>
      </c>
      <c r="G1387" s="163" t="e">
        <f t="shared" si="98"/>
        <v>#DIV/0!</v>
      </c>
    </row>
    <row r="1388" spans="2:7">
      <c r="B1388" s="463" t="str">
        <f>TillageOperations!$B$14&amp;" (Labor)"</f>
        <v>Float (Labor)</v>
      </c>
      <c r="C1388" s="464" t="s">
        <v>157</v>
      </c>
      <c r="D1388" s="166">
        <f>PubMachineryTables!$AL$56</f>
        <v>4.4177346938775521</v>
      </c>
      <c r="E1388" s="166">
        <f>TillageOperations!$K$14*$C$1321</f>
        <v>0</v>
      </c>
      <c r="F1388" s="166">
        <f t="shared" si="106"/>
        <v>0</v>
      </c>
      <c r="G1388" s="163" t="e">
        <f t="shared" si="98"/>
        <v>#DIV/0!</v>
      </c>
    </row>
    <row r="1389" spans="2:7">
      <c r="B1389" s="463" t="str">
        <f>TillageOperations!$B$15&amp;" (Repairs, maint., fuel &amp; lube)"</f>
        <v>Lister (Repairs, maint., fuel &amp; lube)</v>
      </c>
      <c r="C1389" s="464" t="s">
        <v>157</v>
      </c>
      <c r="D1389" s="166">
        <f>PubMachineryTables!$AN$57+PubMachineryTables!$AM$57</f>
        <v>11.879642797844287</v>
      </c>
      <c r="E1389" s="166">
        <f>TillageOperations!$K$15*$C$1321</f>
        <v>0</v>
      </c>
      <c r="F1389" s="166">
        <f t="shared" si="106"/>
        <v>0</v>
      </c>
      <c r="G1389" s="163" t="e">
        <f t="shared" si="98"/>
        <v>#DIV/0!</v>
      </c>
    </row>
    <row r="1390" spans="2:7">
      <c r="B1390" s="463" t="str">
        <f>TillageOperations!$B$15&amp;" (Labor)"</f>
        <v>Lister (Labor)</v>
      </c>
      <c r="C1390" s="464" t="s">
        <v>157</v>
      </c>
      <c r="D1390" s="166">
        <f>PubMachineryTables!$AL$57</f>
        <v>6.1848285714285725</v>
      </c>
      <c r="E1390" s="166">
        <f>TillageOperations!$K$15*$C$1321</f>
        <v>0</v>
      </c>
      <c r="F1390" s="166">
        <f t="shared" si="106"/>
        <v>0</v>
      </c>
      <c r="G1390" s="163" t="e">
        <f t="shared" si="98"/>
        <v>#DIV/0!</v>
      </c>
    </row>
    <row r="1391" spans="2:7">
      <c r="B1391" s="463" t="str">
        <f>TillageOperations!$B$16&amp;" (Repairs, maint., fuel &amp; lube)"</f>
        <v>Bed Shaper (Repairs, maint., fuel &amp; lube)</v>
      </c>
      <c r="C1391" s="464" t="s">
        <v>157</v>
      </c>
      <c r="D1391" s="166">
        <f>PubMachineryTables!$AN$58+PubMachineryTables!$AM$58</f>
        <v>5.9574634784635725</v>
      </c>
      <c r="E1391" s="166">
        <f>TillageOperations!$K$16*$C$1321</f>
        <v>0</v>
      </c>
      <c r="F1391" s="166">
        <f t="shared" si="106"/>
        <v>0</v>
      </c>
      <c r="G1391" s="163" t="e">
        <f t="shared" si="98"/>
        <v>#DIV/0!</v>
      </c>
    </row>
    <row r="1392" spans="2:7">
      <c r="B1392" s="463" t="str">
        <f>TillageOperations!$B$16&amp;" (Labor)"</f>
        <v>Bed Shaper (Labor)</v>
      </c>
      <c r="C1392" s="464" t="s">
        <v>157</v>
      </c>
      <c r="D1392" s="166">
        <f>PubMachineryTables!$AL$58</f>
        <v>3.0924142857142862</v>
      </c>
      <c r="E1392" s="166">
        <f>TillageOperations!$K$16*$C$1321</f>
        <v>0</v>
      </c>
      <c r="F1392" s="166">
        <f t="shared" si="106"/>
        <v>0</v>
      </c>
      <c r="G1392" s="163" t="e">
        <f t="shared" si="98"/>
        <v>#DIV/0!</v>
      </c>
    </row>
    <row r="1393" spans="2:8">
      <c r="B1393" s="463" t="str">
        <f>TillageOperations!$B$19&amp;" (Repairs, maint., fuel &amp; lube)"</f>
        <v>Row Planter (Repairs, maint., fuel &amp; lube)</v>
      </c>
      <c r="C1393" s="464" t="s">
        <v>157</v>
      </c>
      <c r="D1393" s="166">
        <f>PubMachineryTables!$AN$60+PubMachineryTables!$AM$60</f>
        <v>8.8400048303091552</v>
      </c>
      <c r="E1393" s="166">
        <f>TillageOperations!$K$19*$C$1321</f>
        <v>0</v>
      </c>
      <c r="F1393" s="166">
        <f t="shared" ref="F1393:F1394" si="107">D1393*E1393</f>
        <v>0</v>
      </c>
      <c r="G1393" s="163" t="e">
        <f t="shared" si="98"/>
        <v>#DIV/0!</v>
      </c>
    </row>
    <row r="1394" spans="2:8">
      <c r="B1394" s="463" t="str">
        <f>TillageOperations!$B$19&amp;" (Labor)"</f>
        <v>Row Planter (Labor)</v>
      </c>
      <c r="C1394" s="464" t="s">
        <v>157</v>
      </c>
      <c r="D1394" s="166">
        <f>PubMachineryTables!$AL$60</f>
        <v>4.5097708333333344</v>
      </c>
      <c r="E1394" s="166">
        <f>TillageOperations!$K$19*$C$1321</f>
        <v>0</v>
      </c>
      <c r="F1394" s="166">
        <f t="shared" si="107"/>
        <v>0</v>
      </c>
      <c r="G1394" s="163" t="e">
        <f t="shared" si="98"/>
        <v>#DIV/0!</v>
      </c>
    </row>
    <row r="1395" spans="2:8">
      <c r="B1395" s="463" t="str">
        <f>TillageOperations!$B$20&amp;" (Repairs, maint., fuel &amp; lube)"</f>
        <v>Row Cultivator (Repairs, maint., fuel &amp; lube)</v>
      </c>
      <c r="C1395" s="464" t="s">
        <v>157</v>
      </c>
      <c r="D1395" s="166">
        <f>PubMachineryTables!$AN$61+PubMachineryTables!$AM$61</f>
        <v>3.5823141032725374</v>
      </c>
      <c r="E1395" s="166">
        <f>TillageOperations!$K$20*$C$1321</f>
        <v>0</v>
      </c>
      <c r="F1395" s="166">
        <f>D1395*E1395</f>
        <v>0</v>
      </c>
      <c r="G1395" s="163" t="e">
        <f t="shared" ref="G1395:G1459" si="108">F1395/C$1321</f>
        <v>#DIV/0!</v>
      </c>
    </row>
    <row r="1396" spans="2:8">
      <c r="B1396" s="463" t="str">
        <f>TillageOperations!$B$20&amp;" (Labor)"</f>
        <v>Row Cultivator (Labor)</v>
      </c>
      <c r="C1396" s="464" t="s">
        <v>157</v>
      </c>
      <c r="D1396" s="166">
        <f>PubMachineryTables!$AL$61</f>
        <v>3.0065138888888892</v>
      </c>
      <c r="E1396" s="166">
        <f>TillageOperations!$K$20*$C$1321</f>
        <v>0</v>
      </c>
      <c r="F1396" s="166">
        <f>D1396*E1396</f>
        <v>0</v>
      </c>
      <c r="G1396" s="163" t="e">
        <f t="shared" si="108"/>
        <v>#DIV/0!</v>
      </c>
    </row>
    <row r="1397" spans="2:8">
      <c r="B1397" s="463" t="str">
        <f>TillageOperations!$B$21&amp;" (Repairs, maint., fuel &amp; lube)"</f>
        <v>Drill (Repairs, maint., fuel &amp; lube)</v>
      </c>
      <c r="C1397" s="464" t="s">
        <v>157</v>
      </c>
      <c r="D1397" s="166">
        <f>PubMachineryTables!$AN$62+PubMachineryTables!$AM$62</f>
        <v>7.6986395922631168</v>
      </c>
      <c r="E1397" s="166">
        <f>TillageOperations!$K$21*$C$1321</f>
        <v>0</v>
      </c>
      <c r="F1397" s="166">
        <f>D1397*E1397</f>
        <v>0</v>
      </c>
      <c r="G1397" s="163" t="e">
        <f t="shared" si="108"/>
        <v>#DIV/0!</v>
      </c>
    </row>
    <row r="1398" spans="2:8">
      <c r="B1398" s="463" t="str">
        <f>TillageOperations!$B$21&amp;" (Labor)"</f>
        <v>Drill (Labor)</v>
      </c>
      <c r="C1398" s="464" t="s">
        <v>157</v>
      </c>
      <c r="D1398" s="166">
        <f>PubMachineryTables!$AL$62</f>
        <v>5.4117250000000006</v>
      </c>
      <c r="E1398" s="166">
        <f>TillageOperations!$K$21*$C$1321</f>
        <v>0</v>
      </c>
      <c r="F1398" s="166">
        <f>D1398*E1398</f>
        <v>0</v>
      </c>
      <c r="G1398" s="163" t="e">
        <f t="shared" si="108"/>
        <v>#DIV/0!</v>
      </c>
    </row>
    <row r="1399" spans="2:8">
      <c r="B1399" s="75" t="str">
        <f>TillageOperations!$B$27&amp;" (Repairs, maint., fuel &amp; lube)"</f>
        <v>Cotton Picker (Repairs, maint., fuel &amp; lube)</v>
      </c>
      <c r="C1399" s="464" t="s">
        <v>157</v>
      </c>
      <c r="D1399" s="166">
        <f>PubMachineryTables!$AN$67+PubMachineryTables!$AM$67</f>
        <v>20.587703435804702</v>
      </c>
      <c r="E1399" s="166">
        <f>TillageOperations!$K$27*$C$1321</f>
        <v>0</v>
      </c>
      <c r="F1399" s="166">
        <f t="shared" ref="F1399:F1421" si="109">D1399*E1399</f>
        <v>0</v>
      </c>
      <c r="G1399" s="163" t="e">
        <f t="shared" si="108"/>
        <v>#DIV/0!</v>
      </c>
      <c r="H1399" s="166" t="s">
        <v>361</v>
      </c>
    </row>
    <row r="1400" spans="2:8">
      <c r="B1400" t="str">
        <f>TillageOperations!$B$27&amp;" (Labor)"</f>
        <v>Cotton Picker (Labor)</v>
      </c>
      <c r="C1400" s="464" t="s">
        <v>157</v>
      </c>
      <c r="D1400" s="166">
        <f>PubMachineryTables!$AL$67</f>
        <v>7.3395908679927677</v>
      </c>
      <c r="E1400" s="166">
        <f>TillageOperations!$K$27*$C$1321</f>
        <v>0</v>
      </c>
      <c r="F1400" s="166">
        <f t="shared" si="109"/>
        <v>0</v>
      </c>
      <c r="G1400" s="163" t="e">
        <f t="shared" si="108"/>
        <v>#DIV/0!</v>
      </c>
      <c r="H1400" s="166" t="s">
        <v>361</v>
      </c>
    </row>
    <row r="1401" spans="2:8">
      <c r="B1401" s="75" t="str">
        <f>TillageOperations!$B$28&amp;" (Repairs, maint., fuel &amp; lube)"</f>
        <v>Module Unit (Repairs, maint., fuel &amp; lube)</v>
      </c>
      <c r="C1401" s="464" t="s">
        <v>157</v>
      </c>
      <c r="D1401" s="166">
        <f>PubMachineryTables!$AN$68+PubMachineryTables!$AM$68</f>
        <v>7.0644080416976918</v>
      </c>
      <c r="E1401" s="166">
        <f>TillageOperations!$K$28*$C$1321</f>
        <v>0</v>
      </c>
      <c r="F1401" s="166">
        <f t="shared" si="109"/>
        <v>0</v>
      </c>
      <c r="G1401" s="163" t="e">
        <f t="shared" si="108"/>
        <v>#DIV/0!</v>
      </c>
      <c r="H1401" s="166" t="s">
        <v>361</v>
      </c>
    </row>
    <row r="1402" spans="2:8">
      <c r="B1402" t="str">
        <f>TillageOperations!$B$28&amp;" (Labor)"</f>
        <v>Module Unit (Labor)</v>
      </c>
      <c r="C1402" s="464" t="s">
        <v>157</v>
      </c>
      <c r="D1402" s="166">
        <f>PubMachineryTables!$AL$68</f>
        <v>6.0443689501116911</v>
      </c>
      <c r="E1402" s="166">
        <f>TillageOperations!$K$28*$C$1321</f>
        <v>0</v>
      </c>
      <c r="F1402" s="166">
        <f t="shared" si="109"/>
        <v>0</v>
      </c>
      <c r="G1402" s="163" t="e">
        <f t="shared" si="108"/>
        <v>#DIV/0!</v>
      </c>
      <c r="H1402" s="166" t="s">
        <v>361</v>
      </c>
    </row>
    <row r="1403" spans="2:8">
      <c r="B1403" t="str">
        <f>TillageOperations!$B$29&amp;" (Repairs, maint., fuel &amp; lube)"</f>
        <v>Haul Cotton (Repairs, maint., fuel &amp; lube)</v>
      </c>
      <c r="C1403" s="464" t="s">
        <v>157</v>
      </c>
      <c r="D1403" s="166">
        <f>PubMachineryTables!$AN$69+PubMachineryTables!$AM$69</f>
        <v>7.0644080416976918</v>
      </c>
      <c r="E1403" s="166">
        <f>TillageOperations!$K$29*$C$1321</f>
        <v>0</v>
      </c>
      <c r="F1403" s="166">
        <f t="shared" si="109"/>
        <v>0</v>
      </c>
      <c r="G1403" s="163" t="e">
        <f t="shared" si="108"/>
        <v>#DIV/0!</v>
      </c>
      <c r="H1403" s="304" t="s">
        <v>10</v>
      </c>
    </row>
    <row r="1404" spans="2:8">
      <c r="B1404" t="str">
        <f>TillageOperations!$B$29&amp;" (Labor)"</f>
        <v>Haul Cotton (Labor)</v>
      </c>
      <c r="C1404" s="464" t="s">
        <v>157</v>
      </c>
      <c r="D1404" s="166">
        <f>PubMachineryTables!$AL$69</f>
        <v>6.0443689501116911</v>
      </c>
      <c r="E1404" s="166">
        <f>TillageOperations!$K$29*$C$1321</f>
        <v>0</v>
      </c>
      <c r="F1404" s="166">
        <f t="shared" si="109"/>
        <v>0</v>
      </c>
      <c r="G1404" s="163" t="e">
        <f t="shared" si="108"/>
        <v>#DIV/0!</v>
      </c>
      <c r="H1404" s="304" t="s">
        <v>10</v>
      </c>
    </row>
    <row r="1405" spans="2:8">
      <c r="B1405" t="str">
        <f>TillageOperations!$B$17&amp;" (Repairs, maint., fuel &amp; lube)"</f>
        <v>Cotton Shredder/Root Puller (Repairs, maint., fuel &amp; lube)</v>
      </c>
      <c r="C1405" s="464" t="s">
        <v>157</v>
      </c>
      <c r="D1405" s="166">
        <f>PubMachineryTables!$AN$59+PubMachineryTables!$AM$59</f>
        <v>3.4657534246575339</v>
      </c>
      <c r="E1405" s="166">
        <f>TillageOperations!$K$17*$C$1321</f>
        <v>0</v>
      </c>
      <c r="F1405" s="166">
        <f t="shared" si="109"/>
        <v>0</v>
      </c>
      <c r="G1405" s="163" t="e">
        <f t="shared" si="108"/>
        <v>#DIV/0!</v>
      </c>
      <c r="H1405" s="166" t="s">
        <v>361</v>
      </c>
    </row>
    <row r="1406" spans="2:8">
      <c r="B1406" t="str">
        <f>TillageOperations!$B$17&amp;" (Labor)"</f>
        <v>Cotton Shredder/Root Puller (Labor)</v>
      </c>
      <c r="C1406" s="464" t="s">
        <v>157</v>
      </c>
      <c r="D1406" s="166">
        <f>PubMachineryTables!$AL$59</f>
        <v>2.965328767123288</v>
      </c>
      <c r="E1406" s="166">
        <f>TillageOperations!$K$17*$C$1321</f>
        <v>0</v>
      </c>
      <c r="F1406" s="166">
        <f t="shared" si="109"/>
        <v>0</v>
      </c>
      <c r="G1406" s="163" t="e">
        <f t="shared" si="108"/>
        <v>#DIV/0!</v>
      </c>
    </row>
    <row r="1407" spans="2:8">
      <c r="B1407" t="str">
        <f>TillageOperations!$B$30&amp;" (Repairs, maint., fuel &amp; lube)"</f>
        <v>Combine (Repairs, maint., fuel &amp; lube)</v>
      </c>
      <c r="C1407" s="464" t="s">
        <v>157</v>
      </c>
      <c r="D1407" s="166">
        <f>PubMachineryTables!$AN$70+PubMachineryTables!$AM$70</f>
        <v>4.8939818019913757</v>
      </c>
      <c r="E1407" s="166">
        <f>TillageOperations!$K$30*$C$1321</f>
        <v>0</v>
      </c>
      <c r="F1407" s="166">
        <f>D1407*E1407</f>
        <v>0</v>
      </c>
      <c r="G1407" s="163" t="e">
        <f t="shared" si="108"/>
        <v>#DIV/0!</v>
      </c>
    </row>
    <row r="1408" spans="2:8">
      <c r="B1408" t="str">
        <f>TillageOperations!$B$30&amp;" (Labor)"</f>
        <v>Combine (Labor)</v>
      </c>
      <c r="C1408" s="464" t="s">
        <v>157</v>
      </c>
      <c r="D1408" s="166">
        <f>PubMachineryTables!$AL$70</f>
        <v>1.591683823529412</v>
      </c>
      <c r="E1408" s="166">
        <f>TillageOperations!$K$30*$C$1321</f>
        <v>0</v>
      </c>
      <c r="F1408" s="166">
        <f>D1408*E1408</f>
        <v>0</v>
      </c>
      <c r="G1408" s="163" t="e">
        <f t="shared" si="108"/>
        <v>#DIV/0!</v>
      </c>
    </row>
    <row r="1409" spans="2:7">
      <c r="B1409" t="str">
        <f>TillageOperations!$B$31&amp;" (Repairs, maint., fuel &amp; lube)"</f>
        <v>Grain Cart (Repairs, maint., fuel &amp; lube)</v>
      </c>
      <c r="C1409" s="464" t="s">
        <v>157</v>
      </c>
      <c r="D1409" s="166">
        <f>PubMachineryTables!$AN$71+PubMachineryTables!$AM$71</f>
        <v>3.2163097667975675</v>
      </c>
      <c r="E1409" s="166">
        <f>TillageOperations!$K$31*$C$1321</f>
        <v>0</v>
      </c>
      <c r="F1409" s="166">
        <f>D1409*E1409</f>
        <v>0</v>
      </c>
      <c r="G1409" s="163" t="e">
        <f t="shared" si="108"/>
        <v>#DIV/0!</v>
      </c>
    </row>
    <row r="1410" spans="2:7">
      <c r="B1410" t="str">
        <f>TillageOperations!$B$31&amp;" (Labor)"</f>
        <v>Grain Cart (Labor)</v>
      </c>
      <c r="C1410" s="464" t="s">
        <v>157</v>
      </c>
      <c r="D1410" s="166">
        <f>PubMachineryTables!$AL$71</f>
        <v>1.591683823529412</v>
      </c>
      <c r="E1410" s="166">
        <f>TillageOperations!$K$31*$C$1321</f>
        <v>0</v>
      </c>
      <c r="F1410" s="166">
        <f>D1410*E1410</f>
        <v>0</v>
      </c>
      <c r="G1410" s="163" t="e">
        <f t="shared" si="108"/>
        <v>#DIV/0!</v>
      </c>
    </row>
    <row r="1411" spans="2:7">
      <c r="B1411" t="str">
        <f>TillageOperations!$B$32&amp;" (Repairs, maint., fuel &amp; lube)"</f>
        <v>Swather (Repairs, maint., fuel &amp; lube)</v>
      </c>
      <c r="C1411" s="464" t="s">
        <v>157</v>
      </c>
      <c r="D1411" s="166">
        <f>PubMachineryTables!$AN$72+PubMachineryTables!$AM$72</f>
        <v>2.0239999999999996</v>
      </c>
      <c r="E1411" s="166">
        <f>TillageOperations!$K$32*$C$1321</f>
        <v>0</v>
      </c>
      <c r="F1411" s="166">
        <f t="shared" si="109"/>
        <v>0</v>
      </c>
      <c r="G1411" s="163" t="e">
        <f t="shared" si="108"/>
        <v>#DIV/0!</v>
      </c>
    </row>
    <row r="1412" spans="2:7">
      <c r="B1412" t="str">
        <f>TillageOperations!$B$32&amp;" (Labor)"</f>
        <v>Swather (Labor)</v>
      </c>
      <c r="C1412" s="464" t="s">
        <v>157</v>
      </c>
      <c r="D1412" s="166">
        <f>PubMachineryTables!$AL$72</f>
        <v>2.1646900000000002</v>
      </c>
      <c r="E1412" s="166">
        <f>TillageOperations!$K$32*$C$1321</f>
        <v>0</v>
      </c>
      <c r="F1412" s="166">
        <f t="shared" si="109"/>
        <v>0</v>
      </c>
      <c r="G1412" s="163" t="e">
        <f t="shared" si="108"/>
        <v>#DIV/0!</v>
      </c>
    </row>
    <row r="1413" spans="2:7">
      <c r="B1413" t="str">
        <f>TillageOperations!$B$33&amp;" (Repairs, maint., fuel &amp; lube)"</f>
        <v>Baler (Repairs, maint., fuel &amp; lube)</v>
      </c>
      <c r="C1413" s="464" t="s">
        <v>157</v>
      </c>
      <c r="D1413" s="166">
        <f>PubMachineryTables!$AN$73+PubMachineryTables!$AM$73</f>
        <v>3.953125</v>
      </c>
      <c r="E1413" s="166">
        <f>TillageOperations!$K$33*$C$1321</f>
        <v>0</v>
      </c>
      <c r="F1413" s="166">
        <f t="shared" si="109"/>
        <v>0</v>
      </c>
      <c r="G1413" s="163" t="e">
        <f t="shared" si="108"/>
        <v>#DIV/0!</v>
      </c>
    </row>
    <row r="1414" spans="2:7">
      <c r="B1414" t="str">
        <f>TillageOperations!$B$33&amp;" (Labor)"</f>
        <v>Baler (Labor)</v>
      </c>
      <c r="C1414" s="464" t="s">
        <v>157</v>
      </c>
      <c r="D1414" s="166">
        <f>PubMachineryTables!$AL$73</f>
        <v>3.3823281250000004</v>
      </c>
      <c r="E1414" s="166">
        <f>TillageOperations!$K$33*$C$1321</f>
        <v>0</v>
      </c>
      <c r="F1414" s="166">
        <f t="shared" si="109"/>
        <v>0</v>
      </c>
      <c r="G1414" s="163" t="e">
        <f t="shared" si="108"/>
        <v>#DIV/0!</v>
      </c>
    </row>
    <row r="1415" spans="2:7">
      <c r="B1415" t="str">
        <f>TillageOperations!$B$34&amp;" (Repairs, maint., fuel &amp; lube)"</f>
        <v>Swather (Repairs, maint., fuel &amp; lube)</v>
      </c>
      <c r="C1415" s="464" t="s">
        <v>157</v>
      </c>
      <c r="D1415" s="166">
        <f>PubMachineryTables!$AN$74+PubMachineryTables!$AM$74</f>
        <v>19.46153846153846</v>
      </c>
      <c r="E1415" s="166">
        <f>TillageOperations!$K$34*$C$1321</f>
        <v>0</v>
      </c>
      <c r="F1415" s="166">
        <f t="shared" ref="F1415:F1416" si="110">D1415*E1415</f>
        <v>0</v>
      </c>
      <c r="G1415" s="163" t="e">
        <f t="shared" si="108"/>
        <v>#DIV/0!</v>
      </c>
    </row>
    <row r="1416" spans="2:7">
      <c r="B1416" t="str">
        <f>TillageOperations!$B$34&amp;" (Labor)"</f>
        <v>Swather (Labor)</v>
      </c>
      <c r="C1416" s="464" t="s">
        <v>157</v>
      </c>
      <c r="D1416" s="166">
        <f>PubMachineryTables!$AL$74</f>
        <v>20.814326923076923</v>
      </c>
      <c r="E1416" s="166">
        <f>TillageOperations!$K$34*$C$1321</f>
        <v>0</v>
      </c>
      <c r="F1416" s="166">
        <f t="shared" si="110"/>
        <v>0</v>
      </c>
      <c r="G1416" s="163" t="e">
        <f t="shared" si="108"/>
        <v>#DIV/0!</v>
      </c>
    </row>
    <row r="1417" spans="2:7">
      <c r="B1417" t="str">
        <f>TillageOperations!$B$35&amp;" (Repairs, maint., fuel &amp; lube)"</f>
        <v>Baler (Repairs, maint., fuel &amp; lube)</v>
      </c>
      <c r="C1417" s="464" t="s">
        <v>157</v>
      </c>
      <c r="D1417" s="166">
        <f>PubMachineryTables!$AN$75+PubMachineryTables!$AM$75</f>
        <v>24.326923076923073</v>
      </c>
      <c r="E1417" s="166">
        <f>TillageOperations!$K$35*$C$1321</f>
        <v>0</v>
      </c>
      <c r="F1417" s="166">
        <f t="shared" ref="F1417:F1419" si="111">D1417*E1417</f>
        <v>0</v>
      </c>
      <c r="G1417" s="163" t="e">
        <f t="shared" si="108"/>
        <v>#DIV/0!</v>
      </c>
    </row>
    <row r="1418" spans="2:7">
      <c r="B1418" t="str">
        <f>TillageOperations!$B$35&amp;" (Labor)"</f>
        <v>Baler (Labor)</v>
      </c>
      <c r="C1418" s="464" t="s">
        <v>157</v>
      </c>
      <c r="D1418" s="166">
        <f>PubMachineryTables!$AL$75</f>
        <v>20.814326923076923</v>
      </c>
      <c r="E1418" s="166">
        <f>TillageOperations!$K$35*$C$1321</f>
        <v>0</v>
      </c>
      <c r="F1418" s="166">
        <f t="shared" si="111"/>
        <v>0</v>
      </c>
      <c r="G1418" s="163" t="e">
        <f t="shared" si="108"/>
        <v>#DIV/0!</v>
      </c>
    </row>
    <row r="1419" spans="2:7">
      <c r="B1419" t="str">
        <f>'Inputs&amp;PricesbyCrop'!$B$31</f>
        <v xml:space="preserve">   - Baling Twine</v>
      </c>
      <c r="C1419" s="137" t="str">
        <f>'Inputs&amp;PricesbyCrop'!$C$31</f>
        <v>acre</v>
      </c>
      <c r="D1419" s="166">
        <f>'Inputs&amp;PricesbyCrop'!$L$31</f>
        <v>0</v>
      </c>
      <c r="E1419" s="166">
        <f>C1321</f>
        <v>0</v>
      </c>
      <c r="F1419" s="166">
        <f t="shared" si="111"/>
        <v>0</v>
      </c>
      <c r="G1419" s="163" t="e">
        <f t="shared" si="108"/>
        <v>#DIV/0!</v>
      </c>
    </row>
    <row r="1420" spans="2:7">
      <c r="B1420" t="str">
        <f>TillageOperations!$B$36&amp;" (Repairs, maint., fuel &amp; lube)"</f>
        <v>Bale Wagon (Repairs, maint., fuel &amp; lube)</v>
      </c>
      <c r="C1420" s="464" t="s">
        <v>157</v>
      </c>
      <c r="D1420" s="166">
        <f>PubMachineryTables!$AN$76+PubMachineryTables!$AM$76</f>
        <v>3.1624999999999996</v>
      </c>
      <c r="E1420" s="166">
        <f>TillageOperations!$K$36*$C$1321</f>
        <v>0</v>
      </c>
      <c r="F1420" s="166">
        <f t="shared" si="109"/>
        <v>0</v>
      </c>
      <c r="G1420" s="163" t="e">
        <f t="shared" si="108"/>
        <v>#DIV/0!</v>
      </c>
    </row>
    <row r="1421" spans="2:7">
      <c r="B1421" t="str">
        <f>TillageOperations!$B$36&amp;" (Labor)"</f>
        <v>Bale Wagon (Labor)</v>
      </c>
      <c r="C1421" s="464" t="s">
        <v>157</v>
      </c>
      <c r="D1421" s="166">
        <f>PubMachineryTables!$AL$76</f>
        <v>3.3823281250000004</v>
      </c>
      <c r="E1421" s="166">
        <f>TillageOperations!$K$36*$C$1321</f>
        <v>0</v>
      </c>
      <c r="F1421" s="166">
        <f t="shared" si="109"/>
        <v>0</v>
      </c>
      <c r="G1421" s="163" t="e">
        <f t="shared" si="108"/>
        <v>#DIV/0!</v>
      </c>
    </row>
    <row r="1422" spans="2:7">
      <c r="B1422" t="str">
        <f>TillageOperations!$B$23&amp;" (Repairs, maint., fuel &amp; lube)"</f>
        <v>Fertilizer Spreader (Repairs, maint., fuel &amp; lube)</v>
      </c>
      <c r="C1422" s="464" t="s">
        <v>157</v>
      </c>
      <c r="D1422" s="166">
        <f>PubMachineryTables!$AM$64+PubMachineryTables!$AN$64</f>
        <v>2.6573732562743069</v>
      </c>
      <c r="E1422" s="166">
        <f>TillageOperations!$K$23*$C$1321</f>
        <v>0</v>
      </c>
      <c r="F1422" s="168">
        <f t="shared" ref="F1422:F1427" si="112">D1422*E1422</f>
        <v>0</v>
      </c>
      <c r="G1422" s="163" t="e">
        <f t="shared" si="108"/>
        <v>#DIV/0!</v>
      </c>
    </row>
    <row r="1423" spans="2:7">
      <c r="B1423" t="str">
        <f>TillageOperations!$B$23&amp;" (Labor)"</f>
        <v>Fertilizer Spreader (Labor)</v>
      </c>
      <c r="C1423" s="464" t="s">
        <v>157</v>
      </c>
      <c r="D1423" s="166">
        <f>PubMachineryTables!$AL$64</f>
        <v>1.879071180555556</v>
      </c>
      <c r="E1423" s="166">
        <f>TillageOperations!$K$23*$C$1321</f>
        <v>0</v>
      </c>
      <c r="F1423" s="168">
        <f t="shared" si="112"/>
        <v>0</v>
      </c>
      <c r="G1423" s="163" t="e">
        <f t="shared" si="108"/>
        <v>#DIV/0!</v>
      </c>
    </row>
    <row r="1424" spans="2:7">
      <c r="B1424" t="str">
        <f>TillageOperations!$B$24&amp;" (Repairs, maint., fuel &amp; lube)"</f>
        <v>Fertilizer Injection System (Repairs, maint., fuel &amp; lube)</v>
      </c>
      <c r="C1424" s="464" t="s">
        <v>157</v>
      </c>
      <c r="D1424" s="166">
        <f>PubMachineryTables!$AM$65+PubMachineryTables!$AN$65</f>
        <v>8.4333333333333336</v>
      </c>
      <c r="E1424" s="166">
        <f>TillageOperations!$K$24*$C$1321</f>
        <v>0</v>
      </c>
      <c r="F1424" s="168">
        <f t="shared" si="112"/>
        <v>0</v>
      </c>
      <c r="G1424" s="163" t="e">
        <f t="shared" si="108"/>
        <v>#DIV/0!</v>
      </c>
    </row>
    <row r="1425" spans="2:7">
      <c r="B1425" t="str">
        <f>TillageOperations!$B$24&amp;" (Labor)"</f>
        <v>Fertilizer Injection System (Labor)</v>
      </c>
      <c r="C1425" s="464" t="s">
        <v>157</v>
      </c>
      <c r="D1425" s="166">
        <f>PubMachineryTables!$AL$65</f>
        <v>4.5097708333333344</v>
      </c>
      <c r="E1425" s="166">
        <f>TillageOperations!$K$24*$C$1321</f>
        <v>0</v>
      </c>
      <c r="F1425" s="168">
        <f t="shared" si="112"/>
        <v>0</v>
      </c>
      <c r="G1425" s="163" t="e">
        <f t="shared" si="108"/>
        <v>#DIV/0!</v>
      </c>
    </row>
    <row r="1426" spans="2:7">
      <c r="B1426" t="str">
        <f>TillageOperations!$B$25&amp;" (Repairs, maint., fuel &amp; lube)"</f>
        <v>Boom Sprayer (Repairs, maint., fuel &amp; lube)</v>
      </c>
      <c r="C1426" s="464" t="s">
        <v>157</v>
      </c>
      <c r="D1426" s="166">
        <f>PubMachineryTables!AN$66+PubMachineryTables!$AM$66</f>
        <v>1.5996307048468115</v>
      </c>
      <c r="E1426" s="166">
        <f>TillageOperations!$K$25*$C$1321</f>
        <v>0</v>
      </c>
      <c r="F1426" s="166">
        <f t="shared" si="112"/>
        <v>0</v>
      </c>
      <c r="G1426" s="163" t="e">
        <f t="shared" si="108"/>
        <v>#DIV/0!</v>
      </c>
    </row>
    <row r="1427" spans="2:7">
      <c r="B1427" t="str">
        <f>TillageOperations!$B$25&amp;" (Labor)"</f>
        <v>Boom Sprayer (Labor)</v>
      </c>
      <c r="C1427" s="464" t="s">
        <v>157</v>
      </c>
      <c r="D1427" s="166">
        <f>PubMachineryTables!$AL$66</f>
        <v>1.1893901098901098</v>
      </c>
      <c r="E1427" s="166">
        <f>TillageOperations!$K$25*$C$1321</f>
        <v>0</v>
      </c>
      <c r="F1427" s="166">
        <f t="shared" si="112"/>
        <v>0</v>
      </c>
      <c r="G1427" s="163" t="e">
        <f t="shared" si="108"/>
        <v>#DIV/0!</v>
      </c>
    </row>
    <row r="1428" spans="2:7">
      <c r="B1428" t="str">
        <f>TillageOperations!$B$22&amp;" (Repairs, maint., fuel &amp; lube)"</f>
        <v>Transplanter (Repairs, maint., fuel &amp; lube)</v>
      </c>
      <c r="C1428" s="464" t="s">
        <v>157</v>
      </c>
      <c r="D1428" s="166">
        <f>PubMachineryTables!AN$63+PubMachineryTables!$AM$63</f>
        <v>61.668749999999996</v>
      </c>
      <c r="E1428" s="166">
        <f>TillageOperations!$K$22*$C$1321</f>
        <v>0</v>
      </c>
      <c r="F1428" s="166">
        <f>D1428*E1428</f>
        <v>0</v>
      </c>
      <c r="G1428" s="163" t="e">
        <f t="shared" si="108"/>
        <v>#DIV/0!</v>
      </c>
    </row>
    <row r="1429" spans="2:7">
      <c r="B1429" t="str">
        <f>TillageOperations!$B$22&amp;" (Labor)"</f>
        <v>Transplanter (Labor)</v>
      </c>
      <c r="C1429" s="464" t="s">
        <v>157</v>
      </c>
      <c r="D1429" s="166">
        <f>PubMachineryTables!$AL$63</f>
        <v>20.293968750000001</v>
      </c>
      <c r="E1429" s="166">
        <f>TillageOperations!$K$22*$C$1321</f>
        <v>0</v>
      </c>
      <c r="F1429" s="166">
        <f t="shared" ref="F1429:F1435" si="113">D1429*E1429</f>
        <v>0</v>
      </c>
      <c r="G1429" s="163" t="e">
        <f t="shared" si="108"/>
        <v>#DIV/0!</v>
      </c>
    </row>
    <row r="1430" spans="2:7">
      <c r="B1430" t="str">
        <f>'Inputs&amp;PricesbyCrop'!$B$14</f>
        <v>Additional Land Prep. Labor</v>
      </c>
      <c r="C1430" s="137" t="str">
        <f>'Inputs&amp;PricesbyCrop'!$C$14</f>
        <v>hour</v>
      </c>
      <c r="D1430" s="166">
        <f>GeneralInputPrices!$D$30</f>
        <v>14.55</v>
      </c>
      <c r="E1430" s="166">
        <f>'Inputs&amp;PricesbyCrop'!$L$14*BASEBUDGETS!$C1321</f>
        <v>0</v>
      </c>
      <c r="F1430" s="166">
        <f t="shared" si="113"/>
        <v>0</v>
      </c>
      <c r="G1430" s="163" t="e">
        <f t="shared" si="108"/>
        <v>#DIV/0!</v>
      </c>
    </row>
    <row r="1431" spans="2:7">
      <c r="B1431" t="str">
        <f>'Inputs&amp;PricesbyCrop'!$B$15</f>
        <v>Additional Land Prep. Labor</v>
      </c>
      <c r="C1431" s="137" t="str">
        <f>'Inputs&amp;PricesbyCrop'!$C$15</f>
        <v>hour</v>
      </c>
      <c r="D1431" s="166">
        <f>GeneralInputPrices!$D$30</f>
        <v>14.55</v>
      </c>
      <c r="E1431" s="166">
        <f>'Inputs&amp;PricesbyCrop'!$L$15*BASEBUDGETS!$C1321</f>
        <v>0</v>
      </c>
      <c r="F1431" s="166">
        <f t="shared" si="113"/>
        <v>0</v>
      </c>
      <c r="G1431" s="163" t="e">
        <f t="shared" si="108"/>
        <v>#DIV/0!</v>
      </c>
    </row>
    <row r="1432" spans="2:7">
      <c r="B1432" t="str">
        <f>'Inputs&amp;PricesbyCrop'!$B$17</f>
        <v>Additional Crop Prod. Labor</v>
      </c>
      <c r="C1432" s="137" t="str">
        <f>'Inputs&amp;PricesbyCrop'!$C$17</f>
        <v>hour</v>
      </c>
      <c r="D1432" s="166">
        <f>GeneralInputPrices!$D$31</f>
        <v>14.55</v>
      </c>
      <c r="E1432" s="166">
        <f>'Inputs&amp;PricesbyCrop'!$L$17*BASEBUDGETS!$C1321</f>
        <v>0</v>
      </c>
      <c r="F1432" s="166">
        <f t="shared" si="113"/>
        <v>0</v>
      </c>
      <c r="G1432" s="163" t="e">
        <f t="shared" si="108"/>
        <v>#DIV/0!</v>
      </c>
    </row>
    <row r="1433" spans="2:7">
      <c r="B1433" t="str">
        <f>'Inputs&amp;PricesbyCrop'!$B$18</f>
        <v>Additional Crop Prod. Labor</v>
      </c>
      <c r="C1433" s="137" t="str">
        <f>'Inputs&amp;PricesbyCrop'!$C$18</f>
        <v>hour</v>
      </c>
      <c r="D1433" s="166">
        <f>GeneralInputPrices!$D$31</f>
        <v>14.55</v>
      </c>
      <c r="E1433" s="166">
        <f>'Inputs&amp;PricesbyCrop'!$L$18*BASEBUDGETS!$C1321</f>
        <v>0</v>
      </c>
      <c r="F1433" s="166">
        <f t="shared" si="113"/>
        <v>0</v>
      </c>
      <c r="G1433" s="163" t="e">
        <f t="shared" si="108"/>
        <v>#DIV/0!</v>
      </c>
    </row>
    <row r="1434" spans="2:7">
      <c r="B1434" t="str">
        <f>'Inputs&amp;PricesbyCrop'!$B$20</f>
        <v>Additional Harvest Labor</v>
      </c>
      <c r="C1434" s="137" t="str">
        <f>'Inputs&amp;PricesbyCrop'!$C$20</f>
        <v>hour</v>
      </c>
      <c r="D1434" s="166">
        <f>GeneralInputPrices!$D$32</f>
        <v>17.89</v>
      </c>
      <c r="E1434" s="166">
        <f>'Inputs&amp;PricesbyCrop'!$L$20*BASEBUDGETS!$C1321</f>
        <v>0</v>
      </c>
      <c r="F1434" s="166">
        <f t="shared" si="113"/>
        <v>0</v>
      </c>
      <c r="G1434" s="163" t="e">
        <f t="shared" si="108"/>
        <v>#DIV/0!</v>
      </c>
    </row>
    <row r="1435" spans="2:7">
      <c r="B1435" t="str">
        <f>'Inputs&amp;PricesbyCrop'!$B$21</f>
        <v>Additional Harvest Labor</v>
      </c>
      <c r="C1435" s="137" t="str">
        <f>'Inputs&amp;PricesbyCrop'!$C$21</f>
        <v>hour</v>
      </c>
      <c r="D1435" s="166">
        <f>GeneralInputPrices!$D$32</f>
        <v>17.89</v>
      </c>
      <c r="E1435" s="166">
        <f>'Inputs&amp;PricesbyCrop'!$L$21*BASEBUDGETS!$C1321</f>
        <v>0</v>
      </c>
      <c r="F1435" s="166">
        <f t="shared" si="113"/>
        <v>0</v>
      </c>
      <c r="G1435" s="163" t="e">
        <f t="shared" si="108"/>
        <v>#DIV/0!</v>
      </c>
    </row>
    <row r="1436" spans="2:7">
      <c r="B1436" t="s">
        <v>542</v>
      </c>
      <c r="C1436" s="137" t="s">
        <v>157</v>
      </c>
      <c r="D1436" s="166">
        <f>SUM(Cotton!J84:J89)</f>
        <v>0</v>
      </c>
      <c r="E1436" s="166">
        <f>$C$1321</f>
        <v>0</v>
      </c>
      <c r="F1436" s="166">
        <f t="shared" ref="F1436" si="114">D1436*E1436</f>
        <v>0</v>
      </c>
      <c r="G1436" s="163" t="e">
        <f t="shared" ref="G1436" si="115">F1436/C$1321</f>
        <v>#DIV/0!</v>
      </c>
    </row>
    <row r="1437" spans="2:7">
      <c r="B1437" t="s">
        <v>59</v>
      </c>
      <c r="C1437" s="137" t="str">
        <f>GeneralInputPrices!$C$34</f>
        <v>percent</v>
      </c>
      <c r="D1437" s="138">
        <f>GeneralInputPrices!$D$34</f>
        <v>0.05</v>
      </c>
      <c r="E1437" s="75" t="s">
        <v>10</v>
      </c>
      <c r="F1437" s="37">
        <f>SUM(F1330:F1436)*D1437</f>
        <v>0</v>
      </c>
      <c r="G1437" s="163" t="e">
        <f t="shared" si="108"/>
        <v>#DIV/0!</v>
      </c>
    </row>
    <row r="1438" spans="2:7">
      <c r="B1438" t="s">
        <v>60</v>
      </c>
      <c r="C1438" s="137" t="str">
        <f>GeneralInputPrices!$C$34</f>
        <v>percent</v>
      </c>
      <c r="D1438" s="138">
        <f>GeneralInputPrices!$D$35</f>
        <v>0.06</v>
      </c>
      <c r="F1438" s="139">
        <f>SUM(F1330:F1437)*((D1438/12)*GeneralInputPrices!$D$39)</f>
        <v>0</v>
      </c>
      <c r="G1438" s="163" t="e">
        <f t="shared" si="108"/>
        <v>#DIV/0!</v>
      </c>
    </row>
    <row r="1439" spans="2:7">
      <c r="B1439" t="s">
        <v>61</v>
      </c>
      <c r="D1439" s="454"/>
      <c r="F1439" s="37">
        <f>SUM(F1330:F1438)</f>
        <v>0</v>
      </c>
      <c r="G1439" s="163" t="e">
        <f t="shared" si="108"/>
        <v>#DIV/0!</v>
      </c>
    </row>
    <row r="1440" spans="2:7">
      <c r="D1440" s="454"/>
      <c r="G1440" s="163" t="e">
        <f t="shared" si="108"/>
        <v>#DIV/0!</v>
      </c>
    </row>
    <row r="1441" spans="2:7">
      <c r="B1441" s="140" t="s">
        <v>129</v>
      </c>
      <c r="C1441" s="458" t="s">
        <v>1</v>
      </c>
      <c r="D1441" s="459" t="s">
        <v>24</v>
      </c>
      <c r="E1441" s="460" t="s">
        <v>25</v>
      </c>
      <c r="F1441" s="460" t="s">
        <v>0</v>
      </c>
      <c r="G1441" s="322" t="s">
        <v>10</v>
      </c>
    </row>
    <row r="1442" spans="2:7">
      <c r="B1442" t="str">
        <f>GeneralInputPrices!$B$15&amp;" - Upfront Costs for New System"</f>
        <v>Flood - Upfront Costs for New System</v>
      </c>
      <c r="C1442" s="453" t="str">
        <f>GeneralInputPrices!$C$16</f>
        <v>acre</v>
      </c>
      <c r="D1442" s="166">
        <f>IF('BreakevenInputs&amp;Resources'!T$16=0,0,(('BreakevenInputs&amp;Resources'!T$16/GeneralInputPrices!$D$17)*('AcresYieldsPrices&amp;Water'!$Q$16/'AcresYieldsPrices&amp;Water'!$Q$31))/C1321)</f>
        <v>0</v>
      </c>
      <c r="E1442" s="166">
        <f>$C$1321</f>
        <v>0</v>
      </c>
      <c r="F1442" s="166">
        <f>D1442*E1442</f>
        <v>0</v>
      </c>
      <c r="G1442" s="163" t="e">
        <f t="shared" si="108"/>
        <v>#DIV/0!</v>
      </c>
    </row>
    <row r="1443" spans="2:7">
      <c r="B1443" t="str">
        <f>GeneralInputPrices!$B$19&amp;" - Upfront Costs for New System"</f>
        <v>Drip-tape - Upfront Costs for New System</v>
      </c>
      <c r="C1443" s="453" t="str">
        <f>GeneralInputPrices!$C$20</f>
        <v>acre</v>
      </c>
      <c r="D1443" s="166">
        <f>IF('BreakevenInputs&amp;Resources'!T$17=0,0,(('BreakevenInputs&amp;Resources'!T$17/GeneralInputPrices!$D$21)*('AcresYieldsPrices&amp;Water'!$Q$16/'AcresYieldsPrices&amp;Water'!$Q$31))/$C$1321)</f>
        <v>0</v>
      </c>
      <c r="E1443" s="166">
        <f>$C$1321</f>
        <v>0</v>
      </c>
      <c r="F1443" s="166">
        <f>D1443*E1443</f>
        <v>0</v>
      </c>
      <c r="G1443" s="163" t="e">
        <f t="shared" si="108"/>
        <v>#DIV/0!</v>
      </c>
    </row>
    <row r="1444" spans="2:7">
      <c r="B1444" t="str">
        <f>GeneralInputPrices!$B$23&amp;" - Upfront Costs for New System"</f>
        <v>Sprinkler - Upfront Costs for New System</v>
      </c>
      <c r="C1444" s="453" t="str">
        <f>GeneralInputPrices!$C$24</f>
        <v>acre</v>
      </c>
      <c r="D1444" s="166">
        <f>IF('BreakevenInputs&amp;Resources'!T$18=0,0,('BreakevenInputs&amp;Resources'!T$18/GeneralInputPrices!$D$25)*('AcresYieldsPrices&amp;Water'!$Q$16/'AcresYieldsPrices&amp;Water'!$Q$31)/$C$1321)</f>
        <v>0</v>
      </c>
      <c r="E1444" s="166">
        <f>$C$1321</f>
        <v>0</v>
      </c>
      <c r="F1444" s="166">
        <f>D1444*E1444</f>
        <v>0</v>
      </c>
      <c r="G1444" s="163" t="e">
        <f t="shared" si="108"/>
        <v>#DIV/0!</v>
      </c>
    </row>
    <row r="1445" spans="2:7">
      <c r="B1445" s="463" t="str">
        <f>TillageOperations!$B$7</f>
        <v>V-Ripper</v>
      </c>
      <c r="C1445" s="464" t="s">
        <v>157</v>
      </c>
      <c r="D1445" s="166">
        <f>PubMachineryTables!$AO$49</f>
        <v>209.18701372031111</v>
      </c>
      <c r="E1445" s="166">
        <f>E1373</f>
        <v>0</v>
      </c>
      <c r="F1445" s="168">
        <f t="shared" ref="F1445:F1456" si="116">D1445*E1445</f>
        <v>0</v>
      </c>
      <c r="G1445" s="163" t="e">
        <f t="shared" si="108"/>
        <v>#DIV/0!</v>
      </c>
    </row>
    <row r="1446" spans="2:7">
      <c r="B1446" s="463" t="str">
        <f>TillageOperations!$B$8</f>
        <v>Offset Disk</v>
      </c>
      <c r="C1446" s="464" t="s">
        <v>157</v>
      </c>
      <c r="D1446" s="166">
        <f>PubMachineryTables!$AO$50</f>
        <v>42.467441655558019</v>
      </c>
      <c r="E1446" s="166">
        <f>E1375</f>
        <v>0</v>
      </c>
      <c r="F1446" s="166">
        <f t="shared" si="116"/>
        <v>0</v>
      </c>
      <c r="G1446" s="163" t="e">
        <f t="shared" si="108"/>
        <v>#DIV/0!</v>
      </c>
    </row>
    <row r="1447" spans="2:7">
      <c r="B1447" s="463" t="str">
        <f>TillageOperations!$B$9</f>
        <v>Drag</v>
      </c>
      <c r="C1447" s="464" t="s">
        <v>157</v>
      </c>
      <c r="D1447" s="166">
        <f>PubMachineryTables!$AO$51</f>
        <v>0</v>
      </c>
      <c r="E1447" s="166">
        <f>E1377</f>
        <v>0</v>
      </c>
      <c r="F1447" s="166">
        <f t="shared" si="116"/>
        <v>0</v>
      </c>
      <c r="G1447" s="163" t="e">
        <f t="shared" si="108"/>
        <v>#DIV/0!</v>
      </c>
    </row>
    <row r="1448" spans="2:7">
      <c r="B1448" s="463" t="str">
        <f>TillageOperations!$B$10</f>
        <v>Chisel</v>
      </c>
      <c r="C1448" s="464" t="s">
        <v>157</v>
      </c>
      <c r="D1448" s="166">
        <f>PubMachineryTables!$AO$52</f>
        <v>40.724752902248241</v>
      </c>
      <c r="E1448" s="166">
        <f>E1379</f>
        <v>0</v>
      </c>
      <c r="F1448" s="166">
        <f t="shared" si="116"/>
        <v>0</v>
      </c>
      <c r="G1448" s="163" t="e">
        <f t="shared" si="108"/>
        <v>#DIV/0!</v>
      </c>
    </row>
    <row r="1449" spans="2:7">
      <c r="B1449" s="463" t="str">
        <f>TillageOperations!$B$11</f>
        <v>Moldboard Plow</v>
      </c>
      <c r="C1449" s="464" t="s">
        <v>157</v>
      </c>
      <c r="D1449" s="166">
        <f>PubMachineryTables!$AO$53</f>
        <v>0</v>
      </c>
      <c r="E1449" s="166">
        <f>E1381</f>
        <v>0</v>
      </c>
      <c r="F1449" s="166">
        <f t="shared" si="116"/>
        <v>0</v>
      </c>
      <c r="G1449" s="163" t="e">
        <f t="shared" si="108"/>
        <v>#DIV/0!</v>
      </c>
    </row>
    <row r="1450" spans="2:7">
      <c r="B1450" s="463" t="str">
        <f>TillageOperations!$B$12</f>
        <v>Cultivator</v>
      </c>
      <c r="C1450" s="464" t="s">
        <v>157</v>
      </c>
      <c r="D1450" s="166">
        <f>PubMachineryTables!$AO$54</f>
        <v>0</v>
      </c>
      <c r="E1450" s="166">
        <f>E1383</f>
        <v>0</v>
      </c>
      <c r="F1450" s="166">
        <f t="shared" si="116"/>
        <v>0</v>
      </c>
      <c r="G1450" s="163" t="e">
        <f t="shared" si="108"/>
        <v>#DIV/0!</v>
      </c>
    </row>
    <row r="1451" spans="2:7">
      <c r="B1451" s="463" t="str">
        <f>TillageOperations!$B$13</f>
        <v>Landplane</v>
      </c>
      <c r="C1451" s="464" t="s">
        <v>157</v>
      </c>
      <c r="D1451" s="166">
        <f>PubMachineryTables!$AO$55</f>
        <v>107.77752986339607</v>
      </c>
      <c r="E1451" s="166">
        <f>E1385</f>
        <v>0</v>
      </c>
      <c r="F1451" s="166">
        <f t="shared" si="116"/>
        <v>0</v>
      </c>
      <c r="G1451" s="163" t="e">
        <f t="shared" si="108"/>
        <v>#DIV/0!</v>
      </c>
    </row>
    <row r="1452" spans="2:7">
      <c r="B1452" s="463" t="str">
        <f>TillageOperations!$B$14</f>
        <v>Float</v>
      </c>
      <c r="C1452" s="464" t="s">
        <v>157</v>
      </c>
      <c r="D1452" s="166">
        <f>PubMachineryTables!$AO$56</f>
        <v>0</v>
      </c>
      <c r="E1452" s="166">
        <f>E1387</f>
        <v>0</v>
      </c>
      <c r="F1452" s="166">
        <f t="shared" si="116"/>
        <v>0</v>
      </c>
      <c r="G1452" s="163" t="e">
        <f t="shared" si="108"/>
        <v>#DIV/0!</v>
      </c>
    </row>
    <row r="1453" spans="2:7">
      <c r="B1453" s="463" t="str">
        <f>TillageOperations!$B$15</f>
        <v>Lister</v>
      </c>
      <c r="C1453" s="464" t="s">
        <v>157</v>
      </c>
      <c r="D1453" s="166">
        <f>PubMachineryTables!$AO$57</f>
        <v>72.676050764764099</v>
      </c>
      <c r="E1453" s="166">
        <f>E1389</f>
        <v>0</v>
      </c>
      <c r="F1453" s="166">
        <f t="shared" si="116"/>
        <v>0</v>
      </c>
      <c r="G1453" s="163" t="e">
        <f t="shared" si="108"/>
        <v>#DIV/0!</v>
      </c>
    </row>
    <row r="1454" spans="2:7">
      <c r="B1454" s="463" t="str">
        <f>TillageOperations!$B$16</f>
        <v>Bed Shaper</v>
      </c>
      <c r="C1454" s="464" t="s">
        <v>157</v>
      </c>
      <c r="D1454" s="166">
        <f>PubMachineryTables!$AO$58</f>
        <v>50.420091551988918</v>
      </c>
      <c r="E1454" s="166">
        <f>E1391</f>
        <v>0</v>
      </c>
      <c r="F1454" s="166">
        <f t="shared" si="116"/>
        <v>0</v>
      </c>
      <c r="G1454" s="163" t="e">
        <f t="shared" si="108"/>
        <v>#DIV/0!</v>
      </c>
    </row>
    <row r="1455" spans="2:7">
      <c r="B1455" s="463" t="str">
        <f>TillageOperations!$B$19</f>
        <v>Row Planter</v>
      </c>
      <c r="C1455" s="464" t="s">
        <v>157</v>
      </c>
      <c r="D1455" s="166">
        <f>PubMachineryTables!$AO$60</f>
        <v>218.60367298033367</v>
      </c>
      <c r="E1455" s="166">
        <f>E1393</f>
        <v>0</v>
      </c>
      <c r="F1455" s="166">
        <f t="shared" si="116"/>
        <v>0</v>
      </c>
      <c r="G1455" s="163" t="e">
        <f t="shared" si="108"/>
        <v>#DIV/0!</v>
      </c>
    </row>
    <row r="1456" spans="2:7">
      <c r="B1456" s="463" t="str">
        <f>TillageOperations!$B$20</f>
        <v>Row Cultivator</v>
      </c>
      <c r="C1456" s="464" t="s">
        <v>157</v>
      </c>
      <c r="D1456" s="166">
        <f>PubMachineryTables!$AO$61</f>
        <v>74.064902712939798</v>
      </c>
      <c r="E1456" s="166">
        <f>E1395</f>
        <v>0</v>
      </c>
      <c r="F1456" s="166">
        <f t="shared" si="116"/>
        <v>0</v>
      </c>
      <c r="G1456" s="163" t="e">
        <f t="shared" si="108"/>
        <v>#DIV/0!</v>
      </c>
    </row>
    <row r="1457" spans="2:8">
      <c r="B1457" s="465" t="str">
        <f>TillageOperations!$B$21</f>
        <v>Drill</v>
      </c>
      <c r="C1457" s="464" t="s">
        <v>157</v>
      </c>
      <c r="D1457" s="166">
        <f>PubMachineryTables!$AO$62</f>
        <v>51.837941761576523</v>
      </c>
      <c r="E1457" s="166">
        <f>E1397</f>
        <v>0</v>
      </c>
      <c r="F1457" s="166">
        <f t="shared" ref="F1457:F1461" si="117">D1457*E1457</f>
        <v>0</v>
      </c>
      <c r="G1457" s="163" t="e">
        <f t="shared" si="108"/>
        <v>#DIV/0!</v>
      </c>
    </row>
    <row r="1458" spans="2:8">
      <c r="B1458" s="463" t="str">
        <f>TillageOperations!$B$27</f>
        <v>Cotton Picker</v>
      </c>
      <c r="C1458" s="464" t="s">
        <v>157</v>
      </c>
      <c r="D1458" s="166">
        <f>PubMachineryTables!$AO$67</f>
        <v>0</v>
      </c>
      <c r="E1458" s="166">
        <f>E1399</f>
        <v>0</v>
      </c>
      <c r="F1458" s="166">
        <f t="shared" si="117"/>
        <v>0</v>
      </c>
      <c r="G1458" s="163" t="e">
        <f t="shared" si="108"/>
        <v>#DIV/0!</v>
      </c>
    </row>
    <row r="1459" spans="2:8">
      <c r="B1459" s="463" t="str">
        <f>TillageOperations!$B$28</f>
        <v>Module Unit</v>
      </c>
      <c r="C1459" s="464" t="s">
        <v>157</v>
      </c>
      <c r="D1459" s="166">
        <f>PubMachineryTables!$AO$68</f>
        <v>0</v>
      </c>
      <c r="E1459" s="166">
        <f>E1401</f>
        <v>0</v>
      </c>
      <c r="F1459" s="166">
        <f t="shared" si="117"/>
        <v>0</v>
      </c>
      <c r="G1459" s="163" t="e">
        <f t="shared" si="108"/>
        <v>#DIV/0!</v>
      </c>
    </row>
    <row r="1460" spans="2:8">
      <c r="B1460" s="463" t="str">
        <f>TillageOperations!$B$29</f>
        <v>Haul Cotton</v>
      </c>
      <c r="C1460" s="464" t="s">
        <v>157</v>
      </c>
      <c r="D1460" s="166">
        <f>PubMachineryTables!$AO$69</f>
        <v>0</v>
      </c>
      <c r="E1460" s="166">
        <f>E1403</f>
        <v>0</v>
      </c>
      <c r="F1460" s="166">
        <f t="shared" si="117"/>
        <v>0</v>
      </c>
      <c r="G1460" s="163" t="e">
        <f t="shared" ref="G1460:G1482" si="118">F1460/C$1321</f>
        <v>#DIV/0!</v>
      </c>
    </row>
    <row r="1461" spans="2:8">
      <c r="B1461" s="465" t="str">
        <f>TillageOperations!$B$17</f>
        <v>Cotton Shredder/Root Puller</v>
      </c>
      <c r="C1461" s="464" t="s">
        <v>157</v>
      </c>
      <c r="D1461" s="166">
        <f>PubMachineryTables!$AO$59</f>
        <v>0</v>
      </c>
      <c r="E1461" s="166">
        <f>E1405</f>
        <v>0</v>
      </c>
      <c r="F1461" s="166">
        <f t="shared" si="117"/>
        <v>0</v>
      </c>
      <c r="G1461" s="163" t="e">
        <f t="shared" si="118"/>
        <v>#DIV/0!</v>
      </c>
    </row>
    <row r="1462" spans="2:8">
      <c r="B1462" s="102" t="str">
        <f>TillageOperations!$B$30</f>
        <v>Combine</v>
      </c>
      <c r="C1462" s="464" t="s">
        <v>157</v>
      </c>
      <c r="D1462" s="166">
        <f>PubMachineryTables!$AO$70</f>
        <v>154.43457969840463</v>
      </c>
      <c r="E1462" s="166">
        <f>E1407</f>
        <v>0</v>
      </c>
      <c r="F1462" s="166">
        <f>D1462*E1462</f>
        <v>0</v>
      </c>
      <c r="G1462" s="163" t="e">
        <f t="shared" si="118"/>
        <v>#DIV/0!</v>
      </c>
    </row>
    <row r="1463" spans="2:8">
      <c r="B1463" s="102" t="str">
        <f>TillageOperations!$B$31</f>
        <v>Grain Cart</v>
      </c>
      <c r="C1463" s="464" t="s">
        <v>157</v>
      </c>
      <c r="D1463" s="166">
        <f>PubMachineryTables!$AO$71</f>
        <v>25.28843211678571</v>
      </c>
      <c r="E1463" s="166">
        <f>E1409</f>
        <v>0</v>
      </c>
      <c r="F1463" s="166">
        <f>D1463*E1463</f>
        <v>0</v>
      </c>
      <c r="G1463" s="163" t="e">
        <f t="shared" si="118"/>
        <v>#DIV/0!</v>
      </c>
    </row>
    <row r="1464" spans="2:8">
      <c r="B1464" s="102" t="str">
        <f>TillageOperations!$B$32</f>
        <v>Swather</v>
      </c>
      <c r="C1464" s="464" t="s">
        <v>157</v>
      </c>
      <c r="D1464" s="166">
        <f>PubMachineryTables!$AO$72</f>
        <v>0</v>
      </c>
      <c r="E1464" s="166">
        <f>E1411</f>
        <v>0</v>
      </c>
      <c r="F1464" s="166">
        <f t="shared" ref="F1464:F1472" si="119">D1464*E1464</f>
        <v>0</v>
      </c>
      <c r="G1464" s="163" t="e">
        <f t="shared" si="118"/>
        <v>#DIV/0!</v>
      </c>
    </row>
    <row r="1465" spans="2:8">
      <c r="B1465" s="102" t="str">
        <f>TillageOperations!$B$33</f>
        <v>Baler</v>
      </c>
      <c r="C1465" s="464" t="s">
        <v>157</v>
      </c>
      <c r="D1465" s="166">
        <f>PubMachineryTables!$AO$73</f>
        <v>0</v>
      </c>
      <c r="E1465" s="166">
        <f>E1413</f>
        <v>0</v>
      </c>
      <c r="F1465" s="166">
        <f t="shared" si="119"/>
        <v>0</v>
      </c>
      <c r="G1465" s="163" t="e">
        <f t="shared" si="118"/>
        <v>#DIV/0!</v>
      </c>
    </row>
    <row r="1466" spans="2:8">
      <c r="B1466" s="102" t="str">
        <f>TillageOperations!$B$34</f>
        <v>Swather</v>
      </c>
      <c r="C1466" s="464" t="s">
        <v>157</v>
      </c>
      <c r="D1466" s="166">
        <f>PubMachineryTables!$AO$74</f>
        <v>0</v>
      </c>
      <c r="E1466" s="166">
        <f>E1415</f>
        <v>0</v>
      </c>
      <c r="F1466" s="166">
        <f t="shared" si="119"/>
        <v>0</v>
      </c>
      <c r="G1466" s="163" t="e">
        <f t="shared" si="118"/>
        <v>#DIV/0!</v>
      </c>
    </row>
    <row r="1467" spans="2:8">
      <c r="B1467" s="102" t="str">
        <f>TillageOperations!$B$35</f>
        <v>Baler</v>
      </c>
      <c r="C1467" s="464" t="s">
        <v>157</v>
      </c>
      <c r="D1467" s="166">
        <f>PubMachineryTables!$AO$75</f>
        <v>0</v>
      </c>
      <c r="E1467" s="166">
        <f>E1417</f>
        <v>0</v>
      </c>
      <c r="F1467" s="166">
        <f t="shared" si="119"/>
        <v>0</v>
      </c>
      <c r="G1467" s="163" t="e">
        <f t="shared" si="118"/>
        <v>#DIV/0!</v>
      </c>
    </row>
    <row r="1468" spans="2:8">
      <c r="B1468" s="102" t="str">
        <f>TillageOperations!$B$36</f>
        <v>Bale Wagon</v>
      </c>
      <c r="C1468" s="464" t="s">
        <v>157</v>
      </c>
      <c r="D1468" s="166">
        <f>PubMachineryTables!$AO$76</f>
        <v>0</v>
      </c>
      <c r="E1468" s="166">
        <f>E1420</f>
        <v>0</v>
      </c>
      <c r="F1468" s="166">
        <f t="shared" si="119"/>
        <v>0</v>
      </c>
      <c r="G1468" s="163" t="e">
        <f t="shared" si="118"/>
        <v>#DIV/0!</v>
      </c>
    </row>
    <row r="1469" spans="2:8">
      <c r="B1469" s="102" t="str">
        <f>TillageOperations!$B$23</f>
        <v>Fertilizer Spreader</v>
      </c>
      <c r="C1469" s="464" t="s">
        <v>157</v>
      </c>
      <c r="D1469" s="166">
        <f>PubMachineryTables!$AO$64</f>
        <v>93.913865291400512</v>
      </c>
      <c r="E1469" s="166">
        <f>E1422</f>
        <v>0</v>
      </c>
      <c r="F1469" s="166">
        <f t="shared" si="119"/>
        <v>0</v>
      </c>
      <c r="G1469" s="163" t="e">
        <f t="shared" si="118"/>
        <v>#DIV/0!</v>
      </c>
    </row>
    <row r="1470" spans="2:8">
      <c r="B1470" s="102" t="str">
        <f>TillageOperations!$B$24</f>
        <v>Fertilizer Injection System</v>
      </c>
      <c r="C1470" s="464" t="s">
        <v>157</v>
      </c>
      <c r="D1470" s="166">
        <f>PubMachineryTables!$AO$65</f>
        <v>0</v>
      </c>
      <c r="E1470" s="166">
        <f>E1424</f>
        <v>0</v>
      </c>
      <c r="F1470" s="166">
        <f t="shared" si="119"/>
        <v>0</v>
      </c>
      <c r="G1470" s="163" t="e">
        <f t="shared" si="118"/>
        <v>#DIV/0!</v>
      </c>
    </row>
    <row r="1471" spans="2:8">
      <c r="B1471" s="102" t="str">
        <f>TillageOperations!$B$25</f>
        <v>Boom Sprayer</v>
      </c>
      <c r="C1471" s="464" t="s">
        <v>157</v>
      </c>
      <c r="D1471" s="166">
        <f>PubMachineryTables!$AO$66</f>
        <v>9.6826493425933542</v>
      </c>
      <c r="E1471" s="166">
        <f>E1426</f>
        <v>0</v>
      </c>
      <c r="F1471" s="166">
        <f t="shared" si="119"/>
        <v>0</v>
      </c>
      <c r="G1471" s="163" t="e">
        <f t="shared" si="118"/>
        <v>#DIV/0!</v>
      </c>
    </row>
    <row r="1472" spans="2:8">
      <c r="B1472" s="102" t="str">
        <f>TillageOperations!$B$22</f>
        <v>Transplanter</v>
      </c>
      <c r="C1472" s="464" t="s">
        <v>157</v>
      </c>
      <c r="D1472" s="166">
        <f>PubMachineryTables!$AO$63</f>
        <v>0</v>
      </c>
      <c r="E1472" s="166">
        <f>E1428</f>
        <v>0</v>
      </c>
      <c r="F1472" s="166">
        <f t="shared" si="119"/>
        <v>0</v>
      </c>
      <c r="G1472" s="163" t="e">
        <f t="shared" si="118"/>
        <v>#DIV/0!</v>
      </c>
      <c r="H1472" s="163" t="e">
        <f>SUM(G1442:G1472)</f>
        <v>#DIV/0!</v>
      </c>
    </row>
    <row r="1473" spans="2:7">
      <c r="B1473" t="str">
        <f>'Inputs&amp;PricesbyCrop'!$B$39</f>
        <v>Crop Insurance</v>
      </c>
      <c r="C1473" s="464" t="s">
        <v>157</v>
      </c>
      <c r="D1473" s="166">
        <f>'Inputs&amp;PricesbyCrop'!$L$39</f>
        <v>0</v>
      </c>
      <c r="E1473" s="169">
        <f>$C$1321</f>
        <v>0</v>
      </c>
      <c r="F1473" s="166">
        <f>D1473*E1473</f>
        <v>0</v>
      </c>
      <c r="G1473" s="163" t="e">
        <f t="shared" si="118"/>
        <v>#DIV/0!</v>
      </c>
    </row>
    <row r="1474" spans="2:7">
      <c r="B1474" t="str">
        <f>'Inputs&amp;PricesbyCrop'!$B$40</f>
        <v>Property Insurance</v>
      </c>
      <c r="C1474" s="464" t="s">
        <v>157</v>
      </c>
      <c r="D1474" s="166">
        <f>'Inputs&amp;PricesbyCrop'!$L$40</f>
        <v>0</v>
      </c>
      <c r="E1474" s="169">
        <f t="shared" ref="E1474:E1478" si="120">$C$1321</f>
        <v>0</v>
      </c>
      <c r="F1474" s="166">
        <f>D1474*E1474</f>
        <v>0</v>
      </c>
      <c r="G1474" s="163" t="e">
        <f t="shared" si="118"/>
        <v>#DIV/0!</v>
      </c>
    </row>
    <row r="1475" spans="2:7">
      <c r="B1475" t="str">
        <f>'Inputs&amp;PricesbyCrop'!$B$41</f>
        <v>Property Taxes</v>
      </c>
      <c r="C1475" s="464" t="s">
        <v>157</v>
      </c>
      <c r="D1475" s="166">
        <f>'Inputs&amp;PricesbyCrop'!$L$41</f>
        <v>0</v>
      </c>
      <c r="E1475" s="169">
        <f t="shared" si="120"/>
        <v>0</v>
      </c>
      <c r="F1475" s="166">
        <f t="shared" ref="F1475:F1478" si="121">D1475*E1475</f>
        <v>0</v>
      </c>
      <c r="G1475" s="163" t="e">
        <f t="shared" si="118"/>
        <v>#DIV/0!</v>
      </c>
    </row>
    <row r="1476" spans="2:7">
      <c r="B1476" t="str">
        <f>'Inputs&amp;PricesbyCrop'!$B$42</f>
        <v>Annual Cash Rent Payment</v>
      </c>
      <c r="C1476" s="464" t="s">
        <v>157</v>
      </c>
      <c r="D1476" s="166">
        <f>'Inputs&amp;PricesbyCrop'!$L$42</f>
        <v>170</v>
      </c>
      <c r="E1476" s="169">
        <f t="shared" si="120"/>
        <v>0</v>
      </c>
      <c r="F1476" s="166">
        <f t="shared" si="121"/>
        <v>0</v>
      </c>
      <c r="G1476" s="163" t="e">
        <f t="shared" si="118"/>
        <v>#DIV/0!</v>
      </c>
    </row>
    <row r="1477" spans="2:7">
      <c r="B1477" t="s">
        <v>484</v>
      </c>
      <c r="C1477" s="464" t="s">
        <v>157</v>
      </c>
      <c r="D1477" s="166">
        <f>Cotton!I110</f>
        <v>0</v>
      </c>
      <c r="E1477" s="169">
        <f t="shared" si="120"/>
        <v>0</v>
      </c>
      <c r="F1477" s="166">
        <f t="shared" ref="F1477" si="122">D1477*E1477</f>
        <v>0</v>
      </c>
      <c r="G1477" s="163" t="e">
        <f t="shared" si="118"/>
        <v>#DIV/0!</v>
      </c>
    </row>
    <row r="1478" spans="2:7">
      <c r="B1478" t="str">
        <f>'Inputs&amp;PricesbyCrop'!$B$49</f>
        <v>Licenses and Fees</v>
      </c>
      <c r="C1478" s="464" t="s">
        <v>157</v>
      </c>
      <c r="D1478" s="166">
        <f>'Inputs&amp;PricesbyCrop'!$L$49</f>
        <v>0</v>
      </c>
      <c r="E1478" s="169">
        <f t="shared" si="120"/>
        <v>0</v>
      </c>
      <c r="F1478" s="170">
        <f t="shared" si="121"/>
        <v>0</v>
      </c>
      <c r="G1478" s="163" t="e">
        <f t="shared" si="118"/>
        <v>#DIV/0!</v>
      </c>
    </row>
    <row r="1479" spans="2:7">
      <c r="B1479" t="s">
        <v>131</v>
      </c>
      <c r="D1479" s="163"/>
      <c r="E1479" s="163"/>
      <c r="F1479" s="163">
        <f>SUM(F1442:F1478)</f>
        <v>0</v>
      </c>
      <c r="G1479" s="163" t="e">
        <f t="shared" si="118"/>
        <v>#DIV/0!</v>
      </c>
    </row>
    <row r="1480" spans="2:7">
      <c r="D1480" s="163"/>
      <c r="E1480" s="163"/>
      <c r="F1480" s="163"/>
      <c r="G1480" s="163" t="e">
        <f t="shared" si="118"/>
        <v>#DIV/0!</v>
      </c>
    </row>
    <row r="1481" spans="2:7">
      <c r="B1481" t="s">
        <v>63</v>
      </c>
      <c r="D1481" s="163"/>
      <c r="E1481" s="163"/>
      <c r="F1481" s="163">
        <f>F1479+F1439</f>
        <v>0</v>
      </c>
      <c r="G1481" s="163" t="e">
        <f t="shared" si="118"/>
        <v>#DIV/0!</v>
      </c>
    </row>
    <row r="1482" spans="2:7">
      <c r="B1482" t="s">
        <v>64</v>
      </c>
      <c r="D1482" s="163"/>
      <c r="E1482" s="163"/>
      <c r="F1482" s="163">
        <f>F1327-F1481</f>
        <v>0</v>
      </c>
      <c r="G1482" s="163" t="e">
        <f t="shared" si="118"/>
        <v>#DIV/0!</v>
      </c>
    </row>
    <row r="1483" spans="2:7">
      <c r="B1483" s="249" t="s">
        <v>276</v>
      </c>
      <c r="C1483" s="249" t="s">
        <v>4</v>
      </c>
      <c r="D1483" s="250" t="s">
        <v>277</v>
      </c>
      <c r="E1483" s="249" t="s">
        <v>278</v>
      </c>
      <c r="F1483" s="249" t="s">
        <v>279</v>
      </c>
      <c r="G1483" s="249"/>
    </row>
    <row r="1484" spans="2:7">
      <c r="B1484" s="135" t="str">
        <f>B1489</f>
        <v>Corn Silage</v>
      </c>
      <c r="D1484" s="454"/>
    </row>
    <row r="1485" spans="2:7">
      <c r="B1485" t="s">
        <v>16</v>
      </c>
      <c r="C1485" s="457">
        <f>IF('AcresYieldsPrices&amp;Water'!D11=0,0,'AcresYieldsPrices&amp;Water'!D11)</f>
        <v>0</v>
      </c>
      <c r="D1485" s="454" t="s">
        <v>17</v>
      </c>
    </row>
    <row r="1486" spans="2:7">
      <c r="D1486" s="454"/>
    </row>
    <row r="1487" spans="2:7">
      <c r="B1487" t="s">
        <v>22</v>
      </c>
      <c r="D1487" s="454"/>
    </row>
    <row r="1488" spans="2:7">
      <c r="B1488" s="455" t="s">
        <v>23</v>
      </c>
      <c r="C1488" s="458" t="s">
        <v>1</v>
      </c>
      <c r="D1488" s="459" t="s">
        <v>24</v>
      </c>
      <c r="E1488" s="460" t="s">
        <v>25</v>
      </c>
      <c r="F1488" s="460" t="s">
        <v>0</v>
      </c>
      <c r="G1488" s="277"/>
    </row>
    <row r="1489" spans="2:7">
      <c r="B1489" t="str">
        <f>'AcresYieldsPrices&amp;Water'!J13</f>
        <v>Corn Silage</v>
      </c>
      <c r="C1489" s="137" t="str">
        <f>'AcresYieldsPrices&amp;Water'!L13</f>
        <v>ton</v>
      </c>
      <c r="D1489" s="454">
        <f>'AcresYieldsPrices&amp;Water'!$M$13</f>
        <v>60</v>
      </c>
      <c r="E1489" s="462">
        <f>'AcresYieldsPrices&amp;Water'!$N$13*$C$1485</f>
        <v>0</v>
      </c>
      <c r="F1489" s="141">
        <f>D1489*E1489</f>
        <v>0</v>
      </c>
      <c r="G1489" s="141"/>
    </row>
    <row r="1490" spans="2:7">
      <c r="B1490" t="s">
        <v>27</v>
      </c>
      <c r="D1490" s="454"/>
      <c r="F1490" s="37">
        <f>SUM(F1489:F1489)</f>
        <v>0</v>
      </c>
      <c r="G1490" s="163" t="e">
        <f>F1490/C$1485</f>
        <v>#DIV/0!</v>
      </c>
    </row>
    <row r="1491" spans="2:7">
      <c r="G1491" s="163" t="e">
        <f t="shared" ref="G1491:G1554" si="123">F1491/C$1485</f>
        <v>#DIV/0!</v>
      </c>
    </row>
    <row r="1492" spans="2:7">
      <c r="B1492" s="455" t="s">
        <v>62</v>
      </c>
      <c r="C1492" s="458" t="s">
        <v>1</v>
      </c>
      <c r="D1492" s="459" t="s">
        <v>24</v>
      </c>
      <c r="E1492" s="460" t="s">
        <v>25</v>
      </c>
      <c r="F1492" s="460" t="s">
        <v>0</v>
      </c>
      <c r="G1492" s="163" t="e">
        <f t="shared" si="123"/>
        <v>#VALUE!</v>
      </c>
    </row>
    <row r="1493" spans="2:7">
      <c r="B1493" t="str">
        <f>'Inputs&amp;PricesbyCrop'!B$79</f>
        <v xml:space="preserve">   - Seed</v>
      </c>
      <c r="C1493" s="137" t="str">
        <f>'Inputs&amp;PricesbyCrop'!C$54</f>
        <v>acre</v>
      </c>
      <c r="D1493" s="454">
        <f>'Inputs&amp;PricesbyCrop'!$M$5</f>
        <v>50</v>
      </c>
      <c r="E1493" s="462">
        <f>'Inputs&amp;PricesbyCrop'!$M$6*$C$1485</f>
        <v>0</v>
      </c>
      <c r="F1493" s="37">
        <f t="shared" ref="F1493:F1517" si="124">D1493*E1493</f>
        <v>0</v>
      </c>
      <c r="G1493" s="163" t="e">
        <f t="shared" si="123"/>
        <v>#DIV/0!</v>
      </c>
    </row>
    <row r="1494" spans="2:7">
      <c r="B1494" t="str">
        <f>GeneralInputPrices!$B$3</f>
        <v xml:space="preserve">   - Inoculant</v>
      </c>
      <c r="C1494" s="137" t="str">
        <f>GeneralInputPrices!$C$3</f>
        <v>pounds</v>
      </c>
      <c r="D1494" s="166">
        <f>GeneralInputPrices!$D$3</f>
        <v>3</v>
      </c>
      <c r="E1494" s="166">
        <f>'Inputs&amp;PricesbyCrop'!$M$22*$C$1485</f>
        <v>0</v>
      </c>
      <c r="F1494" s="166">
        <f t="shared" si="124"/>
        <v>0</v>
      </c>
      <c r="G1494" s="163" t="e">
        <f t="shared" si="123"/>
        <v>#DIV/0!</v>
      </c>
    </row>
    <row r="1495" spans="2:7">
      <c r="B1495" t="str">
        <f>GeneralInputPrices!B$5</f>
        <v xml:space="preserve">   - Nitrogen</v>
      </c>
      <c r="C1495" s="137" t="str">
        <f>GeneralInputPrices!$C$5</f>
        <v>pounds</v>
      </c>
      <c r="D1495" s="166">
        <f>GeneralInputPrices!$D$5</f>
        <v>0.46</v>
      </c>
      <c r="E1495" s="166">
        <f>'Inputs&amp;PricesbyCrop'!$M$23*$C$1485</f>
        <v>0</v>
      </c>
      <c r="F1495" s="166">
        <f t="shared" si="124"/>
        <v>0</v>
      </c>
      <c r="G1495" s="163" t="e">
        <f t="shared" si="123"/>
        <v>#DIV/0!</v>
      </c>
    </row>
    <row r="1496" spans="2:7">
      <c r="B1496" t="str">
        <f>GeneralInputPrices!B$6</f>
        <v xml:space="preserve">   - Phosphorus</v>
      </c>
      <c r="C1496" s="137" t="str">
        <f>GeneralInputPrices!$C$6</f>
        <v>pounds</v>
      </c>
      <c r="D1496" s="166">
        <f>GeneralInputPrices!$D$6</f>
        <v>0.36</v>
      </c>
      <c r="E1496" s="166">
        <f>'Inputs&amp;PricesbyCrop'!$M$24*$C$1485</f>
        <v>0</v>
      </c>
      <c r="F1496" s="166">
        <f t="shared" si="124"/>
        <v>0</v>
      </c>
      <c r="G1496" s="163" t="e">
        <f t="shared" si="123"/>
        <v>#DIV/0!</v>
      </c>
    </row>
    <row r="1497" spans="2:7">
      <c r="B1497" t="str">
        <f>GeneralInputPrices!B$7</f>
        <v xml:space="preserve">   - Anhydrous Ammonia</v>
      </c>
      <c r="C1497" s="137" t="str">
        <f>GeneralInputPrices!$C$7</f>
        <v>pounds</v>
      </c>
      <c r="D1497" s="166">
        <f>GeneralInputPrices!$D$7</f>
        <v>0.21</v>
      </c>
      <c r="E1497" s="166">
        <f>'Inputs&amp;PricesbyCrop'!$M$25*$C$1485</f>
        <v>0</v>
      </c>
      <c r="F1497" s="166">
        <f t="shared" si="124"/>
        <v>0</v>
      </c>
      <c r="G1497" s="163" t="e">
        <f t="shared" si="123"/>
        <v>#DIV/0!</v>
      </c>
    </row>
    <row r="1498" spans="2:7">
      <c r="B1498" t="str">
        <f>GeneralInputPrices!$B$8</f>
        <v xml:space="preserve">   - Trace Elements</v>
      </c>
      <c r="C1498" s="137" t="str">
        <f>GeneralInputPrices!$C$8</f>
        <v>pounds</v>
      </c>
      <c r="D1498" s="166">
        <f>GeneralInputPrices!$D$8</f>
        <v>0.24</v>
      </c>
      <c r="E1498" s="166">
        <f>'Inputs&amp;PricesbyCrop'!$M$26*$C$1485</f>
        <v>0</v>
      </c>
      <c r="F1498" s="166">
        <f t="shared" si="124"/>
        <v>0</v>
      </c>
      <c r="G1498" s="163" t="e">
        <f t="shared" si="123"/>
        <v>#DIV/0!</v>
      </c>
    </row>
    <row r="1499" spans="2:7">
      <c r="B1499" t="str">
        <f>'Inputs&amp;PricesbyCrop'!$B$32</f>
        <v xml:space="preserve">   - Nitrogen</v>
      </c>
      <c r="C1499" s="137" t="str">
        <f>'Inputs&amp;PricesbyCrop'!$C$32</f>
        <v>acre</v>
      </c>
      <c r="D1499" s="166">
        <f>'Inputs&amp;PricesbyCrop'!$M$32</f>
        <v>312</v>
      </c>
      <c r="E1499" s="166">
        <f>$C$1485</f>
        <v>0</v>
      </c>
      <c r="F1499" s="166">
        <f t="shared" si="124"/>
        <v>0</v>
      </c>
      <c r="G1499" s="163" t="e">
        <f t="shared" si="123"/>
        <v>#DIV/0!</v>
      </c>
    </row>
    <row r="1500" spans="2:7">
      <c r="B1500" t="str">
        <f>'Inputs&amp;PricesbyCrop'!$B$33</f>
        <v xml:space="preserve">   - Phosphorus</v>
      </c>
      <c r="C1500" s="137" t="str">
        <f>'Inputs&amp;PricesbyCrop'!$C$33</f>
        <v>acre</v>
      </c>
      <c r="D1500" s="166">
        <f>'Inputs&amp;PricesbyCrop'!$M$33</f>
        <v>67.5</v>
      </c>
      <c r="E1500" s="166">
        <f>$C$1485</f>
        <v>0</v>
      </c>
      <c r="F1500" s="166">
        <f t="shared" si="124"/>
        <v>0</v>
      </c>
      <c r="G1500" s="163" t="e">
        <f t="shared" si="123"/>
        <v>#DIV/0!</v>
      </c>
    </row>
    <row r="1501" spans="2:7">
      <c r="B1501" t="str">
        <f>'Inputs&amp;PricesbyCrop'!$B$34</f>
        <v xml:space="preserve">   - Fertilizer - Anhydrous Applicator</v>
      </c>
      <c r="C1501" s="137" t="str">
        <f>'Inputs&amp;PricesbyCrop'!$C$34</f>
        <v>acre</v>
      </c>
      <c r="D1501" s="166">
        <f>'Inputs&amp;PricesbyCrop'!$M$34</f>
        <v>0</v>
      </c>
      <c r="E1501" s="166">
        <f>$C$1485</f>
        <v>0</v>
      </c>
      <c r="F1501" s="166">
        <f t="shared" si="124"/>
        <v>0</v>
      </c>
      <c r="G1501" s="163" t="e">
        <f t="shared" si="123"/>
        <v>#DIV/0!</v>
      </c>
    </row>
    <row r="1502" spans="2:7">
      <c r="B1502" t="str">
        <f>GeneralInputPrices!$B$10</f>
        <v xml:space="preserve">   - Prowl</v>
      </c>
      <c r="C1502" s="137" t="str">
        <f>GeneralInputPrices!$C$10</f>
        <v>pints</v>
      </c>
      <c r="D1502" s="166">
        <f>GeneralInputPrices!$D$10</f>
        <v>6.0625</v>
      </c>
      <c r="E1502" s="166">
        <f>'Inputs&amp;PricesbyCrop'!$M$27*$C$1485</f>
        <v>0</v>
      </c>
      <c r="F1502" s="166">
        <f t="shared" si="124"/>
        <v>0</v>
      </c>
      <c r="G1502" s="163" t="e">
        <f t="shared" si="123"/>
        <v>#DIV/0!</v>
      </c>
    </row>
    <row r="1503" spans="2:7">
      <c r="B1503" t="str">
        <f>GeneralInputPrices!$B$11</f>
        <v xml:space="preserve">   - Aim</v>
      </c>
      <c r="C1503" s="137" t="str">
        <f>GeneralInputPrices!$C$11</f>
        <v>ounces</v>
      </c>
      <c r="D1503" s="166">
        <f>GeneralInputPrices!$D$11</f>
        <v>5.9375</v>
      </c>
      <c r="E1503" s="166">
        <f>'Inputs&amp;PricesbyCrop'!$M$28*$C$1485</f>
        <v>0</v>
      </c>
      <c r="F1503" s="166">
        <f t="shared" si="124"/>
        <v>0</v>
      </c>
      <c r="G1503" s="163" t="e">
        <f t="shared" si="123"/>
        <v>#DIV/0!</v>
      </c>
    </row>
    <row r="1504" spans="2:7">
      <c r="B1504" t="str">
        <f>GeneralInputPrices!$B$12</f>
        <v xml:space="preserve">   - Fusilade</v>
      </c>
      <c r="C1504" s="137" t="str">
        <f>GeneralInputPrices!$C$12</f>
        <v>ounces</v>
      </c>
      <c r="D1504" s="166">
        <f>GeneralInputPrices!$D$12</f>
        <v>1.25</v>
      </c>
      <c r="E1504" s="166">
        <f>'Inputs&amp;PricesbyCrop'!$M$29*$C$1485</f>
        <v>0</v>
      </c>
      <c r="F1504" s="166">
        <f t="shared" si="124"/>
        <v>0</v>
      </c>
      <c r="G1504" s="163" t="e">
        <f t="shared" si="123"/>
        <v>#DIV/0!</v>
      </c>
    </row>
    <row r="1505" spans="2:7">
      <c r="B1505" t="str">
        <f>'Inputs&amp;PricesbyCrop'!$B$35</f>
        <v xml:space="preserve">   - Herbicides</v>
      </c>
      <c r="C1505" s="137" t="str">
        <f>'Inputs&amp;PricesbyCrop'!$C$35</f>
        <v>acre</v>
      </c>
      <c r="D1505" s="166">
        <f>'Inputs&amp;PricesbyCrop'!$M$35</f>
        <v>90</v>
      </c>
      <c r="E1505" s="166">
        <f>$C$1485</f>
        <v>0</v>
      </c>
      <c r="F1505" s="166">
        <f t="shared" si="124"/>
        <v>0</v>
      </c>
      <c r="G1505" s="163" t="e">
        <f t="shared" si="123"/>
        <v>#DIV/0!</v>
      </c>
    </row>
    <row r="1506" spans="2:7">
      <c r="B1506" t="str">
        <f>'Inputs&amp;PricesbyCrop'!$B$36</f>
        <v xml:space="preserve">   - Herbicide - #2</v>
      </c>
      <c r="C1506" s="137" t="str">
        <f>'Inputs&amp;PricesbyCrop'!$C$36</f>
        <v>acre</v>
      </c>
      <c r="D1506" s="166">
        <f>'Inputs&amp;PricesbyCrop'!$M$36</f>
        <v>0</v>
      </c>
      <c r="E1506" s="166">
        <f>$C$1485</f>
        <v>0</v>
      </c>
      <c r="F1506" s="166">
        <f t="shared" si="124"/>
        <v>0</v>
      </c>
      <c r="G1506" s="163" t="e">
        <f t="shared" si="123"/>
        <v>#DIV/0!</v>
      </c>
    </row>
    <row r="1507" spans="2:7">
      <c r="B1507" t="str">
        <f>'Inputs&amp;PricesbyCrop'!$B$37</f>
        <v xml:space="preserve">   - Insecticides</v>
      </c>
      <c r="C1507" s="137" t="str">
        <f>'Inputs&amp;PricesbyCrop'!$C$37</f>
        <v>acre</v>
      </c>
      <c r="D1507" s="166">
        <f>'Inputs&amp;PricesbyCrop'!$M$37</f>
        <v>20</v>
      </c>
      <c r="E1507" s="166">
        <f>$C$1485</f>
        <v>0</v>
      </c>
      <c r="F1507" s="166">
        <f t="shared" si="124"/>
        <v>0</v>
      </c>
      <c r="G1507" s="163" t="e">
        <f t="shared" si="123"/>
        <v>#DIV/0!</v>
      </c>
    </row>
    <row r="1508" spans="2:7">
      <c r="B1508" t="str">
        <f>'Inputs&amp;PricesbyCrop'!$B$38</f>
        <v xml:space="preserve">   - Insecticide - #2</v>
      </c>
      <c r="C1508" s="137" t="str">
        <f>'Inputs&amp;PricesbyCrop'!$C$38</f>
        <v>acre</v>
      </c>
      <c r="D1508" s="166">
        <f>'Inputs&amp;PricesbyCrop'!$M$38</f>
        <v>0</v>
      </c>
      <c r="E1508" s="166">
        <f>$C$1485</f>
        <v>0</v>
      </c>
      <c r="F1508" s="166">
        <f t="shared" si="124"/>
        <v>0</v>
      </c>
      <c r="G1508" s="163" t="e">
        <f t="shared" si="123"/>
        <v>#DIV/0!</v>
      </c>
    </row>
    <row r="1509" spans="2:7">
      <c r="B1509" t="str">
        <f>'Inputs&amp;PricesbyCrop'!$B$7</f>
        <v>Flood - Irrigation Water</v>
      </c>
      <c r="C1509" s="137" t="str">
        <f>'Inputs&amp;PricesbyCrop'!$C$7</f>
        <v>ac ft</v>
      </c>
      <c r="D1509" s="166">
        <f>GeneralInputPrices!$D$13</f>
        <v>55</v>
      </c>
      <c r="E1509" s="102">
        <f>('AcresYieldsPrices&amp;Water'!$E$11*'Inputs&amp;PricesbyCrop'!$M$7)*$C1485</f>
        <v>0</v>
      </c>
      <c r="F1509" s="166">
        <f t="shared" si="124"/>
        <v>0</v>
      </c>
      <c r="G1509" s="163" t="e">
        <f t="shared" si="123"/>
        <v>#DIV/0!</v>
      </c>
    </row>
    <row r="1510" spans="2:7">
      <c r="B1510" t="str">
        <f>'Inputs&amp;PricesbyCrop'!$B$8</f>
        <v>Flood - Irrigation Labor</v>
      </c>
      <c r="C1510" s="137" t="str">
        <f>'Inputs&amp;PricesbyCrop'!$C$8</f>
        <v>hour</v>
      </c>
      <c r="D1510" s="166">
        <f>GeneralInputPrices!$D$28</f>
        <v>14.55</v>
      </c>
      <c r="E1510" s="166">
        <f>('AcresYieldsPrices&amp;Water'!$E$11*'Inputs&amp;PricesbyCrop'!$M$8)*$C1485</f>
        <v>0</v>
      </c>
      <c r="F1510" s="166">
        <f t="shared" si="124"/>
        <v>0</v>
      </c>
      <c r="G1510" s="163" t="e">
        <f t="shared" si="123"/>
        <v>#DIV/0!</v>
      </c>
    </row>
    <row r="1511" spans="2:7">
      <c r="B1511" t="str">
        <f>GeneralInputPrices!$B$18</f>
        <v xml:space="preserve">   - Annual Repairs &amp; Maintenance</v>
      </c>
      <c r="C1511" s="453" t="str">
        <f>GeneralInputPrices!$C$18</f>
        <v>acre</v>
      </c>
      <c r="D1511" s="166">
        <f>GeneralInputPrices!$D$18</f>
        <v>3</v>
      </c>
      <c r="E1511" s="166">
        <f>'AcresYieldsPrices&amp;Water'!$E$11*$C1485</f>
        <v>0</v>
      </c>
      <c r="F1511" s="166">
        <f t="shared" si="124"/>
        <v>0</v>
      </c>
      <c r="G1511" s="163" t="e">
        <f t="shared" si="123"/>
        <v>#DIV/0!</v>
      </c>
    </row>
    <row r="1512" spans="2:7">
      <c r="B1512" t="str">
        <f>'Inputs&amp;PricesbyCrop'!$B$9</f>
        <v>Drip-tape - Irrigation Water</v>
      </c>
      <c r="C1512" s="137" t="str">
        <f>'Inputs&amp;PricesbyCrop'!$C$9</f>
        <v>ac ft</v>
      </c>
      <c r="D1512" s="166">
        <f>GeneralInputPrices!$D$13</f>
        <v>55</v>
      </c>
      <c r="E1512" s="166">
        <f>('AcresYieldsPrices&amp;Water'!$F$11*'Inputs&amp;PricesbyCrop'!$M$9)*$C1485</f>
        <v>0</v>
      </c>
      <c r="F1512" s="166">
        <f t="shared" si="124"/>
        <v>0</v>
      </c>
      <c r="G1512" s="163" t="e">
        <f t="shared" si="123"/>
        <v>#DIV/0!</v>
      </c>
    </row>
    <row r="1513" spans="2:7">
      <c r="B1513" t="str">
        <f>'Inputs&amp;PricesbyCrop'!$B$10</f>
        <v>Drip-tape - Irrigation Labor</v>
      </c>
      <c r="C1513" s="137" t="str">
        <f>'Inputs&amp;PricesbyCrop'!$C$10</f>
        <v>hour</v>
      </c>
      <c r="D1513" s="166">
        <f>GeneralInputPrices!$D$28</f>
        <v>14.55</v>
      </c>
      <c r="E1513" s="166">
        <f>('AcresYieldsPrices&amp;Water'!$F$11*'Inputs&amp;PricesbyCrop'!$M$10)*$C1485</f>
        <v>0</v>
      </c>
      <c r="F1513" s="166">
        <f t="shared" si="124"/>
        <v>0</v>
      </c>
      <c r="G1513" s="163" t="e">
        <f t="shared" si="123"/>
        <v>#DIV/0!</v>
      </c>
    </row>
    <row r="1514" spans="2:7">
      <c r="B1514" t="str">
        <f>GeneralInputPrices!$B$22</f>
        <v xml:space="preserve">   - Annual Repairs &amp; Maintenance</v>
      </c>
      <c r="C1514" s="453" t="str">
        <f>GeneralInputPrices!$C$22</f>
        <v>acre</v>
      </c>
      <c r="D1514" s="166">
        <f>GeneralInputPrices!$D$22</f>
        <v>7.5</v>
      </c>
      <c r="E1514" s="166">
        <f>'AcresYieldsPrices&amp;Water'!$F$11*C1485</f>
        <v>0</v>
      </c>
      <c r="F1514" s="166">
        <f t="shared" si="124"/>
        <v>0</v>
      </c>
      <c r="G1514" s="163" t="e">
        <f t="shared" si="123"/>
        <v>#DIV/0!</v>
      </c>
    </row>
    <row r="1515" spans="2:7">
      <c r="B1515" t="str">
        <f>'Inputs&amp;PricesbyCrop'!$B$11</f>
        <v>Sprinkler - Irrigation Water</v>
      </c>
      <c r="C1515" s="137" t="str">
        <f>'Inputs&amp;PricesbyCrop'!$C$11</f>
        <v>ac ft</v>
      </c>
      <c r="D1515" s="166">
        <f>GeneralInputPrices!$D$13</f>
        <v>55</v>
      </c>
      <c r="E1515" s="166">
        <f>('AcresYieldsPrices&amp;Water'!$G$11*'Inputs&amp;PricesbyCrop'!$M$11)*$C1485</f>
        <v>0</v>
      </c>
      <c r="F1515" s="166">
        <f t="shared" si="124"/>
        <v>0</v>
      </c>
      <c r="G1515" s="163" t="e">
        <f t="shared" si="123"/>
        <v>#DIV/0!</v>
      </c>
    </row>
    <row r="1516" spans="2:7">
      <c r="B1516" t="str">
        <f>'Inputs&amp;PricesbyCrop'!$B$12</f>
        <v>Sprinkler - Irrigation Labor</v>
      </c>
      <c r="C1516" s="137" t="str">
        <f>'Inputs&amp;PricesbyCrop'!$C$12</f>
        <v>hour</v>
      </c>
      <c r="D1516" s="166">
        <f>GeneralInputPrices!$D$28</f>
        <v>14.55</v>
      </c>
      <c r="E1516" s="166">
        <f>('AcresYieldsPrices&amp;Water'!$G$11*'Inputs&amp;PricesbyCrop'!$M$12)*$C1485</f>
        <v>0</v>
      </c>
      <c r="F1516" s="166">
        <f t="shared" si="124"/>
        <v>0</v>
      </c>
      <c r="G1516" s="163" t="e">
        <f t="shared" si="123"/>
        <v>#DIV/0!</v>
      </c>
    </row>
    <row r="1517" spans="2:7">
      <c r="B1517" t="str">
        <f>GeneralInputPrices!$B$26</f>
        <v xml:space="preserve">   - Annual Repairs &amp; Maintenance</v>
      </c>
      <c r="C1517" s="453" t="str">
        <f>GeneralInputPrices!$C$26</f>
        <v>acre</v>
      </c>
      <c r="D1517" s="166">
        <f>GeneralInputPrices!$D$26</f>
        <v>15</v>
      </c>
      <c r="E1517" s="166">
        <f>'AcresYieldsPrices&amp;Water'!$G$11*$C1485</f>
        <v>0</v>
      </c>
      <c r="F1517" s="166">
        <f t="shared" si="124"/>
        <v>0</v>
      </c>
      <c r="G1517" s="163" t="e">
        <f t="shared" si="123"/>
        <v>#DIV/0!</v>
      </c>
    </row>
    <row r="1518" spans="2:7">
      <c r="B1518" t="str">
        <f>CustomOperations!$B$37</f>
        <v>Harvest, Custom</v>
      </c>
      <c r="C1518" s="137" t="str">
        <f>CustomOperations!$C$37</f>
        <v>acre</v>
      </c>
      <c r="D1518" s="166">
        <f>CustomOperations!$M$37</f>
        <v>25</v>
      </c>
      <c r="E1518" s="166">
        <f>CustomOperations!$M$38*$C$1485</f>
        <v>0</v>
      </c>
      <c r="F1518" s="166">
        <f t="shared" ref="F1518:F1532" si="125">D1518*E1518</f>
        <v>0</v>
      </c>
      <c r="G1518" s="163" t="e">
        <f t="shared" si="123"/>
        <v>#DIV/0!</v>
      </c>
    </row>
    <row r="1519" spans="2:7">
      <c r="B1519" t="str">
        <f>CustomOperations!$B$39</f>
        <v>Hauling, Custom</v>
      </c>
      <c r="C1519" s="137" t="str">
        <f>CustomOperations!$C$39</f>
        <v>mile</v>
      </c>
      <c r="D1519" s="166">
        <f>CustomOperations!$M$39</f>
        <v>0</v>
      </c>
      <c r="E1519" s="166">
        <f>CustomOperations!$M$40*$C$1485</f>
        <v>0</v>
      </c>
      <c r="F1519" s="166">
        <f t="shared" si="125"/>
        <v>0</v>
      </c>
      <c r="G1519" s="163" t="e">
        <f t="shared" si="123"/>
        <v>#DIV/0!</v>
      </c>
    </row>
    <row r="1520" spans="2:7">
      <c r="B1520" t="str">
        <f>CustomOperations!$B$41</f>
        <v>Gin Cotton/Drying/Swathing, Custom</v>
      </c>
      <c r="C1520" s="137" t="str">
        <f>CustomOperations!$C$41</f>
        <v>bale</v>
      </c>
      <c r="D1520" s="166">
        <f>CustomOperations!$M$41</f>
        <v>0</v>
      </c>
      <c r="E1520" s="166">
        <f>CustomOperations!$M$42*$C$1485</f>
        <v>0</v>
      </c>
      <c r="F1520" s="166">
        <f t="shared" si="125"/>
        <v>0</v>
      </c>
      <c r="G1520" s="163" t="e">
        <f t="shared" si="123"/>
        <v>#DIV/0!</v>
      </c>
    </row>
    <row r="1521" spans="2:7">
      <c r="B1521" t="str">
        <f>CustomOperations!$B$24</f>
        <v>Drill, Custom</v>
      </c>
      <c r="C1521" s="137" t="str">
        <f>CustomOperations!$C$24</f>
        <v>acre</v>
      </c>
      <c r="D1521" s="166">
        <f>CustomOperations!$M$24</f>
        <v>0</v>
      </c>
      <c r="E1521" s="166">
        <f>CustomOperations!$M$25*$C$1485</f>
        <v>0</v>
      </c>
      <c r="F1521" s="166">
        <f t="shared" si="125"/>
        <v>0</v>
      </c>
      <c r="G1521" s="163" t="e">
        <f t="shared" si="123"/>
        <v>#DIV/0!</v>
      </c>
    </row>
    <row r="1522" spans="2:7">
      <c r="B1522" t="str">
        <f>CustomOperations!$B$26</f>
        <v>Row Planter, Custom</v>
      </c>
      <c r="C1522" s="137" t="str">
        <f>CustomOperations!$C$26</f>
        <v>acre</v>
      </c>
      <c r="D1522" s="166">
        <f>CustomOperations!$M$26</f>
        <v>0</v>
      </c>
      <c r="E1522" s="166">
        <f>CustomOperations!$M$27*$C$1485</f>
        <v>0</v>
      </c>
      <c r="F1522" s="166">
        <f t="shared" si="125"/>
        <v>0</v>
      </c>
      <c r="G1522" s="163" t="e">
        <f t="shared" si="123"/>
        <v>#DIV/0!</v>
      </c>
    </row>
    <row r="1523" spans="2:7">
      <c r="B1523" t="str">
        <f>CustomOperations!$B$28</f>
        <v>Row Cultivator, Custom</v>
      </c>
      <c r="C1523" s="137" t="str">
        <f>CustomOperations!$C$28</f>
        <v>acre</v>
      </c>
      <c r="D1523" s="166">
        <f>CustomOperations!$M$28</f>
        <v>0</v>
      </c>
      <c r="E1523" s="166">
        <f>CustomOperations!$M$29*$C$1485</f>
        <v>0</v>
      </c>
      <c r="F1523" s="166">
        <f t="shared" si="125"/>
        <v>0</v>
      </c>
      <c r="G1523" s="163" t="e">
        <f t="shared" si="123"/>
        <v>#DIV/0!</v>
      </c>
    </row>
    <row r="1524" spans="2:7">
      <c r="B1524" t="str">
        <f>CustomOperations!$B$5</f>
        <v>V Ripper, Custom</v>
      </c>
      <c r="C1524" s="137" t="str">
        <f>CustomOperations!$C$5</f>
        <v>acre</v>
      </c>
      <c r="D1524" s="166">
        <f>CustomOperations!$M$5</f>
        <v>44.25</v>
      </c>
      <c r="E1524" s="166">
        <f>CustomOperations!$M$6*$C$1485</f>
        <v>0</v>
      </c>
      <c r="F1524" s="166">
        <f t="shared" si="125"/>
        <v>0</v>
      </c>
      <c r="G1524" s="163" t="e">
        <f t="shared" si="123"/>
        <v>#DIV/0!</v>
      </c>
    </row>
    <row r="1525" spans="2:7">
      <c r="B1525" t="str">
        <f>CustomOperations!$B$7</f>
        <v>Disk, Custom</v>
      </c>
      <c r="C1525" s="137" t="str">
        <f>CustomOperations!$C$7</f>
        <v>acre</v>
      </c>
      <c r="D1525" s="166">
        <f>CustomOperations!$M$7</f>
        <v>0</v>
      </c>
      <c r="E1525" s="166">
        <f>CustomOperations!$M$8*$C$1485</f>
        <v>0</v>
      </c>
      <c r="F1525" s="166">
        <f t="shared" si="125"/>
        <v>0</v>
      </c>
      <c r="G1525" s="163" t="e">
        <f t="shared" si="123"/>
        <v>#DIV/0!</v>
      </c>
    </row>
    <row r="1526" spans="2:7">
      <c r="B1526" t="str">
        <f>CustomOperations!$B$9</f>
        <v>Drag, Custom</v>
      </c>
      <c r="C1526" s="137" t="str">
        <f>CustomOperations!$C$9</f>
        <v>acre</v>
      </c>
      <c r="D1526" s="166">
        <f>CustomOperations!$M$9</f>
        <v>0</v>
      </c>
      <c r="E1526" s="166">
        <f>CustomOperations!$M$10*$C$1485</f>
        <v>0</v>
      </c>
      <c r="F1526" s="166">
        <f t="shared" si="125"/>
        <v>0</v>
      </c>
      <c r="G1526" s="163" t="e">
        <f t="shared" si="123"/>
        <v>#DIV/0!</v>
      </c>
    </row>
    <row r="1527" spans="2:7">
      <c r="B1527" t="str">
        <f>CustomOperations!$B$11</f>
        <v>Chisel, Custom</v>
      </c>
      <c r="C1527" s="137" t="str">
        <f>CustomOperations!$C$11</f>
        <v>acre</v>
      </c>
      <c r="D1527" s="166">
        <f>CustomOperations!$M$11</f>
        <v>0</v>
      </c>
      <c r="E1527" s="166">
        <f>CustomOperations!$M$12*$C$1485</f>
        <v>0</v>
      </c>
      <c r="F1527" s="166">
        <f t="shared" si="125"/>
        <v>0</v>
      </c>
      <c r="G1527" s="163" t="e">
        <f t="shared" si="123"/>
        <v>#DIV/0!</v>
      </c>
    </row>
    <row r="1528" spans="2:7">
      <c r="B1528" t="str">
        <f>CustomOperations!$B$13</f>
        <v>Moldboard Plow, Custom</v>
      </c>
      <c r="C1528" s="137" t="str">
        <f>CustomOperations!$C$13</f>
        <v>acre</v>
      </c>
      <c r="D1528" s="166">
        <f>CustomOperations!$M$13</f>
        <v>0</v>
      </c>
      <c r="E1528" s="166">
        <f>CustomOperations!$M$14*$C$1485</f>
        <v>0</v>
      </c>
      <c r="F1528" s="166">
        <f t="shared" si="125"/>
        <v>0</v>
      </c>
      <c r="G1528" s="163" t="e">
        <f t="shared" si="123"/>
        <v>#DIV/0!</v>
      </c>
    </row>
    <row r="1529" spans="2:7">
      <c r="B1529" t="str">
        <f>CustomOperations!$B$15</f>
        <v>Landplane, Custom</v>
      </c>
      <c r="C1529" s="137" t="str">
        <f>CustomOperations!$C$15</f>
        <v>acre</v>
      </c>
      <c r="D1529" s="166">
        <f>CustomOperations!$M$15</f>
        <v>17.940000000000001</v>
      </c>
      <c r="E1529" s="166">
        <f>CustomOperations!$M$16*$C$1485</f>
        <v>0</v>
      </c>
      <c r="F1529" s="166">
        <f t="shared" si="125"/>
        <v>0</v>
      </c>
      <c r="G1529" s="163" t="e">
        <f t="shared" si="123"/>
        <v>#DIV/0!</v>
      </c>
    </row>
    <row r="1530" spans="2:7">
      <c r="B1530" t="str">
        <f>CustomOperations!$B$17</f>
        <v>Float, Custom</v>
      </c>
      <c r="C1530" s="137" t="str">
        <f>CustomOperations!$C$17</f>
        <v>acre</v>
      </c>
      <c r="D1530" s="166">
        <f>CustomOperations!$M$17</f>
        <v>17.940000000000001</v>
      </c>
      <c r="E1530" s="166">
        <f>CustomOperations!$M$18*$C$1485</f>
        <v>0</v>
      </c>
      <c r="F1530" s="166">
        <f t="shared" si="125"/>
        <v>0</v>
      </c>
      <c r="G1530" s="163" t="e">
        <f t="shared" si="123"/>
        <v>#DIV/0!</v>
      </c>
    </row>
    <row r="1531" spans="2:7">
      <c r="B1531" t="str">
        <f>CustomOperations!$B$19</f>
        <v>Lister, Custom</v>
      </c>
      <c r="C1531" s="137" t="str">
        <f>CustomOperations!$C$19</f>
        <v>acre</v>
      </c>
      <c r="D1531" s="166">
        <f>CustomOperations!$M$19</f>
        <v>20.38</v>
      </c>
      <c r="E1531" s="166">
        <f>CustomOperations!$M$20*$C$1485</f>
        <v>0</v>
      </c>
      <c r="F1531" s="166">
        <f t="shared" si="125"/>
        <v>0</v>
      </c>
      <c r="G1531" s="163" t="e">
        <f t="shared" si="123"/>
        <v>#DIV/0!</v>
      </c>
    </row>
    <row r="1532" spans="2:7">
      <c r="B1532" t="str">
        <f>CustomOperations!$B$21</f>
        <v>Bed Shape, Custom</v>
      </c>
      <c r="C1532" s="137" t="str">
        <f>CustomOperations!$C$21</f>
        <v>acre</v>
      </c>
      <c r="D1532" s="166">
        <f>CustomOperations!$M$21</f>
        <v>13.69</v>
      </c>
      <c r="E1532" s="166">
        <f>CustomOperations!$M$22*$C$1485</f>
        <v>0</v>
      </c>
      <c r="F1532" s="166">
        <f t="shared" si="125"/>
        <v>0</v>
      </c>
      <c r="G1532" s="163" t="e">
        <f t="shared" si="123"/>
        <v>#DIV/0!</v>
      </c>
    </row>
    <row r="1533" spans="2:7">
      <c r="B1533" t="str">
        <f>CustomOperations!$B$32</f>
        <v>Fertilizer Spreader, Custom</v>
      </c>
      <c r="C1533" s="137" t="str">
        <f>CustomOperations!$C$32</f>
        <v>acre</v>
      </c>
      <c r="D1533" s="166">
        <f>CustomOperations!$M$32</f>
        <v>10.08</v>
      </c>
      <c r="E1533" s="166">
        <f>CustomOperations!$M$33*$C$1485</f>
        <v>0</v>
      </c>
      <c r="F1533" s="166">
        <f>D1533*E1533</f>
        <v>0</v>
      </c>
      <c r="G1533" s="163" t="e">
        <f t="shared" si="123"/>
        <v>#DIV/0!</v>
      </c>
    </row>
    <row r="1534" spans="2:7">
      <c r="B1534" t="str">
        <f>CustomOperations!$B$34</f>
        <v>Laser Landplaning, Custom</v>
      </c>
      <c r="C1534" s="137" t="str">
        <f>CustomOperations!$C$34</f>
        <v>acre</v>
      </c>
      <c r="D1534" s="166">
        <f>CustomOperations!$M$34</f>
        <v>0</v>
      </c>
      <c r="E1534" s="166">
        <f>CustomOperations!$M$35*$C$1485</f>
        <v>0</v>
      </c>
      <c r="F1534" s="166">
        <f>D1534*E1534</f>
        <v>0</v>
      </c>
      <c r="G1534" s="163" t="e">
        <f t="shared" si="123"/>
        <v>#DIV/0!</v>
      </c>
    </row>
    <row r="1535" spans="2:7">
      <c r="B1535" t="str">
        <f>CustomOperations!$B$30</f>
        <v>Boom Sprayer, Custom</v>
      </c>
      <c r="C1535" s="137" t="str">
        <f>CustomOperations!$C$30</f>
        <v>acre</v>
      </c>
      <c r="D1535" s="166">
        <f>CustomOperations!$M$30</f>
        <v>10.050000000000001</v>
      </c>
      <c r="E1535" s="166">
        <f>CustomOperations!$M$31*$C$1485</f>
        <v>0</v>
      </c>
      <c r="F1535" s="166">
        <f t="shared" ref="F1535:F1557" si="126">D1535*E1535</f>
        <v>0</v>
      </c>
      <c r="G1535" s="163" t="e">
        <f t="shared" si="123"/>
        <v>#DIV/0!</v>
      </c>
    </row>
    <row r="1536" spans="2:7">
      <c r="B1536" s="463" t="str">
        <f>TillageOperations!$B$7&amp;" (Repairs, maint., fuel &amp; lube)"</f>
        <v>V-Ripper (Repairs, maint., fuel &amp; lube)</v>
      </c>
      <c r="C1536" s="464" t="s">
        <v>157</v>
      </c>
      <c r="D1536" s="166">
        <f>PubMachineryTables!$AM$49+PubMachineryTables!$AN$49</f>
        <v>30.16333889180672</v>
      </c>
      <c r="E1536" s="166">
        <f>TillageOperations!$L$7*$C$1485</f>
        <v>0</v>
      </c>
      <c r="F1536" s="166">
        <f t="shared" si="126"/>
        <v>0</v>
      </c>
      <c r="G1536" s="163" t="e">
        <f t="shared" si="123"/>
        <v>#DIV/0!</v>
      </c>
    </row>
    <row r="1537" spans="2:7">
      <c r="B1537" s="463" t="str">
        <f>TillageOperations!$B$7&amp;" (Labor)"</f>
        <v>V-Ripper (Labor)</v>
      </c>
      <c r="C1537" s="464" t="s">
        <v>157</v>
      </c>
      <c r="D1537" s="166">
        <f>PubMachineryTables!$AL$49</f>
        <v>13.529312500000001</v>
      </c>
      <c r="E1537" s="166">
        <f>TillageOperations!$L$7*$C$1485</f>
        <v>0</v>
      </c>
      <c r="F1537" s="166">
        <f t="shared" si="126"/>
        <v>0</v>
      </c>
      <c r="G1537" s="163" t="e">
        <f t="shared" si="123"/>
        <v>#DIV/0!</v>
      </c>
    </row>
    <row r="1538" spans="2:7">
      <c r="B1538" s="463" t="str">
        <f>TillageOperations!$B$8&amp;" (Repairs, maint., fuel &amp; lube)"</f>
        <v>Offset Disk (Repairs, maint., fuel &amp; lube)</v>
      </c>
      <c r="C1538" s="464" t="s">
        <v>157</v>
      </c>
      <c r="D1538" s="166">
        <f>PubMachineryTables!$AN$50+PubMachineryTables!$AM$50</f>
        <v>10.332318567950058</v>
      </c>
      <c r="E1538" s="166">
        <f>TillageOperations!$L$8*$C$1485</f>
        <v>0</v>
      </c>
      <c r="F1538" s="166">
        <f t="shared" si="126"/>
        <v>0</v>
      </c>
      <c r="G1538" s="163" t="e">
        <f t="shared" si="123"/>
        <v>#DIV/0!</v>
      </c>
    </row>
    <row r="1539" spans="2:7">
      <c r="B1539" s="463" t="str">
        <f>TillageOperations!$B$8&amp;" (Labor)"</f>
        <v>Offset Disk (Labor)</v>
      </c>
      <c r="C1539" s="464" t="s">
        <v>157</v>
      </c>
      <c r="D1539" s="166">
        <f>PubMachineryTables!$AL$50</f>
        <v>4.7161002178649252</v>
      </c>
      <c r="E1539" s="166">
        <f>TillageOperations!$L$8*$C$1485</f>
        <v>0</v>
      </c>
      <c r="F1539" s="166">
        <f t="shared" si="126"/>
        <v>0</v>
      </c>
      <c r="G1539" s="163" t="e">
        <f t="shared" si="123"/>
        <v>#DIV/0!</v>
      </c>
    </row>
    <row r="1540" spans="2:7">
      <c r="B1540" s="463" t="str">
        <f>TillageOperations!$B$9&amp;" (Repairs, maint., fuel &amp; lube)"</f>
        <v>Drag (Repairs, maint., fuel &amp; lube)</v>
      </c>
      <c r="C1540" s="464" t="s">
        <v>157</v>
      </c>
      <c r="D1540" s="166">
        <f>PubMachineryTables!$AN$51+PubMachineryTables!$AM$51</f>
        <v>2.4803921568627447</v>
      </c>
      <c r="E1540" s="166">
        <f>TillageOperations!$L$9*$C$1485</f>
        <v>0</v>
      </c>
      <c r="F1540" s="166">
        <f t="shared" si="126"/>
        <v>0</v>
      </c>
      <c r="G1540" s="163" t="e">
        <f t="shared" si="123"/>
        <v>#DIV/0!</v>
      </c>
    </row>
    <row r="1541" spans="2:7">
      <c r="B1541" s="463" t="str">
        <f>TillageOperations!$B$9&amp;" (Labor)"</f>
        <v>Drag (Labor)</v>
      </c>
      <c r="C1541" s="464" t="s">
        <v>157</v>
      </c>
      <c r="D1541" s="166">
        <f>PubMachineryTables!$AL$51</f>
        <v>2.1222450980392158</v>
      </c>
      <c r="E1541" s="166">
        <f>TillageOperations!$L$9*$C$1485</f>
        <v>0</v>
      </c>
      <c r="F1541" s="166">
        <f t="shared" si="126"/>
        <v>0</v>
      </c>
      <c r="G1541" s="163" t="e">
        <f t="shared" si="123"/>
        <v>#DIV/0!</v>
      </c>
    </row>
    <row r="1542" spans="2:7">
      <c r="B1542" s="463" t="str">
        <f>TillageOperations!$B$10&amp;" (Repairs, maint., fuel &amp; lube)"</f>
        <v>Chisel (Repairs, maint., fuel &amp; lube)</v>
      </c>
      <c r="C1542" s="464" t="s">
        <v>157</v>
      </c>
      <c r="D1542" s="166">
        <f>PubMachineryTables!$AN$52+PubMachineryTables!$AM$52</f>
        <v>8.5884820270019766</v>
      </c>
      <c r="E1542" s="166">
        <f>TillageOperations!$L$10*$C$1485</f>
        <v>0</v>
      </c>
      <c r="F1542" s="166">
        <f t="shared" si="126"/>
        <v>0</v>
      </c>
      <c r="G1542" s="163" t="e">
        <f t="shared" si="123"/>
        <v>#DIV/0!</v>
      </c>
    </row>
    <row r="1543" spans="2:7">
      <c r="B1543" s="463" t="str">
        <f>TillageOperations!$B$10&amp;" (Labor)"</f>
        <v>Chisel (Labor)</v>
      </c>
      <c r="C1543" s="464" t="s">
        <v>157</v>
      </c>
      <c r="D1543" s="166">
        <f>PubMachineryTables!$AL$52</f>
        <v>3.9792095588235301</v>
      </c>
      <c r="E1543" s="166">
        <f>TillageOperations!$L$10*$C$1485</f>
        <v>0</v>
      </c>
      <c r="F1543" s="166">
        <f t="shared" si="126"/>
        <v>0</v>
      </c>
      <c r="G1543" s="163" t="e">
        <f t="shared" si="123"/>
        <v>#DIV/0!</v>
      </c>
    </row>
    <row r="1544" spans="2:7">
      <c r="B1544" s="463" t="str">
        <f>TillageOperations!$B$11&amp;" (Repairs, maint., fuel &amp; lube)"</f>
        <v>Moldboard Plow (Repairs, maint., fuel &amp; lube)</v>
      </c>
      <c r="C1544" s="464" t="s">
        <v>157</v>
      </c>
      <c r="D1544" s="166">
        <f>PubMachineryTables!$AN$53+PubMachineryTables!$AM$53</f>
        <v>14.457142857142856</v>
      </c>
      <c r="E1544" s="166">
        <f>TillageOperations!$L$11*$C$1485</f>
        <v>0</v>
      </c>
      <c r="F1544" s="166">
        <f t="shared" si="126"/>
        <v>0</v>
      </c>
      <c r="G1544" s="163" t="e">
        <f t="shared" si="123"/>
        <v>#DIV/0!</v>
      </c>
    </row>
    <row r="1545" spans="2:7">
      <c r="B1545" s="463" t="str">
        <f>TillageOperations!$B$11&amp;" (Labor)"</f>
        <v>Moldboard Plow (Labor)</v>
      </c>
      <c r="C1545" s="464" t="s">
        <v>157</v>
      </c>
      <c r="D1545" s="166">
        <f>PubMachineryTables!$AL$53</f>
        <v>7.7310357142857153</v>
      </c>
      <c r="E1545" s="166">
        <f>TillageOperations!$L$11*$C$1485</f>
        <v>0</v>
      </c>
      <c r="F1545" s="166">
        <f t="shared" si="126"/>
        <v>0</v>
      </c>
      <c r="G1545" s="163" t="e">
        <f t="shared" si="123"/>
        <v>#DIV/0!</v>
      </c>
    </row>
    <row r="1546" spans="2:7">
      <c r="B1546" s="463" t="str">
        <f>TillageOperations!$B$12&amp;" (Repairs, maint., fuel &amp; lube)"</f>
        <v>Cultivator (Repairs, maint., fuel &amp; lube)</v>
      </c>
      <c r="C1546" s="464" t="s">
        <v>157</v>
      </c>
      <c r="D1546" s="166">
        <f>PubMachineryTables!$AN$54+PubMachineryTables!$AM$54</f>
        <v>5.7828571428571429</v>
      </c>
      <c r="E1546" s="166">
        <f>TillageOperations!$L$12*$C$1485</f>
        <v>0</v>
      </c>
      <c r="F1546" s="166">
        <f t="shared" si="126"/>
        <v>0</v>
      </c>
      <c r="G1546" s="163" t="e">
        <f t="shared" si="123"/>
        <v>#DIV/0!</v>
      </c>
    </row>
    <row r="1547" spans="2:7">
      <c r="B1547" s="463" t="str">
        <f>TillageOperations!$B$12&amp;" (Labor)"</f>
        <v>Cultivator (Labor)</v>
      </c>
      <c r="C1547" s="464" t="s">
        <v>157</v>
      </c>
      <c r="D1547" s="166">
        <f>PubMachineryTables!$AL$54</f>
        <v>3.0924142857142862</v>
      </c>
      <c r="E1547" s="166">
        <f>TillageOperations!$L$12*$C$1485</f>
        <v>0</v>
      </c>
      <c r="F1547" s="166">
        <f t="shared" si="126"/>
        <v>0</v>
      </c>
      <c r="G1547" s="163" t="e">
        <f t="shared" si="123"/>
        <v>#DIV/0!</v>
      </c>
    </row>
    <row r="1548" spans="2:7">
      <c r="B1548" s="463" t="str">
        <f>TillageOperations!$B$13&amp;" (Repairs, maint., fuel &amp; lube)"</f>
        <v>Landplane (Repairs, maint., fuel &amp; lube)</v>
      </c>
      <c r="C1548" s="464" t="s">
        <v>157</v>
      </c>
      <c r="D1548" s="166">
        <f>PubMachineryTables!$AN$55+PubMachineryTables!$AM$55</f>
        <v>8.0445253976590632</v>
      </c>
      <c r="E1548" s="166">
        <f>TillageOperations!$L$13*$C$1485</f>
        <v>0</v>
      </c>
      <c r="F1548" s="166">
        <f t="shared" si="126"/>
        <v>0</v>
      </c>
      <c r="G1548" s="163" t="e">
        <f t="shared" si="123"/>
        <v>#DIV/0!</v>
      </c>
    </row>
    <row r="1549" spans="2:7">
      <c r="B1549" s="463" t="str">
        <f>TillageOperations!$B$13&amp;" (Labor)"</f>
        <v>Landplane (Labor)</v>
      </c>
      <c r="C1549" s="464" t="s">
        <v>157</v>
      </c>
      <c r="D1549" s="166">
        <f>PubMachineryTables!$AL$55</f>
        <v>3.8655178571428577</v>
      </c>
      <c r="E1549" s="166">
        <f>TillageOperations!$L$13*$C$1485</f>
        <v>0</v>
      </c>
      <c r="F1549" s="166">
        <f t="shared" si="126"/>
        <v>0</v>
      </c>
      <c r="G1549" s="163" t="e">
        <f t="shared" si="123"/>
        <v>#DIV/0!</v>
      </c>
    </row>
    <row r="1550" spans="2:7">
      <c r="B1550" s="463" t="str">
        <f>TillageOperations!$B$14&amp;" (Repairs, maint., fuel &amp; lube)"</f>
        <v>Float (Repairs, maint., fuel &amp; lube)</v>
      </c>
      <c r="C1550" s="464" t="s">
        <v>157</v>
      </c>
      <c r="D1550" s="166">
        <f>PubMachineryTables!$AN$56+PubMachineryTables!$AM$56</f>
        <v>5.1632653061224492</v>
      </c>
      <c r="E1550" s="166">
        <f>TillageOperations!$L$14*$C$1485</f>
        <v>0</v>
      </c>
      <c r="F1550" s="166">
        <f t="shared" si="126"/>
        <v>0</v>
      </c>
      <c r="G1550" s="163" t="e">
        <f t="shared" si="123"/>
        <v>#DIV/0!</v>
      </c>
    </row>
    <row r="1551" spans="2:7">
      <c r="B1551" s="463" t="str">
        <f>TillageOperations!$B$14&amp;" (Labor)"</f>
        <v>Float (Labor)</v>
      </c>
      <c r="C1551" s="464" t="s">
        <v>157</v>
      </c>
      <c r="D1551" s="166">
        <f>PubMachineryTables!$AL$56</f>
        <v>4.4177346938775521</v>
      </c>
      <c r="E1551" s="166">
        <f>TillageOperations!$L$14*$C$1485</f>
        <v>0</v>
      </c>
      <c r="F1551" s="166">
        <f t="shared" si="126"/>
        <v>0</v>
      </c>
      <c r="G1551" s="163" t="e">
        <f t="shared" si="123"/>
        <v>#DIV/0!</v>
      </c>
    </row>
    <row r="1552" spans="2:7">
      <c r="B1552" s="463" t="str">
        <f>TillageOperations!$B$15&amp;" (Repairs, maint., fuel &amp; lube)"</f>
        <v>Lister (Repairs, maint., fuel &amp; lube)</v>
      </c>
      <c r="C1552" s="464" t="s">
        <v>157</v>
      </c>
      <c r="D1552" s="166">
        <f>PubMachineryTables!$AN$57+PubMachineryTables!$AM$57</f>
        <v>11.879642797844287</v>
      </c>
      <c r="E1552" s="166">
        <f>TillageOperations!$L$15*$C$1485</f>
        <v>0</v>
      </c>
      <c r="F1552" s="166">
        <f t="shared" si="126"/>
        <v>0</v>
      </c>
      <c r="G1552" s="163" t="e">
        <f t="shared" si="123"/>
        <v>#DIV/0!</v>
      </c>
    </row>
    <row r="1553" spans="2:7">
      <c r="B1553" s="463" t="str">
        <f>TillageOperations!$B$15&amp;" (Labor)"</f>
        <v>Lister (Labor)</v>
      </c>
      <c r="C1553" s="464" t="s">
        <v>157</v>
      </c>
      <c r="D1553" s="166">
        <f>PubMachineryTables!$AL$57</f>
        <v>6.1848285714285725</v>
      </c>
      <c r="E1553" s="166">
        <f>TillageOperations!$L$15*$C$1485</f>
        <v>0</v>
      </c>
      <c r="F1553" s="166">
        <f t="shared" si="126"/>
        <v>0</v>
      </c>
      <c r="G1553" s="163" t="e">
        <f t="shared" si="123"/>
        <v>#DIV/0!</v>
      </c>
    </row>
    <row r="1554" spans="2:7">
      <c r="B1554" s="463" t="str">
        <f>TillageOperations!$B$16&amp;" (Repairs, maint., fuel &amp; lube)"</f>
        <v>Bed Shaper (Repairs, maint., fuel &amp; lube)</v>
      </c>
      <c r="C1554" s="464" t="s">
        <v>157</v>
      </c>
      <c r="D1554" s="166">
        <f>PubMachineryTables!$AN$58+PubMachineryTables!$AM$58</f>
        <v>5.9574634784635725</v>
      </c>
      <c r="E1554" s="166">
        <f>TillageOperations!$L$16*$C$1485</f>
        <v>0</v>
      </c>
      <c r="F1554" s="166">
        <f t="shared" si="126"/>
        <v>0</v>
      </c>
      <c r="G1554" s="163" t="e">
        <f t="shared" si="123"/>
        <v>#DIV/0!</v>
      </c>
    </row>
    <row r="1555" spans="2:7">
      <c r="B1555" s="463" t="str">
        <f>TillageOperations!$B$16&amp;" (Labor)"</f>
        <v>Bed Shaper (Labor)</v>
      </c>
      <c r="C1555" s="464" t="s">
        <v>157</v>
      </c>
      <c r="D1555" s="166">
        <f>PubMachineryTables!$AL$58</f>
        <v>3.0924142857142862</v>
      </c>
      <c r="E1555" s="166">
        <f>TillageOperations!$L$16*$C$1485</f>
        <v>0</v>
      </c>
      <c r="F1555" s="166">
        <f t="shared" si="126"/>
        <v>0</v>
      </c>
      <c r="G1555" s="163" t="e">
        <f t="shared" ref="G1555:G1618" si="127">F1555/C$1485</f>
        <v>#DIV/0!</v>
      </c>
    </row>
    <row r="1556" spans="2:7">
      <c r="B1556" s="463" t="str">
        <f>TillageOperations!$B$19&amp;" (Repairs, maint., fuel &amp; lube)"</f>
        <v>Row Planter (Repairs, maint., fuel &amp; lube)</v>
      </c>
      <c r="C1556" s="464" t="s">
        <v>157</v>
      </c>
      <c r="D1556" s="166">
        <f>PubMachineryTables!$AN$60+PubMachineryTables!$AM$60</f>
        <v>8.8400048303091552</v>
      </c>
      <c r="E1556" s="166">
        <f>TillageOperations!$L$19*$C$1485</f>
        <v>0</v>
      </c>
      <c r="F1556" s="166">
        <f t="shared" si="126"/>
        <v>0</v>
      </c>
      <c r="G1556" s="163" t="e">
        <f t="shared" si="127"/>
        <v>#DIV/0!</v>
      </c>
    </row>
    <row r="1557" spans="2:7">
      <c r="B1557" s="463" t="str">
        <f>TillageOperations!$B$19&amp;" (Labor)"</f>
        <v>Row Planter (Labor)</v>
      </c>
      <c r="C1557" s="464" t="s">
        <v>157</v>
      </c>
      <c r="D1557" s="166">
        <f>PubMachineryTables!$AL$60</f>
        <v>4.5097708333333344</v>
      </c>
      <c r="E1557" s="166">
        <f>TillageOperations!$L$19*$C$1485</f>
        <v>0</v>
      </c>
      <c r="F1557" s="166">
        <f t="shared" si="126"/>
        <v>0</v>
      </c>
      <c r="G1557" s="163" t="e">
        <f t="shared" si="127"/>
        <v>#DIV/0!</v>
      </c>
    </row>
    <row r="1558" spans="2:7">
      <c r="B1558" s="463" t="str">
        <f>TillageOperations!$B$20&amp;" (Repairs, maint., fuel &amp; lube)"</f>
        <v>Row Cultivator (Repairs, maint., fuel &amp; lube)</v>
      </c>
      <c r="C1558" s="464" t="s">
        <v>157</v>
      </c>
      <c r="D1558" s="166">
        <f>PubMachineryTables!$AN$61+PubMachineryTables!$AM$61</f>
        <v>3.5823141032725374</v>
      </c>
      <c r="E1558" s="166">
        <f>TillageOperations!$L$20*$C$1485</f>
        <v>0</v>
      </c>
      <c r="F1558" s="166">
        <f>D1558*E1558</f>
        <v>0</v>
      </c>
      <c r="G1558" s="163" t="e">
        <f t="shared" si="127"/>
        <v>#DIV/0!</v>
      </c>
    </row>
    <row r="1559" spans="2:7">
      <c r="B1559" s="463" t="str">
        <f>TillageOperations!$B$20&amp;" (Labor)"</f>
        <v>Row Cultivator (Labor)</v>
      </c>
      <c r="C1559" s="464" t="s">
        <v>157</v>
      </c>
      <c r="D1559" s="166">
        <f>PubMachineryTables!$AL$61</f>
        <v>3.0065138888888892</v>
      </c>
      <c r="E1559" s="166">
        <f>TillageOperations!$L$20*$C$1485</f>
        <v>0</v>
      </c>
      <c r="F1559" s="166">
        <f>D1559*E1559</f>
        <v>0</v>
      </c>
      <c r="G1559" s="163" t="e">
        <f t="shared" si="127"/>
        <v>#DIV/0!</v>
      </c>
    </row>
    <row r="1560" spans="2:7">
      <c r="B1560" s="463" t="str">
        <f>TillageOperations!$B$21&amp;" (Repairs, maint., fuel &amp; lube)"</f>
        <v>Drill (Repairs, maint., fuel &amp; lube)</v>
      </c>
      <c r="C1560" s="464" t="s">
        <v>157</v>
      </c>
      <c r="D1560" s="166">
        <f>PubMachineryTables!$AN$62+PubMachineryTables!$AM$62</f>
        <v>7.6986395922631168</v>
      </c>
      <c r="E1560" s="166">
        <f>TillageOperations!$L$21*$C$1485</f>
        <v>0</v>
      </c>
      <c r="F1560" s="166">
        <f>D1560*E1560</f>
        <v>0</v>
      </c>
      <c r="G1560" s="163" t="e">
        <f t="shared" si="127"/>
        <v>#DIV/0!</v>
      </c>
    </row>
    <row r="1561" spans="2:7">
      <c r="B1561" s="463" t="str">
        <f>TillageOperations!$B$21&amp;" (Labor)"</f>
        <v>Drill (Labor)</v>
      </c>
      <c r="C1561" s="464" t="s">
        <v>157</v>
      </c>
      <c r="D1561" s="166">
        <f>PubMachineryTables!$AL$62</f>
        <v>5.4117250000000006</v>
      </c>
      <c r="E1561" s="166">
        <f>TillageOperations!$L$21*$C$1485</f>
        <v>0</v>
      </c>
      <c r="F1561" s="166">
        <f>D1561*E1561</f>
        <v>0</v>
      </c>
      <c r="G1561" s="163" t="e">
        <f t="shared" si="127"/>
        <v>#DIV/0!</v>
      </c>
    </row>
    <row r="1562" spans="2:7">
      <c r="B1562" s="75" t="str">
        <f>TillageOperations!$B$27&amp;" (Repairs, maint., fuel &amp; lube)"</f>
        <v>Cotton Picker (Repairs, maint., fuel &amp; lube)</v>
      </c>
      <c r="C1562" s="464" t="s">
        <v>157</v>
      </c>
      <c r="D1562" s="166">
        <f>PubMachineryTables!$AN$67+PubMachineryTables!$AM$67</f>
        <v>20.587703435804702</v>
      </c>
      <c r="E1562" s="166">
        <f>TillageOperations!$L$27*$C$1485</f>
        <v>0</v>
      </c>
      <c r="F1562" s="166">
        <f t="shared" ref="F1562:F1569" si="128">D1562*E1562</f>
        <v>0</v>
      </c>
      <c r="G1562" s="163" t="e">
        <f t="shared" si="127"/>
        <v>#DIV/0!</v>
      </c>
    </row>
    <row r="1563" spans="2:7">
      <c r="B1563" t="str">
        <f>TillageOperations!$B$27&amp;" (Labor)"</f>
        <v>Cotton Picker (Labor)</v>
      </c>
      <c r="C1563" s="464" t="s">
        <v>157</v>
      </c>
      <c r="D1563" s="166">
        <f>PubMachineryTables!$AL$67</f>
        <v>7.3395908679927677</v>
      </c>
      <c r="E1563" s="166">
        <f>TillageOperations!$L$27*$C$1485</f>
        <v>0</v>
      </c>
      <c r="F1563" s="166">
        <f t="shared" si="128"/>
        <v>0</v>
      </c>
      <c r="G1563" s="163" t="e">
        <f t="shared" si="127"/>
        <v>#DIV/0!</v>
      </c>
    </row>
    <row r="1564" spans="2:7">
      <c r="B1564" s="75" t="str">
        <f>TillageOperations!$B$28&amp;" (Repairs, maint., fuel &amp; lube)"</f>
        <v>Module Unit (Repairs, maint., fuel &amp; lube)</v>
      </c>
      <c r="C1564" s="464" t="s">
        <v>157</v>
      </c>
      <c r="D1564" s="166">
        <f>PubMachineryTables!$AN$68+PubMachineryTables!$AM$68</f>
        <v>7.0644080416976918</v>
      </c>
      <c r="E1564" s="166">
        <f>TillageOperations!$L$28*$C$1485</f>
        <v>0</v>
      </c>
      <c r="F1564" s="166">
        <f t="shared" si="128"/>
        <v>0</v>
      </c>
      <c r="G1564" s="163" t="e">
        <f t="shared" si="127"/>
        <v>#DIV/0!</v>
      </c>
    </row>
    <row r="1565" spans="2:7">
      <c r="B1565" t="str">
        <f>TillageOperations!$B$28&amp;" (Labor)"</f>
        <v>Module Unit (Labor)</v>
      </c>
      <c r="C1565" s="464" t="s">
        <v>157</v>
      </c>
      <c r="D1565" s="166">
        <f>PubMachineryTables!$AL$68</f>
        <v>6.0443689501116911</v>
      </c>
      <c r="E1565" s="166">
        <f>TillageOperations!$L$28*$C$1485</f>
        <v>0</v>
      </c>
      <c r="F1565" s="166">
        <f t="shared" si="128"/>
        <v>0</v>
      </c>
      <c r="G1565" s="163" t="e">
        <f t="shared" si="127"/>
        <v>#DIV/0!</v>
      </c>
    </row>
    <row r="1566" spans="2:7">
      <c r="B1566" t="str">
        <f>TillageOperations!$B$29&amp;" (Repairs, maint., fuel &amp; lube)"</f>
        <v>Haul Cotton (Repairs, maint., fuel &amp; lube)</v>
      </c>
      <c r="C1566" s="464" t="s">
        <v>157</v>
      </c>
      <c r="D1566" s="166">
        <f>PubMachineryTables!$AN$69+PubMachineryTables!$AM$69</f>
        <v>7.0644080416976918</v>
      </c>
      <c r="E1566" s="166">
        <f>TillageOperations!$L$29*$C$1485</f>
        <v>0</v>
      </c>
      <c r="F1566" s="166">
        <f t="shared" si="128"/>
        <v>0</v>
      </c>
      <c r="G1566" s="163" t="e">
        <f t="shared" si="127"/>
        <v>#DIV/0!</v>
      </c>
    </row>
    <row r="1567" spans="2:7">
      <c r="B1567" t="str">
        <f>TillageOperations!$B$29&amp;" (Labor)"</f>
        <v>Haul Cotton (Labor)</v>
      </c>
      <c r="C1567" s="464" t="s">
        <v>157</v>
      </c>
      <c r="D1567" s="166">
        <f>PubMachineryTables!$AL$69</f>
        <v>6.0443689501116911</v>
      </c>
      <c r="E1567" s="166">
        <f>TillageOperations!$L$29*$C$1485</f>
        <v>0</v>
      </c>
      <c r="F1567" s="166">
        <f t="shared" si="128"/>
        <v>0</v>
      </c>
      <c r="G1567" s="163" t="e">
        <f t="shared" si="127"/>
        <v>#DIV/0!</v>
      </c>
    </row>
    <row r="1568" spans="2:7">
      <c r="B1568" t="str">
        <f>TillageOperations!$B$17&amp;" (Repairs, maint., fuel &amp; lube)"</f>
        <v>Cotton Shredder/Root Puller (Repairs, maint., fuel &amp; lube)</v>
      </c>
      <c r="C1568" s="464" t="s">
        <v>157</v>
      </c>
      <c r="D1568" s="166">
        <f>PubMachineryTables!$AN$59+PubMachineryTables!$AM$59</f>
        <v>3.4657534246575339</v>
      </c>
      <c r="E1568" s="166">
        <f>TillageOperations!$L$17*$C$1485</f>
        <v>0</v>
      </c>
      <c r="F1568" s="166">
        <f t="shared" si="128"/>
        <v>0</v>
      </c>
      <c r="G1568" s="163" t="e">
        <f t="shared" si="127"/>
        <v>#DIV/0!</v>
      </c>
    </row>
    <row r="1569" spans="2:7">
      <c r="B1569" t="str">
        <f>TillageOperations!$B$17&amp;" (Labor)"</f>
        <v>Cotton Shredder/Root Puller (Labor)</v>
      </c>
      <c r="C1569" s="464" t="s">
        <v>157</v>
      </c>
      <c r="D1569" s="166">
        <f>PubMachineryTables!$AL$59</f>
        <v>2.965328767123288</v>
      </c>
      <c r="E1569" s="166">
        <f>TillageOperations!$L$17*$C$1485</f>
        <v>0</v>
      </c>
      <c r="F1569" s="166">
        <f t="shared" si="128"/>
        <v>0</v>
      </c>
      <c r="G1569" s="163" t="e">
        <f t="shared" si="127"/>
        <v>#DIV/0!</v>
      </c>
    </row>
    <row r="1570" spans="2:7">
      <c r="B1570" t="str">
        <f>TillageOperations!$B$30&amp;" (Repairs, maint., fuel &amp; lube)"</f>
        <v>Combine (Repairs, maint., fuel &amp; lube)</v>
      </c>
      <c r="C1570" s="464" t="s">
        <v>157</v>
      </c>
      <c r="D1570" s="166">
        <f>PubMachineryTables!$AN$70+PubMachineryTables!$AM$70</f>
        <v>4.8939818019913757</v>
      </c>
      <c r="E1570" s="166">
        <f>TillageOperations!$L$30*$C$1485</f>
        <v>0</v>
      </c>
      <c r="F1570" s="166">
        <f>D1570*E1570</f>
        <v>0</v>
      </c>
      <c r="G1570" s="163" t="e">
        <f t="shared" si="127"/>
        <v>#DIV/0!</v>
      </c>
    </row>
    <row r="1571" spans="2:7">
      <c r="B1571" t="str">
        <f>TillageOperations!$B$30&amp;" (Labor)"</f>
        <v>Combine (Labor)</v>
      </c>
      <c r="C1571" s="464" t="s">
        <v>157</v>
      </c>
      <c r="D1571" s="166">
        <f>PubMachineryTables!$AL$70</f>
        <v>1.591683823529412</v>
      </c>
      <c r="E1571" s="166">
        <f>TillageOperations!$L$30*$C$1485</f>
        <v>0</v>
      </c>
      <c r="F1571" s="166">
        <f>D1571*E1571</f>
        <v>0</v>
      </c>
      <c r="G1571" s="163" t="e">
        <f t="shared" si="127"/>
        <v>#DIV/0!</v>
      </c>
    </row>
    <row r="1572" spans="2:7">
      <c r="B1572" t="str">
        <f>TillageOperations!$B$31&amp;" (Repairs, maint., fuel &amp; lube)"</f>
        <v>Grain Cart (Repairs, maint., fuel &amp; lube)</v>
      </c>
      <c r="C1572" s="464" t="s">
        <v>157</v>
      </c>
      <c r="D1572" s="166">
        <f>PubMachineryTables!$AN$71+PubMachineryTables!$AM$71</f>
        <v>3.2163097667975675</v>
      </c>
      <c r="E1572" s="166">
        <f>TillageOperations!$L$31*$C$1485</f>
        <v>0</v>
      </c>
      <c r="F1572" s="166">
        <f>D1572*E1572</f>
        <v>0</v>
      </c>
      <c r="G1572" s="163" t="e">
        <f t="shared" si="127"/>
        <v>#DIV/0!</v>
      </c>
    </row>
    <row r="1573" spans="2:7">
      <c r="B1573" t="str">
        <f>TillageOperations!$B$31&amp;" (Labor)"</f>
        <v>Grain Cart (Labor)</v>
      </c>
      <c r="C1573" s="464" t="s">
        <v>157</v>
      </c>
      <c r="D1573" s="166">
        <f>PubMachineryTables!$AL$71</f>
        <v>1.591683823529412</v>
      </c>
      <c r="E1573" s="166">
        <f>TillageOperations!$L$31*$C$1485</f>
        <v>0</v>
      </c>
      <c r="F1573" s="166">
        <f>D1573*E1573</f>
        <v>0</v>
      </c>
      <c r="G1573" s="163" t="e">
        <f t="shared" si="127"/>
        <v>#DIV/0!</v>
      </c>
    </row>
    <row r="1574" spans="2:7">
      <c r="B1574" t="str">
        <f>TillageOperations!$B$32&amp;" (Repairs, maint., fuel &amp; lube)"</f>
        <v>Swather (Repairs, maint., fuel &amp; lube)</v>
      </c>
      <c r="C1574" s="464" t="s">
        <v>157</v>
      </c>
      <c r="D1574" s="166">
        <f>PubMachineryTables!$AN$72+PubMachineryTables!$AM$72</f>
        <v>2.0239999999999996</v>
      </c>
      <c r="E1574" s="166">
        <f>TillageOperations!$L$32*$C$1485</f>
        <v>0</v>
      </c>
      <c r="F1574" s="166">
        <f t="shared" ref="F1574:F1598" si="129">D1574*E1574</f>
        <v>0</v>
      </c>
      <c r="G1574" s="163" t="e">
        <f t="shared" si="127"/>
        <v>#DIV/0!</v>
      </c>
    </row>
    <row r="1575" spans="2:7">
      <c r="B1575" t="str">
        <f>TillageOperations!$B$32&amp;" (Labor)"</f>
        <v>Swather (Labor)</v>
      </c>
      <c r="C1575" s="464" t="s">
        <v>157</v>
      </c>
      <c r="D1575" s="166">
        <f>PubMachineryTables!$AL$72</f>
        <v>2.1646900000000002</v>
      </c>
      <c r="E1575" s="166">
        <f>TillageOperations!$L$32*$C$1485</f>
        <v>0</v>
      </c>
      <c r="F1575" s="166">
        <f t="shared" si="129"/>
        <v>0</v>
      </c>
      <c r="G1575" s="163" t="e">
        <f t="shared" si="127"/>
        <v>#DIV/0!</v>
      </c>
    </row>
    <row r="1576" spans="2:7">
      <c r="B1576" t="str">
        <f>TillageOperations!$B$33&amp;" (Repairs, maint., fuel &amp; lube)"</f>
        <v>Baler (Repairs, maint., fuel &amp; lube)</v>
      </c>
      <c r="C1576" s="464" t="s">
        <v>157</v>
      </c>
      <c r="D1576" s="166">
        <f>PubMachineryTables!$AN$73+PubMachineryTables!$AM$73</f>
        <v>3.953125</v>
      </c>
      <c r="E1576" s="166">
        <f>TillageOperations!$L$33*$C$1485</f>
        <v>0</v>
      </c>
      <c r="F1576" s="166">
        <f t="shared" si="129"/>
        <v>0</v>
      </c>
      <c r="G1576" s="163" t="e">
        <f t="shared" si="127"/>
        <v>#DIV/0!</v>
      </c>
    </row>
    <row r="1577" spans="2:7">
      <c r="B1577" t="str">
        <f>TillageOperations!$B$33&amp;" (Labor)"</f>
        <v>Baler (Labor)</v>
      </c>
      <c r="C1577" s="464" t="s">
        <v>157</v>
      </c>
      <c r="D1577" s="166">
        <f>PubMachineryTables!$AL$73</f>
        <v>3.3823281250000004</v>
      </c>
      <c r="E1577" s="166">
        <f>TillageOperations!$L$33*$C$1485</f>
        <v>0</v>
      </c>
      <c r="F1577" s="166">
        <f t="shared" si="129"/>
        <v>0</v>
      </c>
      <c r="G1577" s="163" t="e">
        <f t="shared" si="127"/>
        <v>#DIV/0!</v>
      </c>
    </row>
    <row r="1578" spans="2:7">
      <c r="B1578" t="str">
        <f>TillageOperations!$B$34&amp;" (Repairs, maint., fuel &amp; lube)"</f>
        <v>Swather (Repairs, maint., fuel &amp; lube)</v>
      </c>
      <c r="C1578" s="464" t="s">
        <v>157</v>
      </c>
      <c r="D1578" s="166">
        <f>PubMachineryTables!$AN$74+PubMachineryTables!$AM$74</f>
        <v>19.46153846153846</v>
      </c>
      <c r="E1578" s="166">
        <f>TillageOperations!$L$34*$C$1485</f>
        <v>0</v>
      </c>
      <c r="F1578" s="166">
        <f t="shared" si="129"/>
        <v>0</v>
      </c>
      <c r="G1578" s="163" t="e">
        <f t="shared" si="127"/>
        <v>#DIV/0!</v>
      </c>
    </row>
    <row r="1579" spans="2:7">
      <c r="B1579" t="str">
        <f>TillageOperations!$B$34&amp;" (Labor)"</f>
        <v>Swather (Labor)</v>
      </c>
      <c r="C1579" s="464" t="s">
        <v>157</v>
      </c>
      <c r="D1579" s="166">
        <f>PubMachineryTables!$AL$74</f>
        <v>20.814326923076923</v>
      </c>
      <c r="E1579" s="166">
        <f>TillageOperations!$L$34*$C$1485</f>
        <v>0</v>
      </c>
      <c r="F1579" s="166">
        <f t="shared" si="129"/>
        <v>0</v>
      </c>
      <c r="G1579" s="163" t="e">
        <f t="shared" si="127"/>
        <v>#DIV/0!</v>
      </c>
    </row>
    <row r="1580" spans="2:7">
      <c r="B1580" t="str">
        <f>TillageOperations!$B$35&amp;" (Repairs, maint., fuel &amp; lube)"</f>
        <v>Baler (Repairs, maint., fuel &amp; lube)</v>
      </c>
      <c r="C1580" s="464" t="s">
        <v>157</v>
      </c>
      <c r="D1580" s="166">
        <f>PubMachineryTables!$AN$75+PubMachineryTables!$AM$75</f>
        <v>24.326923076923073</v>
      </c>
      <c r="E1580" s="166">
        <f>TillageOperations!$L$35*$C$1485</f>
        <v>0</v>
      </c>
      <c r="F1580" s="166">
        <f t="shared" si="129"/>
        <v>0</v>
      </c>
      <c r="G1580" s="163" t="e">
        <f t="shared" si="127"/>
        <v>#DIV/0!</v>
      </c>
    </row>
    <row r="1581" spans="2:7">
      <c r="B1581" t="str">
        <f>TillageOperations!$B$35&amp;" (Labor)"</f>
        <v>Baler (Labor)</v>
      </c>
      <c r="C1581" s="464" t="s">
        <v>157</v>
      </c>
      <c r="D1581" s="166">
        <f>PubMachineryTables!$AL$75</f>
        <v>20.814326923076923</v>
      </c>
      <c r="E1581" s="166">
        <f>TillageOperations!$L$35*$C$1485</f>
        <v>0</v>
      </c>
      <c r="F1581" s="166">
        <f t="shared" si="129"/>
        <v>0</v>
      </c>
      <c r="G1581" s="163" t="e">
        <f t="shared" si="127"/>
        <v>#DIV/0!</v>
      </c>
    </row>
    <row r="1582" spans="2:7">
      <c r="B1582" t="str">
        <f>'Inputs&amp;PricesbyCrop'!$B$31</f>
        <v xml:space="preserve">   - Baling Twine</v>
      </c>
      <c r="C1582" s="137" t="str">
        <f>'Inputs&amp;PricesbyCrop'!$C$31</f>
        <v>acre</v>
      </c>
      <c r="D1582" s="166">
        <f>'Inputs&amp;PricesbyCrop'!$M$31</f>
        <v>0</v>
      </c>
      <c r="E1582" s="166">
        <f>C1485</f>
        <v>0</v>
      </c>
      <c r="F1582" s="166">
        <f t="shared" si="129"/>
        <v>0</v>
      </c>
      <c r="G1582" s="163" t="e">
        <f t="shared" si="127"/>
        <v>#DIV/0!</v>
      </c>
    </row>
    <row r="1583" spans="2:7">
      <c r="B1583" t="str">
        <f>TillageOperations!$B$36&amp;" (Repairs, maint., fuel &amp; lube)"</f>
        <v>Bale Wagon (Repairs, maint., fuel &amp; lube)</v>
      </c>
      <c r="C1583" s="464" t="s">
        <v>157</v>
      </c>
      <c r="D1583" s="166">
        <f>PubMachineryTables!$AN$76+PubMachineryTables!$AM$76</f>
        <v>3.1624999999999996</v>
      </c>
      <c r="E1583" s="166">
        <f>TillageOperations!$L$36*$C$1485</f>
        <v>0</v>
      </c>
      <c r="F1583" s="166">
        <f t="shared" si="129"/>
        <v>0</v>
      </c>
      <c r="G1583" s="163" t="e">
        <f t="shared" si="127"/>
        <v>#DIV/0!</v>
      </c>
    </row>
    <row r="1584" spans="2:7">
      <c r="B1584" t="str">
        <f>TillageOperations!$B$36&amp;" (Labor)"</f>
        <v>Bale Wagon (Labor)</v>
      </c>
      <c r="C1584" s="464" t="s">
        <v>157</v>
      </c>
      <c r="D1584" s="166">
        <f>PubMachineryTables!$AL$76</f>
        <v>3.3823281250000004</v>
      </c>
      <c r="E1584" s="166">
        <f>TillageOperations!$L$36*$C$1485</f>
        <v>0</v>
      </c>
      <c r="F1584" s="166">
        <f t="shared" si="129"/>
        <v>0</v>
      </c>
      <c r="G1584" s="163" t="e">
        <f t="shared" si="127"/>
        <v>#DIV/0!</v>
      </c>
    </row>
    <row r="1585" spans="2:7">
      <c r="B1585" t="str">
        <f>TillageOperations!$B$23&amp;" (Repairs, maint., fuel &amp; lube)"</f>
        <v>Fertilizer Spreader (Repairs, maint., fuel &amp; lube)</v>
      </c>
      <c r="C1585" s="464" t="s">
        <v>157</v>
      </c>
      <c r="D1585" s="166">
        <f>PubMachineryTables!$AM$64+PubMachineryTables!$AN$64</f>
        <v>2.6573732562743069</v>
      </c>
      <c r="E1585" s="166">
        <f>TillageOperations!$L$23*$C$1485</f>
        <v>0</v>
      </c>
      <c r="F1585" s="168">
        <f t="shared" si="129"/>
        <v>0</v>
      </c>
      <c r="G1585" s="163" t="e">
        <f t="shared" si="127"/>
        <v>#DIV/0!</v>
      </c>
    </row>
    <row r="1586" spans="2:7">
      <c r="B1586" t="str">
        <f>TillageOperations!$B$23&amp;" (Labor)"</f>
        <v>Fertilizer Spreader (Labor)</v>
      </c>
      <c r="C1586" s="464" t="s">
        <v>157</v>
      </c>
      <c r="D1586" s="166">
        <f>PubMachineryTables!$AL$64</f>
        <v>1.879071180555556</v>
      </c>
      <c r="E1586" s="166">
        <f>TillageOperations!$L$23*$C$1485</f>
        <v>0</v>
      </c>
      <c r="F1586" s="168">
        <f t="shared" si="129"/>
        <v>0</v>
      </c>
      <c r="G1586" s="163" t="e">
        <f t="shared" si="127"/>
        <v>#DIV/0!</v>
      </c>
    </row>
    <row r="1587" spans="2:7">
      <c r="B1587" t="str">
        <f>TillageOperations!$B$24&amp;" (Repairs, maint., fuel &amp; lube)"</f>
        <v>Fertilizer Injection System (Repairs, maint., fuel &amp; lube)</v>
      </c>
      <c r="C1587" s="464" t="s">
        <v>157</v>
      </c>
      <c r="D1587" s="166">
        <f>PubMachineryTables!$AM$65+PubMachineryTables!$AN$65</f>
        <v>8.4333333333333336</v>
      </c>
      <c r="E1587" s="166">
        <f>TillageOperations!$L$24*$C$1485</f>
        <v>0</v>
      </c>
      <c r="F1587" s="168">
        <f t="shared" si="129"/>
        <v>0</v>
      </c>
      <c r="G1587" s="163" t="e">
        <f t="shared" si="127"/>
        <v>#DIV/0!</v>
      </c>
    </row>
    <row r="1588" spans="2:7">
      <c r="B1588" t="str">
        <f>TillageOperations!$B$24&amp;" (Labor)"</f>
        <v>Fertilizer Injection System (Labor)</v>
      </c>
      <c r="C1588" s="464" t="s">
        <v>157</v>
      </c>
      <c r="D1588" s="166">
        <f>PubMachineryTables!$AL$65</f>
        <v>4.5097708333333344</v>
      </c>
      <c r="E1588" s="166">
        <f>TillageOperations!$L$24*$C$1485</f>
        <v>0</v>
      </c>
      <c r="F1588" s="168">
        <f t="shared" si="129"/>
        <v>0</v>
      </c>
      <c r="G1588" s="163" t="e">
        <f t="shared" si="127"/>
        <v>#DIV/0!</v>
      </c>
    </row>
    <row r="1589" spans="2:7">
      <c r="B1589" t="str">
        <f>TillageOperations!$B$25&amp;" (Repairs, maint., fuel &amp; lube)"</f>
        <v>Boom Sprayer (Repairs, maint., fuel &amp; lube)</v>
      </c>
      <c r="C1589" s="464" t="s">
        <v>157</v>
      </c>
      <c r="D1589" s="166">
        <f>PubMachineryTables!AN$66+PubMachineryTables!$AM$66</f>
        <v>1.5996307048468115</v>
      </c>
      <c r="E1589" s="166">
        <f>TillageOperations!$L$25*$C$1485</f>
        <v>0</v>
      </c>
      <c r="F1589" s="166">
        <f t="shared" si="129"/>
        <v>0</v>
      </c>
      <c r="G1589" s="163" t="e">
        <f t="shared" si="127"/>
        <v>#DIV/0!</v>
      </c>
    </row>
    <row r="1590" spans="2:7">
      <c r="B1590" t="str">
        <f>TillageOperations!$B$25&amp;" (Labor)"</f>
        <v>Boom Sprayer (Labor)</v>
      </c>
      <c r="C1590" s="464" t="s">
        <v>157</v>
      </c>
      <c r="D1590" s="166">
        <f>PubMachineryTables!$AL$66</f>
        <v>1.1893901098901098</v>
      </c>
      <c r="E1590" s="166">
        <f>TillageOperations!$L$25*$C$1485</f>
        <v>0</v>
      </c>
      <c r="F1590" s="166">
        <f t="shared" si="129"/>
        <v>0</v>
      </c>
      <c r="G1590" s="163" t="e">
        <f t="shared" si="127"/>
        <v>#DIV/0!</v>
      </c>
    </row>
    <row r="1591" spans="2:7">
      <c r="B1591" t="str">
        <f>TillageOperations!$B$22&amp;" (Repairs, maint., fuel &amp; lube)"</f>
        <v>Transplanter (Repairs, maint., fuel &amp; lube)</v>
      </c>
      <c r="C1591" s="464" t="s">
        <v>157</v>
      </c>
      <c r="D1591" s="166">
        <f>PubMachineryTables!AN$63+PubMachineryTables!$AM$63</f>
        <v>61.668749999999996</v>
      </c>
      <c r="E1591" s="166">
        <f>TillageOperations!$L$22*$C$1485</f>
        <v>0</v>
      </c>
      <c r="F1591" s="166">
        <f>D1591*E1591</f>
        <v>0</v>
      </c>
      <c r="G1591" s="163" t="e">
        <f t="shared" si="127"/>
        <v>#DIV/0!</v>
      </c>
    </row>
    <row r="1592" spans="2:7">
      <c r="B1592" t="str">
        <f>TillageOperations!$B$22&amp;" (Labor)"</f>
        <v>Transplanter (Labor)</v>
      </c>
      <c r="C1592" s="464" t="s">
        <v>157</v>
      </c>
      <c r="D1592" s="166">
        <f>PubMachineryTables!$AL$63</f>
        <v>20.293968750000001</v>
      </c>
      <c r="E1592" s="166">
        <f>TillageOperations!$L$22*$C$1485</f>
        <v>0</v>
      </c>
      <c r="F1592" s="166">
        <f t="shared" si="129"/>
        <v>0</v>
      </c>
      <c r="G1592" s="163" t="e">
        <f t="shared" si="127"/>
        <v>#DIV/0!</v>
      </c>
    </row>
    <row r="1593" spans="2:7">
      <c r="B1593" t="str">
        <f>'Inputs&amp;PricesbyCrop'!$B$14</f>
        <v>Additional Land Prep. Labor</v>
      </c>
      <c r="C1593" s="137" t="str">
        <f>'Inputs&amp;PricesbyCrop'!$C$14</f>
        <v>hour</v>
      </c>
      <c r="D1593" s="166">
        <f>GeneralInputPrices!$D$30</f>
        <v>14.55</v>
      </c>
      <c r="E1593" s="166">
        <f>'Inputs&amp;PricesbyCrop'!$M$14*BASEBUDGETS!$C1485</f>
        <v>0</v>
      </c>
      <c r="F1593" s="166">
        <f t="shared" si="129"/>
        <v>0</v>
      </c>
      <c r="G1593" s="163" t="e">
        <f t="shared" si="127"/>
        <v>#DIV/0!</v>
      </c>
    </row>
    <row r="1594" spans="2:7">
      <c r="B1594" t="str">
        <f>'Inputs&amp;PricesbyCrop'!$B$15</f>
        <v>Additional Land Prep. Labor</v>
      </c>
      <c r="C1594" s="137" t="str">
        <f>'Inputs&amp;PricesbyCrop'!$C$15</f>
        <v>hour</v>
      </c>
      <c r="D1594" s="166">
        <f>GeneralInputPrices!$D$30</f>
        <v>14.55</v>
      </c>
      <c r="E1594" s="166">
        <f>'Inputs&amp;PricesbyCrop'!$M$15*BASEBUDGETS!$C1485</f>
        <v>0</v>
      </c>
      <c r="F1594" s="166">
        <f t="shared" si="129"/>
        <v>0</v>
      </c>
      <c r="G1594" s="163" t="e">
        <f t="shared" si="127"/>
        <v>#DIV/0!</v>
      </c>
    </row>
    <row r="1595" spans="2:7">
      <c r="B1595" t="str">
        <f>'Inputs&amp;PricesbyCrop'!$B$17</f>
        <v>Additional Crop Prod. Labor</v>
      </c>
      <c r="C1595" s="137" t="str">
        <f>'Inputs&amp;PricesbyCrop'!$C$17</f>
        <v>hour</v>
      </c>
      <c r="D1595" s="166">
        <f>GeneralInputPrices!$D$31</f>
        <v>14.55</v>
      </c>
      <c r="E1595" s="166">
        <f>'Inputs&amp;PricesbyCrop'!$M$17*BASEBUDGETS!$C1485</f>
        <v>0</v>
      </c>
      <c r="F1595" s="166">
        <f t="shared" si="129"/>
        <v>0</v>
      </c>
      <c r="G1595" s="163" t="e">
        <f t="shared" si="127"/>
        <v>#DIV/0!</v>
      </c>
    </row>
    <row r="1596" spans="2:7">
      <c r="B1596" t="str">
        <f>'Inputs&amp;PricesbyCrop'!$B$18</f>
        <v>Additional Crop Prod. Labor</v>
      </c>
      <c r="C1596" s="137" t="str">
        <f>'Inputs&amp;PricesbyCrop'!$C$18</f>
        <v>hour</v>
      </c>
      <c r="D1596" s="166">
        <f>GeneralInputPrices!$D$31</f>
        <v>14.55</v>
      </c>
      <c r="E1596" s="166">
        <f>'Inputs&amp;PricesbyCrop'!$M$18*BASEBUDGETS!$C1485</f>
        <v>0</v>
      </c>
      <c r="F1596" s="166">
        <f t="shared" si="129"/>
        <v>0</v>
      </c>
      <c r="G1596" s="163" t="e">
        <f t="shared" si="127"/>
        <v>#DIV/0!</v>
      </c>
    </row>
    <row r="1597" spans="2:7">
      <c r="B1597" t="str">
        <f>'Inputs&amp;PricesbyCrop'!$B$20</f>
        <v>Additional Harvest Labor</v>
      </c>
      <c r="C1597" s="137" t="str">
        <f>'Inputs&amp;PricesbyCrop'!$C$20</f>
        <v>hour</v>
      </c>
      <c r="D1597" s="166">
        <f>GeneralInputPrices!$D$32</f>
        <v>17.89</v>
      </c>
      <c r="E1597" s="166">
        <f>'Inputs&amp;PricesbyCrop'!$M$20*BASEBUDGETS!$C1485</f>
        <v>0</v>
      </c>
      <c r="F1597" s="166">
        <f t="shared" si="129"/>
        <v>0</v>
      </c>
      <c r="G1597" s="163" t="e">
        <f t="shared" si="127"/>
        <v>#DIV/0!</v>
      </c>
    </row>
    <row r="1598" spans="2:7">
      <c r="B1598" t="str">
        <f>'Inputs&amp;PricesbyCrop'!$B$21</f>
        <v>Additional Harvest Labor</v>
      </c>
      <c r="C1598" s="137" t="str">
        <f>'Inputs&amp;PricesbyCrop'!$C$21</f>
        <v>hour</v>
      </c>
      <c r="D1598" s="166">
        <f>GeneralInputPrices!$D$32</f>
        <v>17.89</v>
      </c>
      <c r="E1598" s="166">
        <f>'Inputs&amp;PricesbyCrop'!$M$21*BASEBUDGETS!$C1485</f>
        <v>0</v>
      </c>
      <c r="F1598" s="166">
        <f t="shared" si="129"/>
        <v>0</v>
      </c>
      <c r="G1598" s="163" t="e">
        <f t="shared" si="127"/>
        <v>#DIV/0!</v>
      </c>
    </row>
    <row r="1599" spans="2:7">
      <c r="B1599" t="s">
        <v>59</v>
      </c>
      <c r="C1599" s="137" t="str">
        <f>GeneralInputPrices!$C$34</f>
        <v>percent</v>
      </c>
      <c r="D1599" s="138">
        <f>GeneralInputPrices!$D$34</f>
        <v>0.05</v>
      </c>
      <c r="E1599" s="75" t="s">
        <v>10</v>
      </c>
      <c r="F1599" s="37">
        <f>SUM(F1493:F1598)*D1599</f>
        <v>0</v>
      </c>
      <c r="G1599" s="163" t="e">
        <f t="shared" si="127"/>
        <v>#DIV/0!</v>
      </c>
    </row>
    <row r="1600" spans="2:7">
      <c r="B1600" t="s">
        <v>60</v>
      </c>
      <c r="C1600" s="137" t="str">
        <f>GeneralInputPrices!$C$34</f>
        <v>percent</v>
      </c>
      <c r="D1600" s="138">
        <f>GeneralInputPrices!$D$35</f>
        <v>0.06</v>
      </c>
      <c r="F1600" s="139">
        <f>SUM(F1493:F1599)*((D1600/12)*GeneralInputPrices!$D$39)</f>
        <v>0</v>
      </c>
      <c r="G1600" s="163" t="e">
        <f t="shared" si="127"/>
        <v>#DIV/0!</v>
      </c>
    </row>
    <row r="1601" spans="2:7">
      <c r="B1601" t="s">
        <v>61</v>
      </c>
      <c r="D1601" s="454"/>
      <c r="F1601" s="37">
        <f>SUM(F1493:F1600)</f>
        <v>0</v>
      </c>
      <c r="G1601" s="163" t="e">
        <f t="shared" si="127"/>
        <v>#DIV/0!</v>
      </c>
    </row>
    <row r="1602" spans="2:7">
      <c r="D1602" s="454"/>
      <c r="G1602" s="163" t="e">
        <f t="shared" si="127"/>
        <v>#DIV/0!</v>
      </c>
    </row>
    <row r="1603" spans="2:7">
      <c r="B1603" s="140" t="s">
        <v>129</v>
      </c>
      <c r="C1603" s="458" t="s">
        <v>1</v>
      </c>
      <c r="D1603" s="459" t="s">
        <v>24</v>
      </c>
      <c r="E1603" s="460" t="s">
        <v>25</v>
      </c>
      <c r="F1603" s="460" t="s">
        <v>0</v>
      </c>
      <c r="G1603" s="163" t="e">
        <f t="shared" si="127"/>
        <v>#VALUE!</v>
      </c>
    </row>
    <row r="1604" spans="2:7">
      <c r="B1604" t="str">
        <f>GeneralInputPrices!$B$15&amp;" - Upfront Costs for New System"</f>
        <v>Flood - Upfront Costs for New System</v>
      </c>
      <c r="C1604" s="453" t="str">
        <f>GeneralInputPrices!$C$16</f>
        <v>acre</v>
      </c>
      <c r="D1604" s="166">
        <f>IF('BreakevenInputs&amp;Resources'!T$16=0,0,(('BreakevenInputs&amp;Resources'!T$16/GeneralInputPrices!$D$17)*('AcresYieldsPrices&amp;Water'!$Q$17/'AcresYieldsPrices&amp;Water'!$Q$31))/$C1485)</f>
        <v>0</v>
      </c>
      <c r="E1604" s="166">
        <f>$C1485</f>
        <v>0</v>
      </c>
      <c r="F1604" s="166">
        <f>D1604*E1604</f>
        <v>0</v>
      </c>
      <c r="G1604" s="163" t="e">
        <f t="shared" si="127"/>
        <v>#DIV/0!</v>
      </c>
    </row>
    <row r="1605" spans="2:7">
      <c r="B1605" t="str">
        <f>GeneralInputPrices!$B$19&amp;" - Upfront Costs for New System"</f>
        <v>Drip-tape - Upfront Costs for New System</v>
      </c>
      <c r="C1605" s="453" t="str">
        <f>GeneralInputPrices!$C$20</f>
        <v>acre</v>
      </c>
      <c r="D1605" s="166">
        <f>IF('BreakevenInputs&amp;Resources'!T$17=0,0,(('BreakevenInputs&amp;Resources'!T$17/GeneralInputPrices!$D$21)*('AcresYieldsPrices&amp;Water'!$Q$17/'AcresYieldsPrices&amp;Water'!$Q$31))/$C1485)</f>
        <v>0</v>
      </c>
      <c r="E1605" s="166">
        <f>$C1485</f>
        <v>0</v>
      </c>
      <c r="F1605" s="166">
        <f>D1605*E1605</f>
        <v>0</v>
      </c>
      <c r="G1605" s="163" t="e">
        <f t="shared" si="127"/>
        <v>#DIV/0!</v>
      </c>
    </row>
    <row r="1606" spans="2:7">
      <c r="B1606" t="str">
        <f>GeneralInputPrices!$B$23&amp;" - Upfront Costs for New System"</f>
        <v>Sprinkler - Upfront Costs for New System</v>
      </c>
      <c r="C1606" s="453" t="str">
        <f>GeneralInputPrices!$C$24</f>
        <v>acre</v>
      </c>
      <c r="D1606" s="166">
        <f>IF('BreakevenInputs&amp;Resources'!T$18=0,0,(('BreakevenInputs&amp;Resources'!T$18/GeneralInputPrices!$D$25)*('AcresYieldsPrices&amp;Water'!$Q$17/'AcresYieldsPrices&amp;Water'!$Q$31))/$C1485)</f>
        <v>0</v>
      </c>
      <c r="E1606" s="166">
        <f>$C1485</f>
        <v>0</v>
      </c>
      <c r="F1606" s="166">
        <f>D1606*E1606</f>
        <v>0</v>
      </c>
      <c r="G1606" s="163" t="e">
        <f t="shared" si="127"/>
        <v>#DIV/0!</v>
      </c>
    </row>
    <row r="1607" spans="2:7">
      <c r="B1607" s="463" t="str">
        <f>TillageOperations!$B$7</f>
        <v>V-Ripper</v>
      </c>
      <c r="C1607" s="464" t="s">
        <v>157</v>
      </c>
      <c r="D1607" s="166">
        <f>PubMachineryTables!$AO$49</f>
        <v>209.18701372031111</v>
      </c>
      <c r="E1607" s="166">
        <f>E1536</f>
        <v>0</v>
      </c>
      <c r="F1607" s="168">
        <f t="shared" ref="F1607:F1618" si="130">D1607*E1607</f>
        <v>0</v>
      </c>
      <c r="G1607" s="163" t="e">
        <f t="shared" si="127"/>
        <v>#DIV/0!</v>
      </c>
    </row>
    <row r="1608" spans="2:7">
      <c r="B1608" s="463" t="str">
        <f>TillageOperations!$B$8</f>
        <v>Offset Disk</v>
      </c>
      <c r="C1608" s="464" t="s">
        <v>157</v>
      </c>
      <c r="D1608" s="166">
        <f>PubMachineryTables!$AO$50</f>
        <v>42.467441655558019</v>
      </c>
      <c r="E1608" s="166">
        <f>E1538</f>
        <v>0</v>
      </c>
      <c r="F1608" s="166">
        <f t="shared" si="130"/>
        <v>0</v>
      </c>
      <c r="G1608" s="163" t="e">
        <f t="shared" si="127"/>
        <v>#DIV/0!</v>
      </c>
    </row>
    <row r="1609" spans="2:7">
      <c r="B1609" s="463" t="str">
        <f>TillageOperations!$B$9</f>
        <v>Drag</v>
      </c>
      <c r="C1609" s="464" t="s">
        <v>157</v>
      </c>
      <c r="D1609" s="166">
        <f>PubMachineryTables!$AO$51</f>
        <v>0</v>
      </c>
      <c r="E1609" s="166">
        <f>E1540</f>
        <v>0</v>
      </c>
      <c r="F1609" s="166">
        <f t="shared" si="130"/>
        <v>0</v>
      </c>
      <c r="G1609" s="163" t="e">
        <f t="shared" si="127"/>
        <v>#DIV/0!</v>
      </c>
    </row>
    <row r="1610" spans="2:7">
      <c r="B1610" s="463" t="str">
        <f>TillageOperations!$B$10</f>
        <v>Chisel</v>
      </c>
      <c r="C1610" s="464" t="s">
        <v>157</v>
      </c>
      <c r="D1610" s="166">
        <f>PubMachineryTables!$AO$52</f>
        <v>40.724752902248241</v>
      </c>
      <c r="E1610" s="166">
        <f>E1542</f>
        <v>0</v>
      </c>
      <c r="F1610" s="166">
        <f t="shared" si="130"/>
        <v>0</v>
      </c>
      <c r="G1610" s="163" t="e">
        <f t="shared" si="127"/>
        <v>#DIV/0!</v>
      </c>
    </row>
    <row r="1611" spans="2:7">
      <c r="B1611" s="463" t="str">
        <f>TillageOperations!$B$11</f>
        <v>Moldboard Plow</v>
      </c>
      <c r="C1611" s="464" t="s">
        <v>157</v>
      </c>
      <c r="D1611" s="166">
        <f>PubMachineryTables!$AO$53</f>
        <v>0</v>
      </c>
      <c r="E1611" s="166">
        <f>E1544</f>
        <v>0</v>
      </c>
      <c r="F1611" s="166">
        <f t="shared" si="130"/>
        <v>0</v>
      </c>
      <c r="G1611" s="163" t="e">
        <f t="shared" si="127"/>
        <v>#DIV/0!</v>
      </c>
    </row>
    <row r="1612" spans="2:7">
      <c r="B1612" s="463" t="str">
        <f>TillageOperations!$B$12</f>
        <v>Cultivator</v>
      </c>
      <c r="C1612" s="464" t="s">
        <v>157</v>
      </c>
      <c r="D1612" s="166">
        <f>PubMachineryTables!$AO$54</f>
        <v>0</v>
      </c>
      <c r="E1612" s="166">
        <f>E1546</f>
        <v>0</v>
      </c>
      <c r="F1612" s="166">
        <f t="shared" si="130"/>
        <v>0</v>
      </c>
      <c r="G1612" s="163" t="e">
        <f t="shared" si="127"/>
        <v>#DIV/0!</v>
      </c>
    </row>
    <row r="1613" spans="2:7">
      <c r="B1613" s="463" t="str">
        <f>TillageOperations!$B$13</f>
        <v>Landplane</v>
      </c>
      <c r="C1613" s="464" t="s">
        <v>157</v>
      </c>
      <c r="D1613" s="166">
        <f>PubMachineryTables!$AO$55</f>
        <v>107.77752986339607</v>
      </c>
      <c r="E1613" s="166">
        <f>E1548</f>
        <v>0</v>
      </c>
      <c r="F1613" s="166">
        <f t="shared" si="130"/>
        <v>0</v>
      </c>
      <c r="G1613" s="163" t="e">
        <f t="shared" si="127"/>
        <v>#DIV/0!</v>
      </c>
    </row>
    <row r="1614" spans="2:7">
      <c r="B1614" s="463" t="str">
        <f>TillageOperations!$B$14</f>
        <v>Float</v>
      </c>
      <c r="C1614" s="464" t="s">
        <v>157</v>
      </c>
      <c r="D1614" s="166">
        <f>PubMachineryTables!$AO$56</f>
        <v>0</v>
      </c>
      <c r="E1614" s="166">
        <f>E1550</f>
        <v>0</v>
      </c>
      <c r="F1614" s="166">
        <f t="shared" si="130"/>
        <v>0</v>
      </c>
      <c r="G1614" s="163" t="e">
        <f t="shared" si="127"/>
        <v>#DIV/0!</v>
      </c>
    </row>
    <row r="1615" spans="2:7">
      <c r="B1615" s="463" t="str">
        <f>TillageOperations!$B$15</f>
        <v>Lister</v>
      </c>
      <c r="C1615" s="464" t="s">
        <v>157</v>
      </c>
      <c r="D1615" s="166">
        <f>PubMachineryTables!$AO$57</f>
        <v>72.676050764764099</v>
      </c>
      <c r="E1615" s="166">
        <f>E1552</f>
        <v>0</v>
      </c>
      <c r="F1615" s="166">
        <f t="shared" si="130"/>
        <v>0</v>
      </c>
      <c r="G1615" s="163" t="e">
        <f t="shared" si="127"/>
        <v>#DIV/0!</v>
      </c>
    </row>
    <row r="1616" spans="2:7">
      <c r="B1616" s="463" t="str">
        <f>TillageOperations!$B$16</f>
        <v>Bed Shaper</v>
      </c>
      <c r="C1616" s="464" t="s">
        <v>157</v>
      </c>
      <c r="D1616" s="166">
        <f>PubMachineryTables!$AO$58</f>
        <v>50.420091551988918</v>
      </c>
      <c r="E1616" s="166">
        <f>E1554</f>
        <v>0</v>
      </c>
      <c r="F1616" s="166">
        <f t="shared" si="130"/>
        <v>0</v>
      </c>
      <c r="G1616" s="163" t="e">
        <f t="shared" si="127"/>
        <v>#DIV/0!</v>
      </c>
    </row>
    <row r="1617" spans="2:7">
      <c r="B1617" s="463" t="str">
        <f>TillageOperations!$B$19</f>
        <v>Row Planter</v>
      </c>
      <c r="C1617" s="464" t="s">
        <v>157</v>
      </c>
      <c r="D1617" s="166">
        <f>PubMachineryTables!$AO$60</f>
        <v>218.60367298033367</v>
      </c>
      <c r="E1617" s="166">
        <f>E1556</f>
        <v>0</v>
      </c>
      <c r="F1617" s="166">
        <f t="shared" si="130"/>
        <v>0</v>
      </c>
      <c r="G1617" s="163" t="e">
        <f t="shared" si="127"/>
        <v>#DIV/0!</v>
      </c>
    </row>
    <row r="1618" spans="2:7">
      <c r="B1618" s="463" t="str">
        <f>TillageOperations!$B$20</f>
        <v>Row Cultivator</v>
      </c>
      <c r="C1618" s="464" t="s">
        <v>157</v>
      </c>
      <c r="D1618" s="166">
        <f>PubMachineryTables!$AO$61</f>
        <v>74.064902712939798</v>
      </c>
      <c r="E1618" s="166">
        <f>E1558</f>
        <v>0</v>
      </c>
      <c r="F1618" s="166">
        <f t="shared" si="130"/>
        <v>0</v>
      </c>
      <c r="G1618" s="163" t="e">
        <f t="shared" si="127"/>
        <v>#DIV/0!</v>
      </c>
    </row>
    <row r="1619" spans="2:7">
      <c r="B1619" s="465" t="str">
        <f>TillageOperations!$B$21</f>
        <v>Drill</v>
      </c>
      <c r="C1619" s="464" t="s">
        <v>157</v>
      </c>
      <c r="D1619" s="166">
        <f>PubMachineryTables!$AO$62</f>
        <v>51.837941761576523</v>
      </c>
      <c r="E1619" s="166">
        <f>E1560</f>
        <v>0</v>
      </c>
      <c r="F1619" s="166">
        <f t="shared" ref="F1619:F1623" si="131">D1619*E1619</f>
        <v>0</v>
      </c>
      <c r="G1619" s="163" t="e">
        <f t="shared" ref="G1619:G1641" si="132">F1619/C$1485</f>
        <v>#DIV/0!</v>
      </c>
    </row>
    <row r="1620" spans="2:7">
      <c r="B1620" s="463" t="str">
        <f>TillageOperations!$B$27</f>
        <v>Cotton Picker</v>
      </c>
      <c r="C1620" s="464" t="s">
        <v>157</v>
      </c>
      <c r="D1620" s="166">
        <f>PubMachineryTables!$AO$67</f>
        <v>0</v>
      </c>
      <c r="E1620" s="166">
        <f>E1562</f>
        <v>0</v>
      </c>
      <c r="F1620" s="166">
        <f t="shared" si="131"/>
        <v>0</v>
      </c>
      <c r="G1620" s="163" t="e">
        <f t="shared" si="132"/>
        <v>#DIV/0!</v>
      </c>
    </row>
    <row r="1621" spans="2:7">
      <c r="B1621" s="463" t="str">
        <f>TillageOperations!$B$28</f>
        <v>Module Unit</v>
      </c>
      <c r="C1621" s="464" t="s">
        <v>157</v>
      </c>
      <c r="D1621" s="166">
        <f>PubMachineryTables!$AO$68</f>
        <v>0</v>
      </c>
      <c r="E1621" s="166">
        <f>E1564</f>
        <v>0</v>
      </c>
      <c r="F1621" s="166">
        <f t="shared" si="131"/>
        <v>0</v>
      </c>
      <c r="G1621" s="163" t="e">
        <f t="shared" si="132"/>
        <v>#DIV/0!</v>
      </c>
    </row>
    <row r="1622" spans="2:7">
      <c r="B1622" s="463" t="str">
        <f>TillageOperations!$B$29</f>
        <v>Haul Cotton</v>
      </c>
      <c r="C1622" s="464" t="s">
        <v>157</v>
      </c>
      <c r="D1622" s="166">
        <f>PubMachineryTables!$AO$69</f>
        <v>0</v>
      </c>
      <c r="E1622" s="166">
        <f>E1566</f>
        <v>0</v>
      </c>
      <c r="F1622" s="166">
        <f t="shared" si="131"/>
        <v>0</v>
      </c>
      <c r="G1622" s="163" t="e">
        <f t="shared" si="132"/>
        <v>#DIV/0!</v>
      </c>
    </row>
    <row r="1623" spans="2:7">
      <c r="B1623" s="465" t="str">
        <f>TillageOperations!$B$17</f>
        <v>Cotton Shredder/Root Puller</v>
      </c>
      <c r="C1623" s="464" t="s">
        <v>157</v>
      </c>
      <c r="D1623" s="166">
        <f>PubMachineryTables!$AO$59</f>
        <v>0</v>
      </c>
      <c r="E1623" s="166">
        <f>E1568</f>
        <v>0</v>
      </c>
      <c r="F1623" s="166">
        <f t="shared" si="131"/>
        <v>0</v>
      </c>
      <c r="G1623" s="163" t="e">
        <f t="shared" si="132"/>
        <v>#DIV/0!</v>
      </c>
    </row>
    <row r="1624" spans="2:7">
      <c r="B1624" s="102" t="str">
        <f>TillageOperations!$B$30</f>
        <v>Combine</v>
      </c>
      <c r="C1624" s="464" t="s">
        <v>157</v>
      </c>
      <c r="D1624" s="166">
        <f>PubMachineryTables!$AO$70</f>
        <v>154.43457969840463</v>
      </c>
      <c r="E1624" s="166">
        <f>E1570</f>
        <v>0</v>
      </c>
      <c r="F1624" s="166">
        <f>D1624*E1624</f>
        <v>0</v>
      </c>
      <c r="G1624" s="163" t="e">
        <f t="shared" si="132"/>
        <v>#DIV/0!</v>
      </c>
    </row>
    <row r="1625" spans="2:7">
      <c r="B1625" s="102" t="str">
        <f>TillageOperations!$B$31</f>
        <v>Grain Cart</v>
      </c>
      <c r="C1625" s="464" t="s">
        <v>157</v>
      </c>
      <c r="D1625" s="166">
        <f>PubMachineryTables!$AO$71</f>
        <v>25.28843211678571</v>
      </c>
      <c r="E1625" s="166">
        <f>E1572</f>
        <v>0</v>
      </c>
      <c r="F1625" s="166">
        <f>D1625*E1625</f>
        <v>0</v>
      </c>
      <c r="G1625" s="163" t="e">
        <f t="shared" si="132"/>
        <v>#DIV/0!</v>
      </c>
    </row>
    <row r="1626" spans="2:7">
      <c r="B1626" s="102" t="str">
        <f>TillageOperations!$B$32</f>
        <v>Swather</v>
      </c>
      <c r="C1626" s="464" t="s">
        <v>157</v>
      </c>
      <c r="D1626" s="166">
        <f>PubMachineryTables!$AO$72</f>
        <v>0</v>
      </c>
      <c r="E1626" s="166">
        <f>E1574</f>
        <v>0</v>
      </c>
      <c r="F1626" s="166">
        <f>D1626*E1626</f>
        <v>0</v>
      </c>
      <c r="G1626" s="163" t="e">
        <f t="shared" si="132"/>
        <v>#DIV/0!</v>
      </c>
    </row>
    <row r="1627" spans="2:7">
      <c r="B1627" s="102" t="str">
        <f>TillageOperations!$B$33</f>
        <v>Baler</v>
      </c>
      <c r="C1627" s="464" t="s">
        <v>157</v>
      </c>
      <c r="D1627" s="166">
        <f>PubMachineryTables!$AO$73</f>
        <v>0</v>
      </c>
      <c r="E1627" s="166">
        <f>E1576</f>
        <v>0</v>
      </c>
      <c r="F1627" s="166">
        <f t="shared" ref="F1627:F1634" si="133">D1627*E1627</f>
        <v>0</v>
      </c>
      <c r="G1627" s="163" t="e">
        <f t="shared" si="132"/>
        <v>#DIV/0!</v>
      </c>
    </row>
    <row r="1628" spans="2:7">
      <c r="B1628" s="102" t="str">
        <f>TillageOperations!$B$34</f>
        <v>Swather</v>
      </c>
      <c r="C1628" s="464" t="s">
        <v>157</v>
      </c>
      <c r="D1628" s="166">
        <f>PubMachineryTables!$AO$74</f>
        <v>0</v>
      </c>
      <c r="E1628" s="166">
        <f>E1578</f>
        <v>0</v>
      </c>
      <c r="F1628" s="166">
        <f t="shared" si="133"/>
        <v>0</v>
      </c>
      <c r="G1628" s="163" t="e">
        <f t="shared" si="132"/>
        <v>#DIV/0!</v>
      </c>
    </row>
    <row r="1629" spans="2:7">
      <c r="B1629" s="102" t="str">
        <f>TillageOperations!$B$35</f>
        <v>Baler</v>
      </c>
      <c r="C1629" s="464" t="s">
        <v>157</v>
      </c>
      <c r="D1629" s="166">
        <f>PubMachineryTables!$AO$75</f>
        <v>0</v>
      </c>
      <c r="E1629" s="166">
        <f>E1580</f>
        <v>0</v>
      </c>
      <c r="F1629" s="166">
        <f t="shared" si="133"/>
        <v>0</v>
      </c>
      <c r="G1629" s="163" t="e">
        <f t="shared" si="132"/>
        <v>#DIV/0!</v>
      </c>
    </row>
    <row r="1630" spans="2:7">
      <c r="B1630" s="102" t="str">
        <f>TillageOperations!$B$36</f>
        <v>Bale Wagon</v>
      </c>
      <c r="C1630" s="464" t="s">
        <v>157</v>
      </c>
      <c r="D1630" s="166">
        <f>PubMachineryTables!$AO$76</f>
        <v>0</v>
      </c>
      <c r="E1630" s="166">
        <f>E1583</f>
        <v>0</v>
      </c>
      <c r="F1630" s="166">
        <f t="shared" si="133"/>
        <v>0</v>
      </c>
      <c r="G1630" s="163" t="e">
        <f t="shared" si="132"/>
        <v>#DIV/0!</v>
      </c>
    </row>
    <row r="1631" spans="2:7">
      <c r="B1631" s="102" t="str">
        <f>TillageOperations!$B$23</f>
        <v>Fertilizer Spreader</v>
      </c>
      <c r="C1631" s="464" t="s">
        <v>157</v>
      </c>
      <c r="D1631" s="166">
        <f>PubMachineryTables!$AO$64</f>
        <v>93.913865291400512</v>
      </c>
      <c r="E1631" s="166">
        <f>E1585</f>
        <v>0</v>
      </c>
      <c r="F1631" s="166">
        <f t="shared" si="133"/>
        <v>0</v>
      </c>
      <c r="G1631" s="163" t="e">
        <f t="shared" si="132"/>
        <v>#DIV/0!</v>
      </c>
    </row>
    <row r="1632" spans="2:7">
      <c r="B1632" s="102" t="str">
        <f>TillageOperations!$B$24</f>
        <v>Fertilizer Injection System</v>
      </c>
      <c r="C1632" s="464" t="s">
        <v>157</v>
      </c>
      <c r="D1632" s="166">
        <f>PubMachineryTables!$AO$65</f>
        <v>0</v>
      </c>
      <c r="E1632" s="166">
        <f>E1587</f>
        <v>0</v>
      </c>
      <c r="F1632" s="166">
        <f t="shared" si="133"/>
        <v>0</v>
      </c>
      <c r="G1632" s="163" t="e">
        <f t="shared" si="132"/>
        <v>#DIV/0!</v>
      </c>
    </row>
    <row r="1633" spans="2:7">
      <c r="B1633" s="102" t="str">
        <f>TillageOperations!$B$25</f>
        <v>Boom Sprayer</v>
      </c>
      <c r="C1633" s="464" t="s">
        <v>157</v>
      </c>
      <c r="D1633" s="166">
        <f>PubMachineryTables!$AO$66</f>
        <v>9.6826493425933542</v>
      </c>
      <c r="E1633" s="166">
        <f>E1589</f>
        <v>0</v>
      </c>
      <c r="F1633" s="166">
        <f t="shared" si="133"/>
        <v>0</v>
      </c>
      <c r="G1633" s="163" t="e">
        <f t="shared" si="132"/>
        <v>#DIV/0!</v>
      </c>
    </row>
    <row r="1634" spans="2:7">
      <c r="B1634" s="102" t="str">
        <f>TillageOperations!$B$22</f>
        <v>Transplanter</v>
      </c>
      <c r="C1634" s="464" t="s">
        <v>157</v>
      </c>
      <c r="D1634" s="166">
        <f>PubMachineryTables!$AO$63</f>
        <v>0</v>
      </c>
      <c r="E1634" s="166">
        <f>E1591</f>
        <v>0</v>
      </c>
      <c r="F1634" s="166">
        <f t="shared" si="133"/>
        <v>0</v>
      </c>
      <c r="G1634" s="163" t="e">
        <f t="shared" si="132"/>
        <v>#DIV/0!</v>
      </c>
    </row>
    <row r="1635" spans="2:7">
      <c r="B1635" t="str">
        <f>'Inputs&amp;PricesbyCrop'!$B$39</f>
        <v>Crop Insurance</v>
      </c>
      <c r="C1635" s="464" t="s">
        <v>157</v>
      </c>
      <c r="D1635" s="166">
        <f>'Inputs&amp;PricesbyCrop'!$M$39</f>
        <v>0</v>
      </c>
      <c r="E1635" s="169">
        <f t="shared" ref="E1635:E1640" si="134">$C$1485</f>
        <v>0</v>
      </c>
      <c r="F1635" s="166">
        <f>D1635*E1635</f>
        <v>0</v>
      </c>
      <c r="G1635" s="163" t="e">
        <f t="shared" si="132"/>
        <v>#DIV/0!</v>
      </c>
    </row>
    <row r="1636" spans="2:7">
      <c r="B1636" t="str">
        <f>'Inputs&amp;PricesbyCrop'!$B$40</f>
        <v>Property Insurance</v>
      </c>
      <c r="C1636" s="464" t="s">
        <v>157</v>
      </c>
      <c r="D1636" s="166">
        <f>'Inputs&amp;PricesbyCrop'!$M$40</f>
        <v>0</v>
      </c>
      <c r="E1636" s="169">
        <f t="shared" si="134"/>
        <v>0</v>
      </c>
      <c r="F1636" s="166">
        <f>D1636*E1636</f>
        <v>0</v>
      </c>
      <c r="G1636" s="163" t="e">
        <f t="shared" si="132"/>
        <v>#DIV/0!</v>
      </c>
    </row>
    <row r="1637" spans="2:7">
      <c r="B1637" t="str">
        <f>'Inputs&amp;PricesbyCrop'!$B$41</f>
        <v>Property Taxes</v>
      </c>
      <c r="C1637" s="464" t="s">
        <v>157</v>
      </c>
      <c r="D1637" s="166">
        <f>'Inputs&amp;PricesbyCrop'!$M$41</f>
        <v>0</v>
      </c>
      <c r="E1637" s="169">
        <f t="shared" si="134"/>
        <v>0</v>
      </c>
      <c r="F1637" s="166">
        <f t="shared" ref="F1637:F1640" si="135">D1637*E1637</f>
        <v>0</v>
      </c>
      <c r="G1637" s="163" t="e">
        <f t="shared" si="132"/>
        <v>#DIV/0!</v>
      </c>
    </row>
    <row r="1638" spans="2:7">
      <c r="B1638" t="str">
        <f>'Inputs&amp;PricesbyCrop'!$B$42</f>
        <v>Annual Cash Rent Payment</v>
      </c>
      <c r="C1638" s="464" t="s">
        <v>157</v>
      </c>
      <c r="D1638" s="166">
        <f>'Inputs&amp;PricesbyCrop'!$M$42</f>
        <v>170</v>
      </c>
      <c r="E1638" s="169">
        <f t="shared" si="134"/>
        <v>0</v>
      </c>
      <c r="F1638" s="166">
        <f t="shared" si="135"/>
        <v>0</v>
      </c>
      <c r="G1638" s="163" t="e">
        <f t="shared" si="132"/>
        <v>#DIV/0!</v>
      </c>
    </row>
    <row r="1639" spans="2:7">
      <c r="B1639" t="s">
        <v>484</v>
      </c>
      <c r="C1639" s="464" t="s">
        <v>157</v>
      </c>
      <c r="D1639" s="166">
        <f>'Sheet #10'!I103</f>
        <v>0</v>
      </c>
      <c r="E1639" s="169">
        <f t="shared" si="134"/>
        <v>0</v>
      </c>
      <c r="F1639" s="166">
        <f t="shared" ref="F1639" si="136">D1639*E1639</f>
        <v>0</v>
      </c>
      <c r="G1639" s="163" t="e">
        <f t="shared" si="132"/>
        <v>#DIV/0!</v>
      </c>
    </row>
    <row r="1640" spans="2:7">
      <c r="B1640" t="str">
        <f>'Inputs&amp;PricesbyCrop'!$B$49</f>
        <v>Licenses and Fees</v>
      </c>
      <c r="C1640" s="464" t="s">
        <v>157</v>
      </c>
      <c r="D1640" s="166">
        <f>'Inputs&amp;PricesbyCrop'!$M$49</f>
        <v>0</v>
      </c>
      <c r="E1640" s="169">
        <f t="shared" si="134"/>
        <v>0</v>
      </c>
      <c r="F1640" s="170">
        <f t="shared" si="135"/>
        <v>0</v>
      </c>
      <c r="G1640" s="163" t="e">
        <f t="shared" si="132"/>
        <v>#DIV/0!</v>
      </c>
    </row>
    <row r="1641" spans="2:7">
      <c r="B1641" t="s">
        <v>131</v>
      </c>
      <c r="D1641" s="454"/>
      <c r="F1641" s="37">
        <f>SUM(F1604:F1640)</f>
        <v>0</v>
      </c>
      <c r="G1641" s="163" t="e">
        <f t="shared" si="132"/>
        <v>#DIV/0!</v>
      </c>
    </row>
    <row r="1642" spans="2:7">
      <c r="D1642" s="454"/>
      <c r="G1642" s="163" t="e">
        <f>F1642/C$1485</f>
        <v>#DIV/0!</v>
      </c>
    </row>
    <row r="1643" spans="2:7">
      <c r="B1643" t="s">
        <v>63</v>
      </c>
      <c r="D1643" s="454"/>
      <c r="F1643" s="37">
        <f>F1641+F1601</f>
        <v>0</v>
      </c>
      <c r="G1643" s="163" t="e">
        <f t="shared" ref="G1643:G1644" si="137">F1643/C$1485</f>
        <v>#DIV/0!</v>
      </c>
    </row>
    <row r="1644" spans="2:7">
      <c r="B1644" t="s">
        <v>64</v>
      </c>
      <c r="D1644" s="454"/>
      <c r="F1644" s="37">
        <f>F1490-F1643</f>
        <v>0</v>
      </c>
      <c r="G1644" s="163" t="e">
        <f t="shared" si="137"/>
        <v>#DIV/0!</v>
      </c>
    </row>
    <row r="1645" spans="2:7">
      <c r="B1645" s="249" t="s">
        <v>276</v>
      </c>
      <c r="C1645" s="249" t="s">
        <v>4</v>
      </c>
      <c r="D1645" s="250" t="s">
        <v>277</v>
      </c>
      <c r="E1645" s="249" t="s">
        <v>278</v>
      </c>
      <c r="F1645" s="249" t="s">
        <v>279</v>
      </c>
      <c r="G1645" s="249"/>
    </row>
    <row r="1646" spans="2:7">
      <c r="B1646" s="135" t="str">
        <f>B1651</f>
        <v>Sorghum</v>
      </c>
      <c r="D1646" s="454"/>
    </row>
    <row r="1647" spans="2:7">
      <c r="B1647" t="s">
        <v>16</v>
      </c>
      <c r="C1647" s="457">
        <f>IF('AcresYieldsPrices&amp;Water'!D12=0,0,'AcresYieldsPrices&amp;Water'!D12)</f>
        <v>0</v>
      </c>
      <c r="D1647" s="454" t="s">
        <v>17</v>
      </c>
    </row>
    <row r="1648" spans="2:7">
      <c r="D1648" s="454"/>
    </row>
    <row r="1649" spans="2:7">
      <c r="B1649" t="s">
        <v>22</v>
      </c>
      <c r="D1649" s="454"/>
    </row>
    <row r="1650" spans="2:7">
      <c r="B1650" s="455" t="s">
        <v>23</v>
      </c>
      <c r="C1650" s="458" t="s">
        <v>1</v>
      </c>
      <c r="D1650" s="459" t="s">
        <v>24</v>
      </c>
      <c r="E1650" s="460" t="s">
        <v>25</v>
      </c>
      <c r="F1650" s="460" t="s">
        <v>0</v>
      </c>
      <c r="G1650" s="277"/>
    </row>
    <row r="1651" spans="2:7">
      <c r="B1651" t="str">
        <f>'AcresYieldsPrices&amp;Water'!J14</f>
        <v>Sorghum</v>
      </c>
      <c r="C1651" s="137" t="str">
        <f>'AcresYieldsPrices&amp;Water'!L14</f>
        <v>bushel</v>
      </c>
      <c r="D1651" s="454">
        <f>'AcresYieldsPrices&amp;Water'!$M$14</f>
        <v>7</v>
      </c>
      <c r="E1651" s="462">
        <f>'AcresYieldsPrices&amp;Water'!$N$14*$C$1647</f>
        <v>0</v>
      </c>
      <c r="F1651" s="141">
        <f>D1651*E1651</f>
        <v>0</v>
      </c>
      <c r="G1651" s="141"/>
    </row>
    <row r="1652" spans="2:7">
      <c r="B1652" t="s">
        <v>27</v>
      </c>
      <c r="D1652" s="454"/>
      <c r="F1652" s="37">
        <f>SUM(F1651:F1651)</f>
        <v>0</v>
      </c>
      <c r="G1652" s="163" t="e">
        <f>F1652/C$1647</f>
        <v>#DIV/0!</v>
      </c>
    </row>
    <row r="1653" spans="2:7">
      <c r="G1653" s="163" t="e">
        <f t="shared" ref="G1653:G1716" si="138">F1653/C$1647</f>
        <v>#DIV/0!</v>
      </c>
    </row>
    <row r="1654" spans="2:7">
      <c r="B1654" s="455" t="s">
        <v>33</v>
      </c>
      <c r="C1654" s="458" t="s">
        <v>1</v>
      </c>
      <c r="D1654" s="459" t="s">
        <v>24</v>
      </c>
      <c r="E1654" s="460" t="s">
        <v>25</v>
      </c>
      <c r="F1654" s="460" t="s">
        <v>0</v>
      </c>
      <c r="G1654" s="163" t="e">
        <f t="shared" si="138"/>
        <v>#VALUE!</v>
      </c>
    </row>
    <row r="1655" spans="2:7">
      <c r="B1655" t="str">
        <f>'Inputs&amp;PricesbyCrop'!B$80</f>
        <v xml:space="preserve">   - Seed</v>
      </c>
      <c r="C1655" s="137" t="str">
        <f>'Inputs&amp;PricesbyCrop'!C$91</f>
        <v>pounds</v>
      </c>
      <c r="D1655" s="454">
        <f>'Inputs&amp;PricesbyCrop'!$N$5</f>
        <v>1.04</v>
      </c>
      <c r="E1655" s="462">
        <f>'Inputs&amp;PricesbyCrop'!$N$6*$C$1647</f>
        <v>0</v>
      </c>
      <c r="F1655" s="37">
        <f t="shared" ref="F1655:F1679" si="139">D1655*E1655</f>
        <v>0</v>
      </c>
      <c r="G1655" s="163" t="e">
        <f t="shared" si="138"/>
        <v>#DIV/0!</v>
      </c>
    </row>
    <row r="1656" spans="2:7">
      <c r="B1656" t="str">
        <f>GeneralInputPrices!$B$3</f>
        <v xml:space="preserve">   - Inoculant</v>
      </c>
      <c r="C1656" s="137" t="str">
        <f>GeneralInputPrices!$C$3</f>
        <v>pounds</v>
      </c>
      <c r="D1656" s="166">
        <f>GeneralInputPrices!$D$3</f>
        <v>3</v>
      </c>
      <c r="E1656" s="166">
        <f>'Inputs&amp;PricesbyCrop'!$N$22*$C$1647</f>
        <v>0</v>
      </c>
      <c r="F1656" s="166">
        <f t="shared" si="139"/>
        <v>0</v>
      </c>
      <c r="G1656" s="163" t="e">
        <f t="shared" si="138"/>
        <v>#DIV/0!</v>
      </c>
    </row>
    <row r="1657" spans="2:7">
      <c r="B1657" t="str">
        <f>GeneralInputPrices!B$5</f>
        <v xml:space="preserve">   - Nitrogen</v>
      </c>
      <c r="C1657" s="137" t="str">
        <f>GeneralInputPrices!$C$5</f>
        <v>pounds</v>
      </c>
      <c r="D1657" s="166">
        <f>GeneralInputPrices!$D$5</f>
        <v>0.46</v>
      </c>
      <c r="E1657" s="166">
        <f>'Inputs&amp;PricesbyCrop'!$N$23*$C$1647</f>
        <v>0</v>
      </c>
      <c r="F1657" s="166">
        <f t="shared" si="139"/>
        <v>0</v>
      </c>
      <c r="G1657" s="163" t="e">
        <f t="shared" si="138"/>
        <v>#DIV/0!</v>
      </c>
    </row>
    <row r="1658" spans="2:7">
      <c r="B1658" t="str">
        <f>GeneralInputPrices!B$6</f>
        <v xml:space="preserve">   - Phosphorus</v>
      </c>
      <c r="C1658" s="137" t="str">
        <f>GeneralInputPrices!$C$6</f>
        <v>pounds</v>
      </c>
      <c r="D1658" s="166">
        <f>GeneralInputPrices!$D$6</f>
        <v>0.36</v>
      </c>
      <c r="E1658" s="166">
        <f>'Inputs&amp;PricesbyCrop'!$N$24*$C$1647</f>
        <v>0</v>
      </c>
      <c r="F1658" s="166">
        <f t="shared" si="139"/>
        <v>0</v>
      </c>
      <c r="G1658" s="163" t="e">
        <f t="shared" si="138"/>
        <v>#DIV/0!</v>
      </c>
    </row>
    <row r="1659" spans="2:7">
      <c r="B1659" t="str">
        <f>GeneralInputPrices!B$7</f>
        <v xml:space="preserve">   - Anhydrous Ammonia</v>
      </c>
      <c r="C1659" s="137" t="str">
        <f>GeneralInputPrices!$C$7</f>
        <v>pounds</v>
      </c>
      <c r="D1659" s="166">
        <f>GeneralInputPrices!$D$7</f>
        <v>0.21</v>
      </c>
      <c r="E1659" s="166">
        <f>'Inputs&amp;PricesbyCrop'!$N$25*$C$1647</f>
        <v>0</v>
      </c>
      <c r="F1659" s="166">
        <f t="shared" si="139"/>
        <v>0</v>
      </c>
      <c r="G1659" s="163" t="e">
        <f t="shared" si="138"/>
        <v>#DIV/0!</v>
      </c>
    </row>
    <row r="1660" spans="2:7">
      <c r="B1660" t="str">
        <f>GeneralInputPrices!$B$8</f>
        <v xml:space="preserve">   - Trace Elements</v>
      </c>
      <c r="C1660" s="137" t="str">
        <f>GeneralInputPrices!$C$8</f>
        <v>pounds</v>
      </c>
      <c r="D1660" s="166">
        <f>GeneralInputPrices!$D$8</f>
        <v>0.24</v>
      </c>
      <c r="E1660" s="166">
        <f>'Inputs&amp;PricesbyCrop'!$N$26*$C$1647</f>
        <v>0</v>
      </c>
      <c r="F1660" s="166">
        <f t="shared" si="139"/>
        <v>0</v>
      </c>
      <c r="G1660" s="163" t="e">
        <f t="shared" si="138"/>
        <v>#DIV/0!</v>
      </c>
    </row>
    <row r="1661" spans="2:7">
      <c r="B1661" t="str">
        <f>'Inputs&amp;PricesbyCrop'!$B$32</f>
        <v xml:space="preserve">   - Nitrogen</v>
      </c>
      <c r="C1661" s="137" t="str">
        <f>'Inputs&amp;PricesbyCrop'!$C$32</f>
        <v>acre</v>
      </c>
      <c r="D1661" s="166">
        <f>'Inputs&amp;PricesbyCrop'!$N$32</f>
        <v>0</v>
      </c>
      <c r="E1661" s="166">
        <f>$C$1647</f>
        <v>0</v>
      </c>
      <c r="F1661" s="166">
        <f t="shared" si="139"/>
        <v>0</v>
      </c>
      <c r="G1661" s="163" t="e">
        <f t="shared" si="138"/>
        <v>#DIV/0!</v>
      </c>
    </row>
    <row r="1662" spans="2:7">
      <c r="B1662" t="str">
        <f>'Inputs&amp;PricesbyCrop'!$B$33</f>
        <v xml:space="preserve">   - Phosphorus</v>
      </c>
      <c r="C1662" s="137" t="str">
        <f>'Inputs&amp;PricesbyCrop'!$C$33</f>
        <v>acre</v>
      </c>
      <c r="D1662" s="166">
        <f>'Inputs&amp;PricesbyCrop'!$N$33</f>
        <v>0</v>
      </c>
      <c r="E1662" s="166">
        <f>$C$1647</f>
        <v>0</v>
      </c>
      <c r="F1662" s="166">
        <f t="shared" si="139"/>
        <v>0</v>
      </c>
      <c r="G1662" s="163" t="e">
        <f t="shared" si="138"/>
        <v>#DIV/0!</v>
      </c>
    </row>
    <row r="1663" spans="2:7">
      <c r="B1663" t="str">
        <f>'Inputs&amp;PricesbyCrop'!$B$34</f>
        <v xml:space="preserve">   - Fertilizer - Anhydrous Applicator</v>
      </c>
      <c r="C1663" s="137" t="str">
        <f>'Inputs&amp;PricesbyCrop'!$C$34</f>
        <v>acre</v>
      </c>
      <c r="D1663" s="166">
        <f>'Inputs&amp;PricesbyCrop'!$N$34</f>
        <v>0</v>
      </c>
      <c r="E1663" s="166">
        <f>$C$1647</f>
        <v>0</v>
      </c>
      <c r="F1663" s="166">
        <f t="shared" si="139"/>
        <v>0</v>
      </c>
      <c r="G1663" s="163" t="e">
        <f t="shared" si="138"/>
        <v>#DIV/0!</v>
      </c>
    </row>
    <row r="1664" spans="2:7">
      <c r="B1664" t="str">
        <f>GeneralInputPrices!$B$10</f>
        <v xml:space="preserve">   - Prowl</v>
      </c>
      <c r="C1664" s="137" t="str">
        <f>GeneralInputPrices!$C$10</f>
        <v>pints</v>
      </c>
      <c r="D1664" s="166">
        <f>GeneralInputPrices!$D$10</f>
        <v>6.0625</v>
      </c>
      <c r="E1664" s="166">
        <f>'Inputs&amp;PricesbyCrop'!$N$27*$C$1647</f>
        <v>0</v>
      </c>
      <c r="F1664" s="166">
        <f t="shared" si="139"/>
        <v>0</v>
      </c>
      <c r="G1664" s="163" t="e">
        <f t="shared" si="138"/>
        <v>#DIV/0!</v>
      </c>
    </row>
    <row r="1665" spans="2:7">
      <c r="B1665" t="str">
        <f>GeneralInputPrices!$B$11</f>
        <v xml:space="preserve">   - Aim</v>
      </c>
      <c r="C1665" s="137" t="str">
        <f>GeneralInputPrices!$C$11</f>
        <v>ounces</v>
      </c>
      <c r="D1665" s="166">
        <f>GeneralInputPrices!$D$11</f>
        <v>5.9375</v>
      </c>
      <c r="E1665" s="166">
        <f>'Inputs&amp;PricesbyCrop'!$N$28*$C$1647</f>
        <v>0</v>
      </c>
      <c r="F1665" s="166">
        <f t="shared" si="139"/>
        <v>0</v>
      </c>
      <c r="G1665" s="163" t="e">
        <f t="shared" si="138"/>
        <v>#DIV/0!</v>
      </c>
    </row>
    <row r="1666" spans="2:7">
      <c r="B1666" t="str">
        <f>GeneralInputPrices!$B$12</f>
        <v xml:space="preserve">   - Fusilade</v>
      </c>
      <c r="C1666" s="137" t="str">
        <f>GeneralInputPrices!$C$12</f>
        <v>ounces</v>
      </c>
      <c r="D1666" s="166">
        <f>GeneralInputPrices!$D$12</f>
        <v>1.25</v>
      </c>
      <c r="E1666" s="166">
        <f>'Inputs&amp;PricesbyCrop'!$N$29*$C$1647</f>
        <v>0</v>
      </c>
      <c r="F1666" s="166">
        <f t="shared" si="139"/>
        <v>0</v>
      </c>
      <c r="G1666" s="163" t="e">
        <f t="shared" si="138"/>
        <v>#DIV/0!</v>
      </c>
    </row>
    <row r="1667" spans="2:7">
      <c r="B1667" t="str">
        <f>'Inputs&amp;PricesbyCrop'!$B$35</f>
        <v xml:space="preserve">   - Herbicides</v>
      </c>
      <c r="C1667" s="137" t="str">
        <f>'Inputs&amp;PricesbyCrop'!$C$35</f>
        <v>acre</v>
      </c>
      <c r="D1667" s="166">
        <f>'Inputs&amp;PricesbyCrop'!$N$35</f>
        <v>0</v>
      </c>
      <c r="E1667" s="166">
        <f>$C$1647</f>
        <v>0</v>
      </c>
      <c r="F1667" s="166">
        <f t="shared" si="139"/>
        <v>0</v>
      </c>
      <c r="G1667" s="163" t="e">
        <f t="shared" si="138"/>
        <v>#DIV/0!</v>
      </c>
    </row>
    <row r="1668" spans="2:7">
      <c r="B1668" t="str">
        <f>'Inputs&amp;PricesbyCrop'!$B$36</f>
        <v xml:space="preserve">   - Herbicide - #2</v>
      </c>
      <c r="C1668" s="137" t="str">
        <f>'Inputs&amp;PricesbyCrop'!$C$36</f>
        <v>acre</v>
      </c>
      <c r="D1668" s="166">
        <f>'Inputs&amp;PricesbyCrop'!$N$36</f>
        <v>0</v>
      </c>
      <c r="E1668" s="166">
        <f>$C$1647</f>
        <v>0</v>
      </c>
      <c r="F1668" s="166">
        <f t="shared" si="139"/>
        <v>0</v>
      </c>
      <c r="G1668" s="163" t="e">
        <f t="shared" si="138"/>
        <v>#DIV/0!</v>
      </c>
    </row>
    <row r="1669" spans="2:7">
      <c r="B1669" t="str">
        <f>'Inputs&amp;PricesbyCrop'!$B$37</f>
        <v xml:space="preserve">   - Insecticides</v>
      </c>
      <c r="C1669" s="137" t="str">
        <f>'Inputs&amp;PricesbyCrop'!$C$37</f>
        <v>acre</v>
      </c>
      <c r="D1669" s="166">
        <f>'Inputs&amp;PricesbyCrop'!$N$37</f>
        <v>0</v>
      </c>
      <c r="E1669" s="166">
        <f>$C$1647</f>
        <v>0</v>
      </c>
      <c r="F1669" s="166">
        <f t="shared" si="139"/>
        <v>0</v>
      </c>
      <c r="G1669" s="163" t="e">
        <f t="shared" si="138"/>
        <v>#DIV/0!</v>
      </c>
    </row>
    <row r="1670" spans="2:7">
      <c r="B1670" t="str">
        <f>'Inputs&amp;PricesbyCrop'!$B$38</f>
        <v xml:space="preserve">   - Insecticide - #2</v>
      </c>
      <c r="C1670" s="137" t="str">
        <f>'Inputs&amp;PricesbyCrop'!$C$38</f>
        <v>acre</v>
      </c>
      <c r="D1670" s="166">
        <f>'Inputs&amp;PricesbyCrop'!$N$38</f>
        <v>0</v>
      </c>
      <c r="E1670" s="166">
        <f>$C$1647</f>
        <v>0</v>
      </c>
      <c r="F1670" s="166">
        <f t="shared" si="139"/>
        <v>0</v>
      </c>
      <c r="G1670" s="163" t="e">
        <f t="shared" si="138"/>
        <v>#DIV/0!</v>
      </c>
    </row>
    <row r="1671" spans="2:7">
      <c r="B1671" t="str">
        <f>'Inputs&amp;PricesbyCrop'!$B$7</f>
        <v>Flood - Irrigation Water</v>
      </c>
      <c r="C1671" s="137" t="str">
        <f>'Inputs&amp;PricesbyCrop'!$C$7</f>
        <v>ac ft</v>
      </c>
      <c r="D1671" s="166">
        <f>GeneralInputPrices!$D$13</f>
        <v>55</v>
      </c>
      <c r="E1671" s="102">
        <f>('AcresYieldsPrices&amp;Water'!$E$12*'Inputs&amp;PricesbyCrop'!$N$7)*$C1647</f>
        <v>0</v>
      </c>
      <c r="F1671" s="166">
        <f t="shared" si="139"/>
        <v>0</v>
      </c>
      <c r="G1671" s="163" t="e">
        <f t="shared" si="138"/>
        <v>#DIV/0!</v>
      </c>
    </row>
    <row r="1672" spans="2:7">
      <c r="B1672" t="str">
        <f>'Inputs&amp;PricesbyCrop'!$B$8</f>
        <v>Flood - Irrigation Labor</v>
      </c>
      <c r="C1672" s="137" t="str">
        <f>'Inputs&amp;PricesbyCrop'!$C$8</f>
        <v>hour</v>
      </c>
      <c r="D1672" s="166">
        <f>GeneralInputPrices!$D$28</f>
        <v>14.55</v>
      </c>
      <c r="E1672" s="166">
        <f>('AcresYieldsPrices&amp;Water'!$E$12*'Inputs&amp;PricesbyCrop'!$N$8)*$C1647</f>
        <v>0</v>
      </c>
      <c r="F1672" s="166">
        <f t="shared" si="139"/>
        <v>0</v>
      </c>
      <c r="G1672" s="163" t="e">
        <f t="shared" si="138"/>
        <v>#DIV/0!</v>
      </c>
    </row>
    <row r="1673" spans="2:7">
      <c r="B1673" t="str">
        <f>GeneralInputPrices!$B$18</f>
        <v xml:space="preserve">   - Annual Repairs &amp; Maintenance</v>
      </c>
      <c r="C1673" s="453" t="str">
        <f>GeneralInputPrices!$C$18</f>
        <v>acre</v>
      </c>
      <c r="D1673" s="166">
        <f>GeneralInputPrices!$D$18</f>
        <v>3</v>
      </c>
      <c r="E1673" s="166">
        <f>'AcresYieldsPrices&amp;Water'!$E$12*$C1647</f>
        <v>0</v>
      </c>
      <c r="F1673" s="166">
        <f t="shared" si="139"/>
        <v>0</v>
      </c>
      <c r="G1673" s="163" t="e">
        <f t="shared" si="138"/>
        <v>#DIV/0!</v>
      </c>
    </row>
    <row r="1674" spans="2:7">
      <c r="B1674" t="str">
        <f>'Inputs&amp;PricesbyCrop'!$B$9</f>
        <v>Drip-tape - Irrigation Water</v>
      </c>
      <c r="C1674" s="137" t="str">
        <f>'Inputs&amp;PricesbyCrop'!$C$9</f>
        <v>ac ft</v>
      </c>
      <c r="D1674" s="166">
        <f>GeneralInputPrices!$D$13</f>
        <v>55</v>
      </c>
      <c r="E1674" s="166">
        <f>('AcresYieldsPrices&amp;Water'!$F$12*'Inputs&amp;PricesbyCrop'!$N$9)*$C1647</f>
        <v>0</v>
      </c>
      <c r="F1674" s="166">
        <f t="shared" si="139"/>
        <v>0</v>
      </c>
      <c r="G1674" s="163" t="e">
        <f t="shared" si="138"/>
        <v>#DIV/0!</v>
      </c>
    </row>
    <row r="1675" spans="2:7">
      <c r="B1675" t="str">
        <f>'Inputs&amp;PricesbyCrop'!$B$10</f>
        <v>Drip-tape - Irrigation Labor</v>
      </c>
      <c r="C1675" s="137" t="str">
        <f>'Inputs&amp;PricesbyCrop'!$C$10</f>
        <v>hour</v>
      </c>
      <c r="D1675" s="166">
        <f>GeneralInputPrices!$D$28</f>
        <v>14.55</v>
      </c>
      <c r="E1675" s="166">
        <f>('AcresYieldsPrices&amp;Water'!$F$12*'Inputs&amp;PricesbyCrop'!$N$10)*$C1647</f>
        <v>0</v>
      </c>
      <c r="F1675" s="166">
        <f t="shared" si="139"/>
        <v>0</v>
      </c>
      <c r="G1675" s="163" t="e">
        <f t="shared" si="138"/>
        <v>#DIV/0!</v>
      </c>
    </row>
    <row r="1676" spans="2:7">
      <c r="B1676" t="str">
        <f>GeneralInputPrices!$B$22</f>
        <v xml:space="preserve">   - Annual Repairs &amp; Maintenance</v>
      </c>
      <c r="C1676" s="453" t="str">
        <f>GeneralInputPrices!$C$22</f>
        <v>acre</v>
      </c>
      <c r="D1676" s="166">
        <f>GeneralInputPrices!$D$22</f>
        <v>7.5</v>
      </c>
      <c r="E1676" s="166">
        <f>'AcresYieldsPrices&amp;Water'!$F$12*C1647</f>
        <v>0</v>
      </c>
      <c r="F1676" s="166">
        <f t="shared" si="139"/>
        <v>0</v>
      </c>
      <c r="G1676" s="163" t="e">
        <f t="shared" si="138"/>
        <v>#DIV/0!</v>
      </c>
    </row>
    <row r="1677" spans="2:7">
      <c r="B1677" t="str">
        <f>'Inputs&amp;PricesbyCrop'!$B$11</f>
        <v>Sprinkler - Irrigation Water</v>
      </c>
      <c r="C1677" s="137" t="str">
        <f>'Inputs&amp;PricesbyCrop'!$C$11</f>
        <v>ac ft</v>
      </c>
      <c r="D1677" s="166">
        <f>GeneralInputPrices!$D$13</f>
        <v>55</v>
      </c>
      <c r="E1677" s="166">
        <f>('AcresYieldsPrices&amp;Water'!$G$12*'Inputs&amp;PricesbyCrop'!$N$11)*$C1647</f>
        <v>0</v>
      </c>
      <c r="F1677" s="166">
        <f t="shared" si="139"/>
        <v>0</v>
      </c>
      <c r="G1677" s="163" t="e">
        <f t="shared" si="138"/>
        <v>#DIV/0!</v>
      </c>
    </row>
    <row r="1678" spans="2:7">
      <c r="B1678" t="str">
        <f>'Inputs&amp;PricesbyCrop'!$B$12</f>
        <v>Sprinkler - Irrigation Labor</v>
      </c>
      <c r="C1678" s="137" t="str">
        <f>'Inputs&amp;PricesbyCrop'!$C$12</f>
        <v>hour</v>
      </c>
      <c r="D1678" s="166">
        <f>GeneralInputPrices!$D$28</f>
        <v>14.55</v>
      </c>
      <c r="E1678" s="166">
        <f>('AcresYieldsPrices&amp;Water'!$G$12*'Inputs&amp;PricesbyCrop'!$N$12)*$C1647</f>
        <v>0</v>
      </c>
      <c r="F1678" s="166">
        <f t="shared" si="139"/>
        <v>0</v>
      </c>
      <c r="G1678" s="163" t="e">
        <f t="shared" si="138"/>
        <v>#DIV/0!</v>
      </c>
    </row>
    <row r="1679" spans="2:7">
      <c r="B1679" t="str">
        <f>GeneralInputPrices!$B$26</f>
        <v xml:space="preserve">   - Annual Repairs &amp; Maintenance</v>
      </c>
      <c r="C1679" s="453" t="str">
        <f>GeneralInputPrices!$C$26</f>
        <v>acre</v>
      </c>
      <c r="D1679" s="166">
        <f>GeneralInputPrices!$D$26</f>
        <v>15</v>
      </c>
      <c r="E1679" s="166">
        <f>'AcresYieldsPrices&amp;Water'!$G$12*$C1647</f>
        <v>0</v>
      </c>
      <c r="F1679" s="166">
        <f t="shared" si="139"/>
        <v>0</v>
      </c>
      <c r="G1679" s="163" t="e">
        <f t="shared" si="138"/>
        <v>#DIV/0!</v>
      </c>
    </row>
    <row r="1680" spans="2:7">
      <c r="B1680" t="str">
        <f>CustomOperations!$B$37</f>
        <v>Harvest, Custom</v>
      </c>
      <c r="C1680" s="137" t="str">
        <f>CustomOperations!$C$37</f>
        <v>acre</v>
      </c>
      <c r="D1680" s="166">
        <f>CustomOperations!$N$37</f>
        <v>25</v>
      </c>
      <c r="E1680" s="166">
        <f>CustomOperations!$N$38*$C$1647</f>
        <v>0</v>
      </c>
      <c r="F1680" s="166">
        <f t="shared" ref="F1680:F1694" si="140">D1680*E1680</f>
        <v>0</v>
      </c>
      <c r="G1680" s="163" t="e">
        <f t="shared" si="138"/>
        <v>#DIV/0!</v>
      </c>
    </row>
    <row r="1681" spans="2:7">
      <c r="B1681" t="str">
        <f>CustomOperations!$B$39</f>
        <v>Hauling, Custom</v>
      </c>
      <c r="C1681" s="137" t="str">
        <f>CustomOperations!$C$39</f>
        <v>mile</v>
      </c>
      <c r="D1681" s="166">
        <f>CustomOperations!$N$39</f>
        <v>0</v>
      </c>
      <c r="E1681" s="166">
        <f>CustomOperations!$N$40*$C$1647</f>
        <v>0</v>
      </c>
      <c r="F1681" s="166">
        <f t="shared" si="140"/>
        <v>0</v>
      </c>
      <c r="G1681" s="163" t="e">
        <f t="shared" si="138"/>
        <v>#DIV/0!</v>
      </c>
    </row>
    <row r="1682" spans="2:7">
      <c r="B1682" t="str">
        <f>CustomOperations!$B$41</f>
        <v>Gin Cotton/Drying/Swathing, Custom</v>
      </c>
      <c r="C1682" s="137" t="str">
        <f>CustomOperations!$C$41</f>
        <v>bale</v>
      </c>
      <c r="D1682" s="166">
        <f>CustomOperations!$N$41</f>
        <v>0</v>
      </c>
      <c r="E1682" s="166">
        <f>CustomOperations!$N$42*$C$1647</f>
        <v>0</v>
      </c>
      <c r="F1682" s="166">
        <f t="shared" si="140"/>
        <v>0</v>
      </c>
      <c r="G1682" s="163" t="e">
        <f t="shared" si="138"/>
        <v>#DIV/0!</v>
      </c>
    </row>
    <row r="1683" spans="2:7">
      <c r="B1683" t="str">
        <f>CustomOperations!$B$24</f>
        <v>Drill, Custom</v>
      </c>
      <c r="C1683" s="137" t="str">
        <f>CustomOperations!$C$24</f>
        <v>acre</v>
      </c>
      <c r="D1683" s="166">
        <f>CustomOperations!$N$24</f>
        <v>0</v>
      </c>
      <c r="E1683" s="166">
        <f>CustomOperations!$N$25*$C$1647</f>
        <v>0</v>
      </c>
      <c r="F1683" s="166">
        <f t="shared" si="140"/>
        <v>0</v>
      </c>
      <c r="G1683" s="163" t="e">
        <f t="shared" si="138"/>
        <v>#DIV/0!</v>
      </c>
    </row>
    <row r="1684" spans="2:7">
      <c r="B1684" t="str">
        <f>CustomOperations!$B$26</f>
        <v>Row Planter, Custom</v>
      </c>
      <c r="C1684" s="137" t="str">
        <f>CustomOperations!$C$26</f>
        <v>acre</v>
      </c>
      <c r="D1684" s="166">
        <f>CustomOperations!$N$26</f>
        <v>0</v>
      </c>
      <c r="E1684" s="166">
        <f>CustomOperations!$N$27*$C$1647</f>
        <v>0</v>
      </c>
      <c r="F1684" s="166">
        <f t="shared" si="140"/>
        <v>0</v>
      </c>
      <c r="G1684" s="163" t="e">
        <f t="shared" si="138"/>
        <v>#DIV/0!</v>
      </c>
    </row>
    <row r="1685" spans="2:7">
      <c r="B1685" t="str">
        <f>CustomOperations!$B$28</f>
        <v>Row Cultivator, Custom</v>
      </c>
      <c r="C1685" s="137" t="str">
        <f>CustomOperations!$C$28</f>
        <v>acre</v>
      </c>
      <c r="D1685" s="166">
        <f>CustomOperations!$N$28</f>
        <v>0</v>
      </c>
      <c r="E1685" s="166">
        <f>CustomOperations!$N$29*$C$1647</f>
        <v>0</v>
      </c>
      <c r="F1685" s="166">
        <f t="shared" si="140"/>
        <v>0</v>
      </c>
      <c r="G1685" s="163" t="e">
        <f t="shared" si="138"/>
        <v>#DIV/0!</v>
      </c>
    </row>
    <row r="1686" spans="2:7">
      <c r="B1686" t="str">
        <f>CustomOperations!$B$5</f>
        <v>V Ripper, Custom</v>
      </c>
      <c r="C1686" s="137" t="str">
        <f>CustomOperations!$C$5</f>
        <v>acre</v>
      </c>
      <c r="D1686" s="166">
        <f>CustomOperations!$N$5</f>
        <v>44.25</v>
      </c>
      <c r="E1686" s="166">
        <f>CustomOperations!$N$6*$C$1647</f>
        <v>0</v>
      </c>
      <c r="F1686" s="166">
        <f t="shared" si="140"/>
        <v>0</v>
      </c>
      <c r="G1686" s="163" t="e">
        <f t="shared" si="138"/>
        <v>#DIV/0!</v>
      </c>
    </row>
    <row r="1687" spans="2:7">
      <c r="B1687" t="str">
        <f>CustomOperations!$B$7</f>
        <v>Disk, Custom</v>
      </c>
      <c r="C1687" s="137" t="str">
        <f>CustomOperations!$C$7</f>
        <v>acre</v>
      </c>
      <c r="D1687" s="166">
        <f>CustomOperations!$N$7</f>
        <v>0</v>
      </c>
      <c r="E1687" s="166">
        <f>CustomOperations!$N$8*$C$1647</f>
        <v>0</v>
      </c>
      <c r="F1687" s="166">
        <f t="shared" si="140"/>
        <v>0</v>
      </c>
      <c r="G1687" s="163" t="e">
        <f t="shared" si="138"/>
        <v>#DIV/0!</v>
      </c>
    </row>
    <row r="1688" spans="2:7">
      <c r="B1688" t="str">
        <f>CustomOperations!$B$9</f>
        <v>Drag, Custom</v>
      </c>
      <c r="C1688" s="137" t="str">
        <f>CustomOperations!$C$9</f>
        <v>acre</v>
      </c>
      <c r="D1688" s="166">
        <f>CustomOperations!$N$9</f>
        <v>0</v>
      </c>
      <c r="E1688" s="166">
        <f>CustomOperations!$N$10*$C$1647</f>
        <v>0</v>
      </c>
      <c r="F1688" s="166">
        <f t="shared" si="140"/>
        <v>0</v>
      </c>
      <c r="G1688" s="163" t="e">
        <f t="shared" si="138"/>
        <v>#DIV/0!</v>
      </c>
    </row>
    <row r="1689" spans="2:7">
      <c r="B1689" t="str">
        <f>CustomOperations!$B$11</f>
        <v>Chisel, Custom</v>
      </c>
      <c r="C1689" s="137" t="str">
        <f>CustomOperations!$C$11</f>
        <v>acre</v>
      </c>
      <c r="D1689" s="166">
        <f>CustomOperations!$N$11</f>
        <v>0</v>
      </c>
      <c r="E1689" s="166">
        <f>CustomOperations!$N$12*$C$1647</f>
        <v>0</v>
      </c>
      <c r="F1689" s="166">
        <f t="shared" si="140"/>
        <v>0</v>
      </c>
      <c r="G1689" s="163" t="e">
        <f t="shared" si="138"/>
        <v>#DIV/0!</v>
      </c>
    </row>
    <row r="1690" spans="2:7">
      <c r="B1690" t="str">
        <f>CustomOperations!$B$13</f>
        <v>Moldboard Plow, Custom</v>
      </c>
      <c r="C1690" s="137" t="str">
        <f>CustomOperations!$C$13</f>
        <v>acre</v>
      </c>
      <c r="D1690" s="166">
        <f>CustomOperations!$N$13</f>
        <v>0</v>
      </c>
      <c r="E1690" s="166">
        <f>CustomOperations!$N$14*$C$1647</f>
        <v>0</v>
      </c>
      <c r="F1690" s="166">
        <f t="shared" si="140"/>
        <v>0</v>
      </c>
      <c r="G1690" s="163" t="e">
        <f t="shared" si="138"/>
        <v>#DIV/0!</v>
      </c>
    </row>
    <row r="1691" spans="2:7">
      <c r="B1691" t="str">
        <f>CustomOperations!$B$15</f>
        <v>Landplane, Custom</v>
      </c>
      <c r="C1691" s="137" t="str">
        <f>CustomOperations!$C$15</f>
        <v>acre</v>
      </c>
      <c r="D1691" s="166">
        <f>CustomOperations!$N$15</f>
        <v>17.940000000000001</v>
      </c>
      <c r="E1691" s="166">
        <f>CustomOperations!$N$16*$C$1647</f>
        <v>0</v>
      </c>
      <c r="F1691" s="166">
        <f t="shared" si="140"/>
        <v>0</v>
      </c>
      <c r="G1691" s="163" t="e">
        <f t="shared" si="138"/>
        <v>#DIV/0!</v>
      </c>
    </row>
    <row r="1692" spans="2:7">
      <c r="B1692" t="str">
        <f>CustomOperations!$B$17</f>
        <v>Float, Custom</v>
      </c>
      <c r="C1692" s="137" t="str">
        <f>CustomOperations!$C$17</f>
        <v>acre</v>
      </c>
      <c r="D1692" s="166">
        <f>CustomOperations!$N$17</f>
        <v>17.940000000000001</v>
      </c>
      <c r="E1692" s="166">
        <f>CustomOperations!$N$18*$C$1647</f>
        <v>0</v>
      </c>
      <c r="F1692" s="166">
        <f t="shared" si="140"/>
        <v>0</v>
      </c>
      <c r="G1692" s="163" t="e">
        <f t="shared" si="138"/>
        <v>#DIV/0!</v>
      </c>
    </row>
    <row r="1693" spans="2:7">
      <c r="B1693" t="str">
        <f>CustomOperations!$B$19</f>
        <v>Lister, Custom</v>
      </c>
      <c r="C1693" s="137" t="str">
        <f>CustomOperations!$C$19</f>
        <v>acre</v>
      </c>
      <c r="D1693" s="166">
        <f>CustomOperations!$N$19</f>
        <v>20.38</v>
      </c>
      <c r="E1693" s="166">
        <f>CustomOperations!$N$20*$C$1647</f>
        <v>0</v>
      </c>
      <c r="F1693" s="166">
        <f t="shared" si="140"/>
        <v>0</v>
      </c>
      <c r="G1693" s="163" t="e">
        <f t="shared" si="138"/>
        <v>#DIV/0!</v>
      </c>
    </row>
    <row r="1694" spans="2:7">
      <c r="B1694" t="str">
        <f>CustomOperations!$B$21</f>
        <v>Bed Shape, Custom</v>
      </c>
      <c r="C1694" s="137" t="str">
        <f>CustomOperations!$C$21</f>
        <v>acre</v>
      </c>
      <c r="D1694" s="166">
        <f>CustomOperations!$N$21</f>
        <v>13.69</v>
      </c>
      <c r="E1694" s="166">
        <f>CustomOperations!$N$22*$C$1647</f>
        <v>0</v>
      </c>
      <c r="F1694" s="166">
        <f t="shared" si="140"/>
        <v>0</v>
      </c>
      <c r="G1694" s="163" t="e">
        <f t="shared" si="138"/>
        <v>#DIV/0!</v>
      </c>
    </row>
    <row r="1695" spans="2:7">
      <c r="B1695" t="str">
        <f>CustomOperations!$B$32</f>
        <v>Fertilizer Spreader, Custom</v>
      </c>
      <c r="C1695" s="137" t="str">
        <f>CustomOperations!$C$32</f>
        <v>acre</v>
      </c>
      <c r="D1695" s="166">
        <f>CustomOperations!$N$32</f>
        <v>10.08</v>
      </c>
      <c r="E1695" s="166">
        <f>CustomOperations!$N$33*$C$1647</f>
        <v>0</v>
      </c>
      <c r="F1695" s="166">
        <f>D1695*E1695</f>
        <v>0</v>
      </c>
      <c r="G1695" s="163" t="e">
        <f t="shared" si="138"/>
        <v>#DIV/0!</v>
      </c>
    </row>
    <row r="1696" spans="2:7">
      <c r="B1696" t="str">
        <f>CustomOperations!$B$34</f>
        <v>Laser Landplaning, Custom</v>
      </c>
      <c r="C1696" s="137" t="str">
        <f>CustomOperations!$C$34</f>
        <v>acre</v>
      </c>
      <c r="D1696" s="166">
        <f>CustomOperations!$N$34</f>
        <v>0</v>
      </c>
      <c r="E1696" s="166">
        <f>CustomOperations!$N$35*$C$1647</f>
        <v>0</v>
      </c>
      <c r="F1696" s="166">
        <f>D1696*E1696</f>
        <v>0</v>
      </c>
      <c r="G1696" s="163" t="e">
        <f t="shared" si="138"/>
        <v>#DIV/0!</v>
      </c>
    </row>
    <row r="1697" spans="2:7">
      <c r="B1697" t="str">
        <f>CustomOperations!$B$30</f>
        <v>Boom Sprayer, Custom</v>
      </c>
      <c r="C1697" s="137" t="str">
        <f>CustomOperations!$C$30</f>
        <v>acre</v>
      </c>
      <c r="D1697" s="166">
        <f>CustomOperations!$N$30</f>
        <v>10.050000000000001</v>
      </c>
      <c r="E1697" s="166">
        <f>CustomOperations!$N$31*$C$1647</f>
        <v>0</v>
      </c>
      <c r="F1697" s="166">
        <f t="shared" ref="F1697:F1719" si="141">D1697*E1697</f>
        <v>0</v>
      </c>
      <c r="G1697" s="163" t="e">
        <f t="shared" si="138"/>
        <v>#DIV/0!</v>
      </c>
    </row>
    <row r="1698" spans="2:7">
      <c r="B1698" s="463" t="str">
        <f>TillageOperations!$B$7&amp;" (Repairs, maint., fuel &amp; lube)"</f>
        <v>V-Ripper (Repairs, maint., fuel &amp; lube)</v>
      </c>
      <c r="C1698" s="464" t="s">
        <v>157</v>
      </c>
      <c r="D1698" s="166">
        <f>PubMachineryTables!$AM$49+PubMachineryTables!$AN$49</f>
        <v>30.16333889180672</v>
      </c>
      <c r="E1698" s="166">
        <f>TillageOperations!$M$7*$C$1647</f>
        <v>0</v>
      </c>
      <c r="F1698" s="166">
        <f t="shared" si="141"/>
        <v>0</v>
      </c>
      <c r="G1698" s="163" t="e">
        <f t="shared" si="138"/>
        <v>#DIV/0!</v>
      </c>
    </row>
    <row r="1699" spans="2:7">
      <c r="B1699" s="463" t="str">
        <f>TillageOperations!$B$7&amp;" (Labor)"</f>
        <v>V-Ripper (Labor)</v>
      </c>
      <c r="C1699" s="464" t="s">
        <v>157</v>
      </c>
      <c r="D1699" s="166">
        <f>PubMachineryTables!$AL$49</f>
        <v>13.529312500000001</v>
      </c>
      <c r="E1699" s="166">
        <f>TillageOperations!$M$7*$C$1647</f>
        <v>0</v>
      </c>
      <c r="F1699" s="166">
        <f t="shared" si="141"/>
        <v>0</v>
      </c>
      <c r="G1699" s="163" t="e">
        <f t="shared" si="138"/>
        <v>#DIV/0!</v>
      </c>
    </row>
    <row r="1700" spans="2:7">
      <c r="B1700" s="463" t="str">
        <f>TillageOperations!$B$8&amp;" (Repairs, maint., fuel &amp; lube)"</f>
        <v>Offset Disk (Repairs, maint., fuel &amp; lube)</v>
      </c>
      <c r="C1700" s="464" t="s">
        <v>157</v>
      </c>
      <c r="D1700" s="166">
        <f>PubMachineryTables!$AN$50+PubMachineryTables!$AM$50</f>
        <v>10.332318567950058</v>
      </c>
      <c r="E1700" s="166">
        <f>TillageOperations!$M$8*$C$1647</f>
        <v>0</v>
      </c>
      <c r="F1700" s="166">
        <f t="shared" si="141"/>
        <v>0</v>
      </c>
      <c r="G1700" s="163" t="e">
        <f t="shared" si="138"/>
        <v>#DIV/0!</v>
      </c>
    </row>
    <row r="1701" spans="2:7">
      <c r="B1701" s="463" t="str">
        <f>TillageOperations!$B$8&amp;" (Labor)"</f>
        <v>Offset Disk (Labor)</v>
      </c>
      <c r="C1701" s="464" t="s">
        <v>157</v>
      </c>
      <c r="D1701" s="166">
        <f>PubMachineryTables!$AL$50</f>
        <v>4.7161002178649252</v>
      </c>
      <c r="E1701" s="166">
        <f>TillageOperations!$M$8*$C$1647</f>
        <v>0</v>
      </c>
      <c r="F1701" s="166">
        <f t="shared" si="141"/>
        <v>0</v>
      </c>
      <c r="G1701" s="163" t="e">
        <f t="shared" si="138"/>
        <v>#DIV/0!</v>
      </c>
    </row>
    <row r="1702" spans="2:7">
      <c r="B1702" s="463" t="str">
        <f>TillageOperations!$B$9&amp;" (Repairs, maint., fuel &amp; lube)"</f>
        <v>Drag (Repairs, maint., fuel &amp; lube)</v>
      </c>
      <c r="C1702" s="464" t="s">
        <v>157</v>
      </c>
      <c r="D1702" s="166">
        <f>PubMachineryTables!$AN$51+PubMachineryTables!$AM$51</f>
        <v>2.4803921568627447</v>
      </c>
      <c r="E1702" s="166">
        <f>TillageOperations!$M$9*$C$1647</f>
        <v>0</v>
      </c>
      <c r="F1702" s="166">
        <f t="shared" si="141"/>
        <v>0</v>
      </c>
      <c r="G1702" s="163" t="e">
        <f t="shared" si="138"/>
        <v>#DIV/0!</v>
      </c>
    </row>
    <row r="1703" spans="2:7">
      <c r="B1703" s="463" t="str">
        <f>TillageOperations!$B$9&amp;" (Labor)"</f>
        <v>Drag (Labor)</v>
      </c>
      <c r="C1703" s="464" t="s">
        <v>157</v>
      </c>
      <c r="D1703" s="166">
        <f>PubMachineryTables!$AL$51</f>
        <v>2.1222450980392158</v>
      </c>
      <c r="E1703" s="166">
        <f>TillageOperations!$M$9*$C$1647</f>
        <v>0</v>
      </c>
      <c r="F1703" s="166">
        <f t="shared" si="141"/>
        <v>0</v>
      </c>
      <c r="G1703" s="163" t="e">
        <f t="shared" si="138"/>
        <v>#DIV/0!</v>
      </c>
    </row>
    <row r="1704" spans="2:7">
      <c r="B1704" s="463" t="str">
        <f>TillageOperations!$B$10&amp;" (Repairs, maint., fuel &amp; lube)"</f>
        <v>Chisel (Repairs, maint., fuel &amp; lube)</v>
      </c>
      <c r="C1704" s="464" t="s">
        <v>157</v>
      </c>
      <c r="D1704" s="166">
        <f>PubMachineryTables!$AN$52+PubMachineryTables!$AM$52</f>
        <v>8.5884820270019766</v>
      </c>
      <c r="E1704" s="166">
        <f>TillageOperations!$M$10*$C$1647</f>
        <v>0</v>
      </c>
      <c r="F1704" s="166">
        <f t="shared" si="141"/>
        <v>0</v>
      </c>
      <c r="G1704" s="163" t="e">
        <f t="shared" si="138"/>
        <v>#DIV/0!</v>
      </c>
    </row>
    <row r="1705" spans="2:7">
      <c r="B1705" s="463" t="str">
        <f>TillageOperations!$B$10&amp;" (Labor)"</f>
        <v>Chisel (Labor)</v>
      </c>
      <c r="C1705" s="464" t="s">
        <v>157</v>
      </c>
      <c r="D1705" s="166">
        <f>PubMachineryTables!$AL$52</f>
        <v>3.9792095588235301</v>
      </c>
      <c r="E1705" s="166">
        <f>TillageOperations!$M$10*$C$1647</f>
        <v>0</v>
      </c>
      <c r="F1705" s="166">
        <f t="shared" si="141"/>
        <v>0</v>
      </c>
      <c r="G1705" s="163" t="e">
        <f t="shared" si="138"/>
        <v>#DIV/0!</v>
      </c>
    </row>
    <row r="1706" spans="2:7">
      <c r="B1706" s="463" t="str">
        <f>TillageOperations!$B$11&amp;" (Repairs, maint., fuel &amp; lube)"</f>
        <v>Moldboard Plow (Repairs, maint., fuel &amp; lube)</v>
      </c>
      <c r="C1706" s="464" t="s">
        <v>157</v>
      </c>
      <c r="D1706" s="166">
        <f>PubMachineryTables!$AN$53+PubMachineryTables!$AM$53</f>
        <v>14.457142857142856</v>
      </c>
      <c r="E1706" s="166">
        <f>TillageOperations!$M$11*$C$1647</f>
        <v>0</v>
      </c>
      <c r="F1706" s="166">
        <f t="shared" si="141"/>
        <v>0</v>
      </c>
      <c r="G1706" s="163" t="e">
        <f t="shared" si="138"/>
        <v>#DIV/0!</v>
      </c>
    </row>
    <row r="1707" spans="2:7">
      <c r="B1707" s="463" t="str">
        <f>TillageOperations!$B$11&amp;" (Labor)"</f>
        <v>Moldboard Plow (Labor)</v>
      </c>
      <c r="C1707" s="464" t="s">
        <v>157</v>
      </c>
      <c r="D1707" s="166">
        <f>PubMachineryTables!$AL$53</f>
        <v>7.7310357142857153</v>
      </c>
      <c r="E1707" s="166">
        <f>TillageOperations!$M$11*$C$1647</f>
        <v>0</v>
      </c>
      <c r="F1707" s="166">
        <f t="shared" si="141"/>
        <v>0</v>
      </c>
      <c r="G1707" s="163" t="e">
        <f t="shared" si="138"/>
        <v>#DIV/0!</v>
      </c>
    </row>
    <row r="1708" spans="2:7">
      <c r="B1708" s="463" t="str">
        <f>TillageOperations!$B$12&amp;" (Repairs, maint., fuel &amp; lube)"</f>
        <v>Cultivator (Repairs, maint., fuel &amp; lube)</v>
      </c>
      <c r="C1708" s="464" t="s">
        <v>157</v>
      </c>
      <c r="D1708" s="166">
        <f>PubMachineryTables!$AN$54+PubMachineryTables!$AM$54</f>
        <v>5.7828571428571429</v>
      </c>
      <c r="E1708" s="166">
        <f>TillageOperations!$M$12*$C$1647</f>
        <v>0</v>
      </c>
      <c r="F1708" s="166">
        <f t="shared" si="141"/>
        <v>0</v>
      </c>
      <c r="G1708" s="163" t="e">
        <f t="shared" si="138"/>
        <v>#DIV/0!</v>
      </c>
    </row>
    <row r="1709" spans="2:7">
      <c r="B1709" s="463" t="str">
        <f>TillageOperations!$B$12&amp;" (Labor)"</f>
        <v>Cultivator (Labor)</v>
      </c>
      <c r="C1709" s="464" t="s">
        <v>157</v>
      </c>
      <c r="D1709" s="166">
        <f>PubMachineryTables!$AL$54</f>
        <v>3.0924142857142862</v>
      </c>
      <c r="E1709" s="166">
        <f>TillageOperations!$M$12*$C$1647</f>
        <v>0</v>
      </c>
      <c r="F1709" s="166">
        <f t="shared" si="141"/>
        <v>0</v>
      </c>
      <c r="G1709" s="163" t="e">
        <f t="shared" si="138"/>
        <v>#DIV/0!</v>
      </c>
    </row>
    <row r="1710" spans="2:7">
      <c r="B1710" s="463" t="str">
        <f>TillageOperations!$B$13&amp;" (Repairs, maint., fuel &amp; lube)"</f>
        <v>Landplane (Repairs, maint., fuel &amp; lube)</v>
      </c>
      <c r="C1710" s="464" t="s">
        <v>157</v>
      </c>
      <c r="D1710" s="166">
        <f>PubMachineryTables!$AN$55+PubMachineryTables!$AM$55</f>
        <v>8.0445253976590632</v>
      </c>
      <c r="E1710" s="166">
        <f>TillageOperations!$M$13*$C$1647</f>
        <v>0</v>
      </c>
      <c r="F1710" s="166">
        <f t="shared" si="141"/>
        <v>0</v>
      </c>
      <c r="G1710" s="163" t="e">
        <f t="shared" si="138"/>
        <v>#DIV/0!</v>
      </c>
    </row>
    <row r="1711" spans="2:7">
      <c r="B1711" s="463" t="str">
        <f>TillageOperations!$B$13&amp;" (Labor)"</f>
        <v>Landplane (Labor)</v>
      </c>
      <c r="C1711" s="464" t="s">
        <v>157</v>
      </c>
      <c r="D1711" s="166">
        <f>PubMachineryTables!$AL$55</f>
        <v>3.8655178571428577</v>
      </c>
      <c r="E1711" s="166">
        <f>TillageOperations!$M$13*$C$1647</f>
        <v>0</v>
      </c>
      <c r="F1711" s="166">
        <f t="shared" si="141"/>
        <v>0</v>
      </c>
      <c r="G1711" s="163" t="e">
        <f t="shared" si="138"/>
        <v>#DIV/0!</v>
      </c>
    </row>
    <row r="1712" spans="2:7">
      <c r="B1712" s="463" t="str">
        <f>TillageOperations!$B$14&amp;" (Repairs, maint., fuel &amp; lube)"</f>
        <v>Float (Repairs, maint., fuel &amp; lube)</v>
      </c>
      <c r="C1712" s="464" t="s">
        <v>157</v>
      </c>
      <c r="D1712" s="166">
        <f>PubMachineryTables!$AN$56+PubMachineryTables!$AM$56</f>
        <v>5.1632653061224492</v>
      </c>
      <c r="E1712" s="166">
        <f>TillageOperations!$M$14*$C$1647</f>
        <v>0</v>
      </c>
      <c r="F1712" s="166">
        <f t="shared" si="141"/>
        <v>0</v>
      </c>
      <c r="G1712" s="163" t="e">
        <f t="shared" si="138"/>
        <v>#DIV/0!</v>
      </c>
    </row>
    <row r="1713" spans="2:7">
      <c r="B1713" s="463" t="str">
        <f>TillageOperations!$B$14&amp;" (Labor)"</f>
        <v>Float (Labor)</v>
      </c>
      <c r="C1713" s="464" t="s">
        <v>157</v>
      </c>
      <c r="D1713" s="166">
        <f>PubMachineryTables!$AL$56</f>
        <v>4.4177346938775521</v>
      </c>
      <c r="E1713" s="166">
        <f>TillageOperations!$M$14*$C$1647</f>
        <v>0</v>
      </c>
      <c r="F1713" s="166">
        <f t="shared" si="141"/>
        <v>0</v>
      </c>
      <c r="G1713" s="163" t="e">
        <f t="shared" si="138"/>
        <v>#DIV/0!</v>
      </c>
    </row>
    <row r="1714" spans="2:7">
      <c r="B1714" s="463" t="str">
        <f>TillageOperations!$B$15&amp;" (Repairs, maint., fuel &amp; lube)"</f>
        <v>Lister (Repairs, maint., fuel &amp; lube)</v>
      </c>
      <c r="C1714" s="464" t="s">
        <v>157</v>
      </c>
      <c r="D1714" s="166">
        <f>PubMachineryTables!$AN$57+PubMachineryTables!$AM$57</f>
        <v>11.879642797844287</v>
      </c>
      <c r="E1714" s="166">
        <f>TillageOperations!$M$15*$C$1647</f>
        <v>0</v>
      </c>
      <c r="F1714" s="166">
        <f t="shared" si="141"/>
        <v>0</v>
      </c>
      <c r="G1714" s="163" t="e">
        <f t="shared" si="138"/>
        <v>#DIV/0!</v>
      </c>
    </row>
    <row r="1715" spans="2:7">
      <c r="B1715" s="463" t="str">
        <f>TillageOperations!$B$15&amp;" (Labor)"</f>
        <v>Lister (Labor)</v>
      </c>
      <c r="C1715" s="464" t="s">
        <v>157</v>
      </c>
      <c r="D1715" s="166">
        <f>PubMachineryTables!$AL$57</f>
        <v>6.1848285714285725</v>
      </c>
      <c r="E1715" s="166">
        <f>TillageOperations!$M$15*$C$1647</f>
        <v>0</v>
      </c>
      <c r="F1715" s="166">
        <f t="shared" si="141"/>
        <v>0</v>
      </c>
      <c r="G1715" s="163" t="e">
        <f t="shared" si="138"/>
        <v>#DIV/0!</v>
      </c>
    </row>
    <row r="1716" spans="2:7">
      <c r="B1716" s="463" t="str">
        <f>TillageOperations!$B$16&amp;" (Repairs, maint., fuel &amp; lube)"</f>
        <v>Bed Shaper (Repairs, maint., fuel &amp; lube)</v>
      </c>
      <c r="C1716" s="464" t="s">
        <v>157</v>
      </c>
      <c r="D1716" s="166">
        <f>PubMachineryTables!$AN$58+PubMachineryTables!$AM$58</f>
        <v>5.9574634784635725</v>
      </c>
      <c r="E1716" s="166">
        <f>TillageOperations!$M$16*$C$1647</f>
        <v>0</v>
      </c>
      <c r="F1716" s="166">
        <f t="shared" si="141"/>
        <v>0</v>
      </c>
      <c r="G1716" s="163" t="e">
        <f t="shared" si="138"/>
        <v>#DIV/0!</v>
      </c>
    </row>
    <row r="1717" spans="2:7">
      <c r="B1717" s="463" t="str">
        <f>TillageOperations!$B$16&amp;" (Labor)"</f>
        <v>Bed Shaper (Labor)</v>
      </c>
      <c r="C1717" s="464" t="s">
        <v>157</v>
      </c>
      <c r="D1717" s="166">
        <f>PubMachineryTables!$AL$58</f>
        <v>3.0924142857142862</v>
      </c>
      <c r="E1717" s="166">
        <f>TillageOperations!$M$16*$C$1647</f>
        <v>0</v>
      </c>
      <c r="F1717" s="166">
        <f t="shared" si="141"/>
        <v>0</v>
      </c>
      <c r="G1717" s="163" t="e">
        <f t="shared" ref="G1717:G1780" si="142">F1717/C$1647</f>
        <v>#DIV/0!</v>
      </c>
    </row>
    <row r="1718" spans="2:7">
      <c r="B1718" s="463" t="str">
        <f>TillageOperations!$B$19&amp;" (Repairs, maint., fuel &amp; lube)"</f>
        <v>Row Planter (Repairs, maint., fuel &amp; lube)</v>
      </c>
      <c r="C1718" s="464" t="s">
        <v>157</v>
      </c>
      <c r="D1718" s="166">
        <f>PubMachineryTables!$AN$60+PubMachineryTables!$AM$60</f>
        <v>8.8400048303091552</v>
      </c>
      <c r="E1718" s="166">
        <f>TillageOperations!$M$19*$C$1647</f>
        <v>0</v>
      </c>
      <c r="F1718" s="166">
        <f t="shared" si="141"/>
        <v>0</v>
      </c>
      <c r="G1718" s="163" t="e">
        <f t="shared" si="142"/>
        <v>#DIV/0!</v>
      </c>
    </row>
    <row r="1719" spans="2:7">
      <c r="B1719" s="463" t="str">
        <f>TillageOperations!$B$19&amp;" (Labor)"</f>
        <v>Row Planter (Labor)</v>
      </c>
      <c r="C1719" s="464" t="s">
        <v>157</v>
      </c>
      <c r="D1719" s="166">
        <f>PubMachineryTables!$AL$60</f>
        <v>4.5097708333333344</v>
      </c>
      <c r="E1719" s="166">
        <f>TillageOperations!$M$19*$C$1647</f>
        <v>0</v>
      </c>
      <c r="F1719" s="166">
        <f t="shared" si="141"/>
        <v>0</v>
      </c>
      <c r="G1719" s="163" t="e">
        <f t="shared" si="142"/>
        <v>#DIV/0!</v>
      </c>
    </row>
    <row r="1720" spans="2:7">
      <c r="B1720" s="463" t="str">
        <f>TillageOperations!$B$20&amp;" (Repairs, maint., fuel &amp; lube)"</f>
        <v>Row Cultivator (Repairs, maint., fuel &amp; lube)</v>
      </c>
      <c r="C1720" s="464" t="s">
        <v>157</v>
      </c>
      <c r="D1720" s="166">
        <f>PubMachineryTables!$AN$61+PubMachineryTables!$AM$61</f>
        <v>3.5823141032725374</v>
      </c>
      <c r="E1720" s="166">
        <f>TillageOperations!$M$20*$C$1647</f>
        <v>0</v>
      </c>
      <c r="F1720" s="166">
        <f>D1720*E1720</f>
        <v>0</v>
      </c>
      <c r="G1720" s="163" t="e">
        <f t="shared" si="142"/>
        <v>#DIV/0!</v>
      </c>
    </row>
    <row r="1721" spans="2:7">
      <c r="B1721" s="463" t="str">
        <f>TillageOperations!$B$20&amp;" (Labor)"</f>
        <v>Row Cultivator (Labor)</v>
      </c>
      <c r="C1721" s="464" t="s">
        <v>157</v>
      </c>
      <c r="D1721" s="166">
        <f>PubMachineryTables!$AL$61</f>
        <v>3.0065138888888892</v>
      </c>
      <c r="E1721" s="166">
        <f>TillageOperations!$M$20*$C$1647</f>
        <v>0</v>
      </c>
      <c r="F1721" s="166">
        <f>D1721*E1721</f>
        <v>0</v>
      </c>
      <c r="G1721" s="163" t="e">
        <f t="shared" si="142"/>
        <v>#DIV/0!</v>
      </c>
    </row>
    <row r="1722" spans="2:7">
      <c r="B1722" s="463" t="str">
        <f>TillageOperations!$B$21&amp;" (Repairs, maint., fuel &amp; lube)"</f>
        <v>Drill (Repairs, maint., fuel &amp; lube)</v>
      </c>
      <c r="C1722" s="464" t="s">
        <v>157</v>
      </c>
      <c r="D1722" s="166">
        <f>PubMachineryTables!$AN$62+PubMachineryTables!$AM$62</f>
        <v>7.6986395922631168</v>
      </c>
      <c r="E1722" s="166">
        <f>TillageOperations!$M$21*$C$1647</f>
        <v>0</v>
      </c>
      <c r="F1722" s="166">
        <f>D1722*E1722</f>
        <v>0</v>
      </c>
      <c r="G1722" s="163" t="e">
        <f t="shared" si="142"/>
        <v>#DIV/0!</v>
      </c>
    </row>
    <row r="1723" spans="2:7">
      <c r="B1723" s="463" t="str">
        <f>TillageOperations!$B$21&amp;" (Labor)"</f>
        <v>Drill (Labor)</v>
      </c>
      <c r="C1723" s="464" t="s">
        <v>157</v>
      </c>
      <c r="D1723" s="166">
        <f>PubMachineryTables!$AL$62</f>
        <v>5.4117250000000006</v>
      </c>
      <c r="E1723" s="166">
        <f>TillageOperations!$M$21*$C$1647</f>
        <v>0</v>
      </c>
      <c r="F1723" s="166">
        <f>D1723*E1723</f>
        <v>0</v>
      </c>
      <c r="G1723" s="163" t="e">
        <f t="shared" si="142"/>
        <v>#DIV/0!</v>
      </c>
    </row>
    <row r="1724" spans="2:7">
      <c r="B1724" s="75" t="str">
        <f>TillageOperations!$B$27&amp;" (Repairs, maint., fuel &amp; lube)"</f>
        <v>Cotton Picker (Repairs, maint., fuel &amp; lube)</v>
      </c>
      <c r="C1724" s="464" t="s">
        <v>157</v>
      </c>
      <c r="D1724" s="166">
        <f>PubMachineryTables!$AN$67+PubMachineryTables!$AM$67</f>
        <v>20.587703435804702</v>
      </c>
      <c r="E1724" s="166">
        <f>TillageOperations!$M$27*$C$1647</f>
        <v>0</v>
      </c>
      <c r="F1724" s="166">
        <f t="shared" ref="F1724:F1731" si="143">D1724*E1724</f>
        <v>0</v>
      </c>
      <c r="G1724" s="163" t="e">
        <f t="shared" si="142"/>
        <v>#DIV/0!</v>
      </c>
    </row>
    <row r="1725" spans="2:7">
      <c r="B1725" t="str">
        <f>TillageOperations!$B$27&amp;" (Labor)"</f>
        <v>Cotton Picker (Labor)</v>
      </c>
      <c r="C1725" s="464" t="s">
        <v>157</v>
      </c>
      <c r="D1725" s="166">
        <f>PubMachineryTables!$AL$67</f>
        <v>7.3395908679927677</v>
      </c>
      <c r="E1725" s="166">
        <f>TillageOperations!$M$27*$C$1647</f>
        <v>0</v>
      </c>
      <c r="F1725" s="166">
        <f t="shared" si="143"/>
        <v>0</v>
      </c>
      <c r="G1725" s="163" t="e">
        <f t="shared" si="142"/>
        <v>#DIV/0!</v>
      </c>
    </row>
    <row r="1726" spans="2:7">
      <c r="B1726" s="75" t="str">
        <f>TillageOperations!$B$28&amp;" (Repairs, maint., fuel &amp; lube)"</f>
        <v>Module Unit (Repairs, maint., fuel &amp; lube)</v>
      </c>
      <c r="C1726" s="464" t="s">
        <v>157</v>
      </c>
      <c r="D1726" s="166">
        <f>PubMachineryTables!$AN$68+PubMachineryTables!$AM$68</f>
        <v>7.0644080416976918</v>
      </c>
      <c r="E1726" s="166">
        <f>TillageOperations!$M$28*$C$1647</f>
        <v>0</v>
      </c>
      <c r="F1726" s="166">
        <f t="shared" si="143"/>
        <v>0</v>
      </c>
      <c r="G1726" s="163" t="e">
        <f t="shared" si="142"/>
        <v>#DIV/0!</v>
      </c>
    </row>
    <row r="1727" spans="2:7">
      <c r="B1727" t="str">
        <f>TillageOperations!$B$28&amp;" (Labor)"</f>
        <v>Module Unit (Labor)</v>
      </c>
      <c r="C1727" s="464" t="s">
        <v>157</v>
      </c>
      <c r="D1727" s="166">
        <f>PubMachineryTables!$AL$68</f>
        <v>6.0443689501116911</v>
      </c>
      <c r="E1727" s="166">
        <f>TillageOperations!$M$28*$C$1647</f>
        <v>0</v>
      </c>
      <c r="F1727" s="166">
        <f t="shared" si="143"/>
        <v>0</v>
      </c>
      <c r="G1727" s="163" t="e">
        <f t="shared" si="142"/>
        <v>#DIV/0!</v>
      </c>
    </row>
    <row r="1728" spans="2:7">
      <c r="B1728" t="str">
        <f>TillageOperations!$B$29&amp;" (Repairs, maint., fuel &amp; lube)"</f>
        <v>Haul Cotton (Repairs, maint., fuel &amp; lube)</v>
      </c>
      <c r="C1728" s="464" t="s">
        <v>157</v>
      </c>
      <c r="D1728" s="166">
        <f>PubMachineryTables!$AN$69+PubMachineryTables!$AM$69</f>
        <v>7.0644080416976918</v>
      </c>
      <c r="E1728" s="166">
        <f>TillageOperations!$M$29*$C$1647</f>
        <v>0</v>
      </c>
      <c r="F1728" s="166">
        <f t="shared" si="143"/>
        <v>0</v>
      </c>
      <c r="G1728" s="163" t="e">
        <f t="shared" si="142"/>
        <v>#DIV/0!</v>
      </c>
    </row>
    <row r="1729" spans="2:7">
      <c r="B1729" t="str">
        <f>TillageOperations!$B$29&amp;" (Labor)"</f>
        <v>Haul Cotton (Labor)</v>
      </c>
      <c r="C1729" s="464" t="s">
        <v>157</v>
      </c>
      <c r="D1729" s="166">
        <f>PubMachineryTables!$AL$69</f>
        <v>6.0443689501116911</v>
      </c>
      <c r="E1729" s="166">
        <f>TillageOperations!$M$29*$C$1647</f>
        <v>0</v>
      </c>
      <c r="F1729" s="166">
        <f t="shared" si="143"/>
        <v>0</v>
      </c>
      <c r="G1729" s="163" t="e">
        <f t="shared" si="142"/>
        <v>#DIV/0!</v>
      </c>
    </row>
    <row r="1730" spans="2:7">
      <c r="B1730" t="str">
        <f>TillageOperations!$B$17&amp;" (Repairs, maint., fuel &amp; lube)"</f>
        <v>Cotton Shredder/Root Puller (Repairs, maint., fuel &amp; lube)</v>
      </c>
      <c r="C1730" s="464" t="s">
        <v>157</v>
      </c>
      <c r="D1730" s="166">
        <f>PubMachineryTables!$AN$59+PubMachineryTables!$AM$59</f>
        <v>3.4657534246575339</v>
      </c>
      <c r="E1730" s="166">
        <f>TillageOperations!$M$17*$C$1647</f>
        <v>0</v>
      </c>
      <c r="F1730" s="166">
        <f t="shared" si="143"/>
        <v>0</v>
      </c>
      <c r="G1730" s="163" t="e">
        <f t="shared" si="142"/>
        <v>#DIV/0!</v>
      </c>
    </row>
    <row r="1731" spans="2:7">
      <c r="B1731" t="str">
        <f>TillageOperations!$B$17&amp;" (Labor)"</f>
        <v>Cotton Shredder/Root Puller (Labor)</v>
      </c>
      <c r="C1731" s="464" t="s">
        <v>157</v>
      </c>
      <c r="D1731" s="166">
        <f>PubMachineryTables!$AL$59</f>
        <v>2.965328767123288</v>
      </c>
      <c r="E1731" s="166">
        <f>TillageOperations!$M$17*$C$1647</f>
        <v>0</v>
      </c>
      <c r="F1731" s="166">
        <f t="shared" si="143"/>
        <v>0</v>
      </c>
      <c r="G1731" s="163" t="e">
        <f t="shared" si="142"/>
        <v>#DIV/0!</v>
      </c>
    </row>
    <row r="1732" spans="2:7">
      <c r="B1732" t="str">
        <f>TillageOperations!$B$30&amp;" (Repairs, maint., fuel &amp; lube)"</f>
        <v>Combine (Repairs, maint., fuel &amp; lube)</v>
      </c>
      <c r="C1732" s="464" t="s">
        <v>157</v>
      </c>
      <c r="D1732" s="166">
        <f>PubMachineryTables!$AN$70+PubMachineryTables!$AM$70</f>
        <v>4.8939818019913757</v>
      </c>
      <c r="E1732" s="166">
        <f>TillageOperations!$M$30*$C$1647</f>
        <v>0</v>
      </c>
      <c r="F1732" s="166">
        <f>D1732*E1732</f>
        <v>0</v>
      </c>
      <c r="G1732" s="163" t="e">
        <f t="shared" si="142"/>
        <v>#DIV/0!</v>
      </c>
    </row>
    <row r="1733" spans="2:7">
      <c r="B1733" t="str">
        <f>TillageOperations!$B$30&amp;" (Labor)"</f>
        <v>Combine (Labor)</v>
      </c>
      <c r="C1733" s="464" t="s">
        <v>157</v>
      </c>
      <c r="D1733" s="166">
        <f>PubMachineryTables!$AL$70</f>
        <v>1.591683823529412</v>
      </c>
      <c r="E1733" s="166">
        <f>TillageOperations!$M$30*$C$1647</f>
        <v>0</v>
      </c>
      <c r="F1733" s="166">
        <f>D1733*E1733</f>
        <v>0</v>
      </c>
      <c r="G1733" s="163" t="e">
        <f t="shared" si="142"/>
        <v>#DIV/0!</v>
      </c>
    </row>
    <row r="1734" spans="2:7">
      <c r="B1734" t="str">
        <f>TillageOperations!$B$31&amp;" (Repairs, maint., fuel &amp; lube)"</f>
        <v>Grain Cart (Repairs, maint., fuel &amp; lube)</v>
      </c>
      <c r="C1734" s="464" t="s">
        <v>157</v>
      </c>
      <c r="D1734" s="166">
        <f>PubMachineryTables!$AN$71+PubMachineryTables!$AM$71</f>
        <v>3.2163097667975675</v>
      </c>
      <c r="E1734" s="166">
        <f>TillageOperations!$M$31*$C$1647</f>
        <v>0</v>
      </c>
      <c r="F1734" s="166">
        <f>D1734*E1734</f>
        <v>0</v>
      </c>
      <c r="G1734" s="163" t="e">
        <f t="shared" si="142"/>
        <v>#DIV/0!</v>
      </c>
    </row>
    <row r="1735" spans="2:7">
      <c r="B1735" t="str">
        <f>TillageOperations!$B$31&amp;" (Labor)"</f>
        <v>Grain Cart (Labor)</v>
      </c>
      <c r="C1735" s="464" t="s">
        <v>157</v>
      </c>
      <c r="D1735" s="166">
        <f>PubMachineryTables!$AL$71</f>
        <v>1.591683823529412</v>
      </c>
      <c r="E1735" s="166">
        <f>TillageOperations!$M$31*$C$1647</f>
        <v>0</v>
      </c>
      <c r="F1735" s="166">
        <f>D1735*E1735</f>
        <v>0</v>
      </c>
      <c r="G1735" s="163" t="e">
        <f t="shared" si="142"/>
        <v>#DIV/0!</v>
      </c>
    </row>
    <row r="1736" spans="2:7">
      <c r="B1736" t="str">
        <f>TillageOperations!$B$32&amp;" (Repairs, maint., fuel &amp; lube)"</f>
        <v>Swather (Repairs, maint., fuel &amp; lube)</v>
      </c>
      <c r="C1736" s="464" t="s">
        <v>157</v>
      </c>
      <c r="D1736" s="166">
        <f>PubMachineryTables!$AN$72+PubMachineryTables!$AM$72</f>
        <v>2.0239999999999996</v>
      </c>
      <c r="E1736" s="166">
        <f>TillageOperations!$M$32*$C$1647</f>
        <v>0</v>
      </c>
      <c r="F1736" s="166">
        <f t="shared" ref="F1736:F1760" si="144">D1736*E1736</f>
        <v>0</v>
      </c>
      <c r="G1736" s="163" t="e">
        <f t="shared" si="142"/>
        <v>#DIV/0!</v>
      </c>
    </row>
    <row r="1737" spans="2:7">
      <c r="B1737" t="str">
        <f>TillageOperations!$B$32&amp;" (Labor)"</f>
        <v>Swather (Labor)</v>
      </c>
      <c r="C1737" s="464" t="s">
        <v>157</v>
      </c>
      <c r="D1737" s="166">
        <f>PubMachineryTables!$AL$72</f>
        <v>2.1646900000000002</v>
      </c>
      <c r="E1737" s="166">
        <f>TillageOperations!$M$32*$C$1647</f>
        <v>0</v>
      </c>
      <c r="F1737" s="166">
        <f t="shared" si="144"/>
        <v>0</v>
      </c>
      <c r="G1737" s="163" t="e">
        <f t="shared" si="142"/>
        <v>#DIV/0!</v>
      </c>
    </row>
    <row r="1738" spans="2:7">
      <c r="B1738" t="str">
        <f>TillageOperations!$B$33&amp;" (Repairs, maint., fuel &amp; lube)"</f>
        <v>Baler (Repairs, maint., fuel &amp; lube)</v>
      </c>
      <c r="C1738" s="464" t="s">
        <v>157</v>
      </c>
      <c r="D1738" s="166">
        <f>PubMachineryTables!$AN$73+PubMachineryTables!$AM$73</f>
        <v>3.953125</v>
      </c>
      <c r="E1738" s="166">
        <f>TillageOperations!$M$33*$C$1647</f>
        <v>0</v>
      </c>
      <c r="F1738" s="166">
        <f t="shared" si="144"/>
        <v>0</v>
      </c>
      <c r="G1738" s="163" t="e">
        <f t="shared" si="142"/>
        <v>#DIV/0!</v>
      </c>
    </row>
    <row r="1739" spans="2:7">
      <c r="B1739" t="str">
        <f>TillageOperations!$B$33&amp;" (Labor)"</f>
        <v>Baler (Labor)</v>
      </c>
      <c r="C1739" s="464" t="s">
        <v>157</v>
      </c>
      <c r="D1739" s="166">
        <f>PubMachineryTables!$AL$73</f>
        <v>3.3823281250000004</v>
      </c>
      <c r="E1739" s="166">
        <f>TillageOperations!$M$33*$C$1647</f>
        <v>0</v>
      </c>
      <c r="F1739" s="166">
        <f t="shared" si="144"/>
        <v>0</v>
      </c>
      <c r="G1739" s="163" t="e">
        <f t="shared" si="142"/>
        <v>#DIV/0!</v>
      </c>
    </row>
    <row r="1740" spans="2:7">
      <c r="B1740" t="str">
        <f>TillageOperations!$B$34&amp;" (Repairs, maint., fuel &amp; lube)"</f>
        <v>Swather (Repairs, maint., fuel &amp; lube)</v>
      </c>
      <c r="C1740" s="464" t="s">
        <v>157</v>
      </c>
      <c r="D1740" s="166">
        <f>PubMachineryTables!$AN$74+PubMachineryTables!$AM$74</f>
        <v>19.46153846153846</v>
      </c>
      <c r="E1740" s="166">
        <f>TillageOperations!$M$34*$C$1647</f>
        <v>0</v>
      </c>
      <c r="F1740" s="166">
        <f t="shared" si="144"/>
        <v>0</v>
      </c>
      <c r="G1740" s="163" t="e">
        <f t="shared" si="142"/>
        <v>#DIV/0!</v>
      </c>
    </row>
    <row r="1741" spans="2:7">
      <c r="B1741" t="str">
        <f>TillageOperations!$B$34&amp;" (Labor)"</f>
        <v>Swather (Labor)</v>
      </c>
      <c r="C1741" s="464" t="s">
        <v>157</v>
      </c>
      <c r="D1741" s="166">
        <f>PubMachineryTables!$AL$74</f>
        <v>20.814326923076923</v>
      </c>
      <c r="E1741" s="166">
        <f>TillageOperations!$M$34*$C$1647</f>
        <v>0</v>
      </c>
      <c r="F1741" s="166">
        <f t="shared" si="144"/>
        <v>0</v>
      </c>
      <c r="G1741" s="163" t="e">
        <f t="shared" si="142"/>
        <v>#DIV/0!</v>
      </c>
    </row>
    <row r="1742" spans="2:7">
      <c r="B1742" t="str">
        <f>TillageOperations!$B$35&amp;" (Repairs, maint., fuel &amp; lube)"</f>
        <v>Baler (Repairs, maint., fuel &amp; lube)</v>
      </c>
      <c r="C1742" s="464" t="s">
        <v>157</v>
      </c>
      <c r="D1742" s="166">
        <f>PubMachineryTables!$AN$75+PubMachineryTables!$AM$75</f>
        <v>24.326923076923073</v>
      </c>
      <c r="E1742" s="166">
        <f>TillageOperations!$M$35*$C$1647</f>
        <v>0</v>
      </c>
      <c r="F1742" s="166">
        <f t="shared" si="144"/>
        <v>0</v>
      </c>
      <c r="G1742" s="163" t="e">
        <f t="shared" si="142"/>
        <v>#DIV/0!</v>
      </c>
    </row>
    <row r="1743" spans="2:7">
      <c r="B1743" t="str">
        <f>TillageOperations!$B$35&amp;" (Labor)"</f>
        <v>Baler (Labor)</v>
      </c>
      <c r="C1743" s="464" t="s">
        <v>157</v>
      </c>
      <c r="D1743" s="166">
        <f>PubMachineryTables!$AL$75</f>
        <v>20.814326923076923</v>
      </c>
      <c r="E1743" s="166">
        <f>TillageOperations!$M$35*$C$1647</f>
        <v>0</v>
      </c>
      <c r="F1743" s="166">
        <f t="shared" si="144"/>
        <v>0</v>
      </c>
      <c r="G1743" s="163" t="e">
        <f t="shared" si="142"/>
        <v>#DIV/0!</v>
      </c>
    </row>
    <row r="1744" spans="2:7">
      <c r="B1744" t="str">
        <f>'Inputs&amp;PricesbyCrop'!$B$31</f>
        <v xml:space="preserve">   - Baling Twine</v>
      </c>
      <c r="C1744" s="137" t="str">
        <f>'Inputs&amp;PricesbyCrop'!$C$31</f>
        <v>acre</v>
      </c>
      <c r="D1744" s="166">
        <f>'Inputs&amp;PricesbyCrop'!$N$31</f>
        <v>0</v>
      </c>
      <c r="E1744" s="166">
        <f>$C$1647</f>
        <v>0</v>
      </c>
      <c r="F1744" s="166">
        <f t="shared" si="144"/>
        <v>0</v>
      </c>
      <c r="G1744" s="163" t="e">
        <f t="shared" si="142"/>
        <v>#DIV/0!</v>
      </c>
    </row>
    <row r="1745" spans="2:7">
      <c r="B1745" t="str">
        <f>TillageOperations!$B$36&amp;" (Repairs, maint., fuel &amp; lube)"</f>
        <v>Bale Wagon (Repairs, maint., fuel &amp; lube)</v>
      </c>
      <c r="C1745" s="464" t="s">
        <v>157</v>
      </c>
      <c r="D1745" s="166">
        <f>PubMachineryTables!$AN$76+PubMachineryTables!$AM$76</f>
        <v>3.1624999999999996</v>
      </c>
      <c r="E1745" s="166">
        <f>TillageOperations!$M$36*$C$1647</f>
        <v>0</v>
      </c>
      <c r="F1745" s="166">
        <f t="shared" si="144"/>
        <v>0</v>
      </c>
      <c r="G1745" s="163" t="e">
        <f t="shared" si="142"/>
        <v>#DIV/0!</v>
      </c>
    </row>
    <row r="1746" spans="2:7">
      <c r="B1746" t="str">
        <f>TillageOperations!$B$36&amp;" (Labor)"</f>
        <v>Bale Wagon (Labor)</v>
      </c>
      <c r="C1746" s="464" t="s">
        <v>157</v>
      </c>
      <c r="D1746" s="166">
        <f>PubMachineryTables!$AL$76</f>
        <v>3.3823281250000004</v>
      </c>
      <c r="E1746" s="166">
        <f>TillageOperations!$M$36*$C$1647</f>
        <v>0</v>
      </c>
      <c r="F1746" s="166">
        <f t="shared" si="144"/>
        <v>0</v>
      </c>
      <c r="G1746" s="163" t="e">
        <f t="shared" si="142"/>
        <v>#DIV/0!</v>
      </c>
    </row>
    <row r="1747" spans="2:7">
      <c r="B1747" t="str">
        <f>TillageOperations!$B$23&amp;" (Repairs, maint., fuel &amp; lube)"</f>
        <v>Fertilizer Spreader (Repairs, maint., fuel &amp; lube)</v>
      </c>
      <c r="C1747" s="464" t="s">
        <v>157</v>
      </c>
      <c r="D1747" s="166">
        <f>PubMachineryTables!$AM$64+PubMachineryTables!$AN$64</f>
        <v>2.6573732562743069</v>
      </c>
      <c r="E1747" s="166">
        <f>TillageOperations!$M$23*$C$1647</f>
        <v>0</v>
      </c>
      <c r="F1747" s="168">
        <f t="shared" si="144"/>
        <v>0</v>
      </c>
      <c r="G1747" s="163" t="e">
        <f t="shared" si="142"/>
        <v>#DIV/0!</v>
      </c>
    </row>
    <row r="1748" spans="2:7">
      <c r="B1748" t="str">
        <f>TillageOperations!$B$23&amp;" (Labor)"</f>
        <v>Fertilizer Spreader (Labor)</v>
      </c>
      <c r="C1748" s="464" t="s">
        <v>157</v>
      </c>
      <c r="D1748" s="166">
        <f>PubMachineryTables!$AL$64</f>
        <v>1.879071180555556</v>
      </c>
      <c r="E1748" s="166">
        <f>TillageOperations!$M$23*$C$1647</f>
        <v>0</v>
      </c>
      <c r="F1748" s="168">
        <f t="shared" si="144"/>
        <v>0</v>
      </c>
      <c r="G1748" s="163" t="e">
        <f t="shared" si="142"/>
        <v>#DIV/0!</v>
      </c>
    </row>
    <row r="1749" spans="2:7">
      <c r="B1749" t="str">
        <f>TillageOperations!$B$24&amp;" (Repairs, maint., fuel &amp; lube)"</f>
        <v>Fertilizer Injection System (Repairs, maint., fuel &amp; lube)</v>
      </c>
      <c r="C1749" s="464" t="s">
        <v>157</v>
      </c>
      <c r="D1749" s="166">
        <f>PubMachineryTables!$AM$65+PubMachineryTables!$AN$65</f>
        <v>8.4333333333333336</v>
      </c>
      <c r="E1749" s="166">
        <f>TillageOperations!$M$24*$C$1647</f>
        <v>0</v>
      </c>
      <c r="F1749" s="168">
        <f t="shared" si="144"/>
        <v>0</v>
      </c>
      <c r="G1749" s="163" t="e">
        <f t="shared" si="142"/>
        <v>#DIV/0!</v>
      </c>
    </row>
    <row r="1750" spans="2:7">
      <c r="B1750" t="str">
        <f>TillageOperations!$B$24&amp;" (Labor)"</f>
        <v>Fertilizer Injection System (Labor)</v>
      </c>
      <c r="C1750" s="464" t="s">
        <v>157</v>
      </c>
      <c r="D1750" s="166">
        <f>PubMachineryTables!$AL$65</f>
        <v>4.5097708333333344</v>
      </c>
      <c r="E1750" s="166">
        <f>TillageOperations!$M$24*$C$1647</f>
        <v>0</v>
      </c>
      <c r="F1750" s="168">
        <f t="shared" si="144"/>
        <v>0</v>
      </c>
      <c r="G1750" s="163" t="e">
        <f t="shared" si="142"/>
        <v>#DIV/0!</v>
      </c>
    </row>
    <row r="1751" spans="2:7">
      <c r="B1751" t="str">
        <f>TillageOperations!$B$25&amp;" (Repairs, maint., fuel &amp; lube)"</f>
        <v>Boom Sprayer (Repairs, maint., fuel &amp; lube)</v>
      </c>
      <c r="C1751" s="464" t="s">
        <v>157</v>
      </c>
      <c r="D1751" s="166">
        <f>PubMachineryTables!AN$66+PubMachineryTables!$AM$66</f>
        <v>1.5996307048468115</v>
      </c>
      <c r="E1751" s="166">
        <f>TillageOperations!$M$25*$C$1647</f>
        <v>0</v>
      </c>
      <c r="F1751" s="166">
        <f t="shared" si="144"/>
        <v>0</v>
      </c>
      <c r="G1751" s="163" t="e">
        <f t="shared" si="142"/>
        <v>#DIV/0!</v>
      </c>
    </row>
    <row r="1752" spans="2:7">
      <c r="B1752" t="str">
        <f>TillageOperations!$B$25&amp;" (Labor)"</f>
        <v>Boom Sprayer (Labor)</v>
      </c>
      <c r="C1752" s="464" t="s">
        <v>157</v>
      </c>
      <c r="D1752" s="166">
        <f>PubMachineryTables!$AL$66</f>
        <v>1.1893901098901098</v>
      </c>
      <c r="E1752" s="166">
        <f>TillageOperations!$M$25*$C$1647</f>
        <v>0</v>
      </c>
      <c r="F1752" s="166">
        <f t="shared" si="144"/>
        <v>0</v>
      </c>
      <c r="G1752" s="163" t="e">
        <f t="shared" si="142"/>
        <v>#DIV/0!</v>
      </c>
    </row>
    <row r="1753" spans="2:7">
      <c r="B1753" t="str">
        <f>TillageOperations!$B$22&amp;" (Repairs, maint., fuel &amp; lube)"</f>
        <v>Transplanter (Repairs, maint., fuel &amp; lube)</v>
      </c>
      <c r="C1753" s="464" t="s">
        <v>157</v>
      </c>
      <c r="D1753" s="166">
        <f>PubMachineryTables!AN$63+PubMachineryTables!$AM$63</f>
        <v>61.668749999999996</v>
      </c>
      <c r="E1753" s="166">
        <f>TillageOperations!$M$22*$C$1647</f>
        <v>0</v>
      </c>
      <c r="F1753" s="166">
        <f>D1753*E1753</f>
        <v>0</v>
      </c>
      <c r="G1753" s="163" t="e">
        <f t="shared" si="142"/>
        <v>#DIV/0!</v>
      </c>
    </row>
    <row r="1754" spans="2:7">
      <c r="B1754" t="str">
        <f>TillageOperations!$B$22&amp;" (Labor)"</f>
        <v>Transplanter (Labor)</v>
      </c>
      <c r="C1754" s="464" t="s">
        <v>157</v>
      </c>
      <c r="D1754" s="166">
        <f>PubMachineryTables!$AL$63</f>
        <v>20.293968750000001</v>
      </c>
      <c r="E1754" s="166">
        <f>TillageOperations!$M$22*$C$1647</f>
        <v>0</v>
      </c>
      <c r="F1754" s="166">
        <f t="shared" si="144"/>
        <v>0</v>
      </c>
      <c r="G1754" s="163" t="e">
        <f t="shared" si="142"/>
        <v>#DIV/0!</v>
      </c>
    </row>
    <row r="1755" spans="2:7">
      <c r="B1755" t="str">
        <f>'Inputs&amp;PricesbyCrop'!$B$14</f>
        <v>Additional Land Prep. Labor</v>
      </c>
      <c r="C1755" s="137" t="str">
        <f>'Inputs&amp;PricesbyCrop'!$C$14</f>
        <v>hour</v>
      </c>
      <c r="D1755" s="166">
        <f>GeneralInputPrices!$D$30</f>
        <v>14.55</v>
      </c>
      <c r="E1755" s="166">
        <f>'Inputs&amp;PricesbyCrop'!$N$14*BASEBUDGETS!$C1647</f>
        <v>0</v>
      </c>
      <c r="F1755" s="166">
        <f t="shared" si="144"/>
        <v>0</v>
      </c>
      <c r="G1755" s="163" t="e">
        <f t="shared" si="142"/>
        <v>#DIV/0!</v>
      </c>
    </row>
    <row r="1756" spans="2:7">
      <c r="B1756" t="str">
        <f>'Inputs&amp;PricesbyCrop'!$B$15</f>
        <v>Additional Land Prep. Labor</v>
      </c>
      <c r="C1756" s="137" t="str">
        <f>'Inputs&amp;PricesbyCrop'!$C$15</f>
        <v>hour</v>
      </c>
      <c r="D1756" s="166">
        <f>GeneralInputPrices!$D$30</f>
        <v>14.55</v>
      </c>
      <c r="E1756" s="166">
        <f>'Inputs&amp;PricesbyCrop'!$N$15*BASEBUDGETS!$C1647</f>
        <v>0</v>
      </c>
      <c r="F1756" s="166">
        <f t="shared" si="144"/>
        <v>0</v>
      </c>
      <c r="G1756" s="163" t="e">
        <f t="shared" si="142"/>
        <v>#DIV/0!</v>
      </c>
    </row>
    <row r="1757" spans="2:7">
      <c r="B1757" t="str">
        <f>'Inputs&amp;PricesbyCrop'!$B$17</f>
        <v>Additional Crop Prod. Labor</v>
      </c>
      <c r="C1757" s="137" t="str">
        <f>'Inputs&amp;PricesbyCrop'!$C$17</f>
        <v>hour</v>
      </c>
      <c r="D1757" s="166">
        <f>GeneralInputPrices!$D$31</f>
        <v>14.55</v>
      </c>
      <c r="E1757" s="166">
        <f>'Inputs&amp;PricesbyCrop'!$N$17*BASEBUDGETS!$C1647</f>
        <v>0</v>
      </c>
      <c r="F1757" s="166">
        <f t="shared" si="144"/>
        <v>0</v>
      </c>
      <c r="G1757" s="163" t="e">
        <f t="shared" si="142"/>
        <v>#DIV/0!</v>
      </c>
    </row>
    <row r="1758" spans="2:7">
      <c r="B1758" t="str">
        <f>'Inputs&amp;PricesbyCrop'!$B$18</f>
        <v>Additional Crop Prod. Labor</v>
      </c>
      <c r="C1758" s="137" t="str">
        <f>'Inputs&amp;PricesbyCrop'!$C$18</f>
        <v>hour</v>
      </c>
      <c r="D1758" s="166">
        <f>GeneralInputPrices!$D$31</f>
        <v>14.55</v>
      </c>
      <c r="E1758" s="166">
        <f>'Inputs&amp;PricesbyCrop'!$N$18*BASEBUDGETS!$C1647</f>
        <v>0</v>
      </c>
      <c r="F1758" s="166">
        <f t="shared" si="144"/>
        <v>0</v>
      </c>
      <c r="G1758" s="163" t="e">
        <f t="shared" si="142"/>
        <v>#DIV/0!</v>
      </c>
    </row>
    <row r="1759" spans="2:7">
      <c r="B1759" t="str">
        <f>'Inputs&amp;PricesbyCrop'!$B$20</f>
        <v>Additional Harvest Labor</v>
      </c>
      <c r="C1759" s="137" t="str">
        <f>'Inputs&amp;PricesbyCrop'!$C$20</f>
        <v>hour</v>
      </c>
      <c r="D1759" s="166">
        <f>GeneralInputPrices!$D$32</f>
        <v>17.89</v>
      </c>
      <c r="E1759" s="166">
        <f>'Inputs&amp;PricesbyCrop'!$N$20*BASEBUDGETS!$C1647</f>
        <v>0</v>
      </c>
      <c r="F1759" s="166">
        <f t="shared" si="144"/>
        <v>0</v>
      </c>
      <c r="G1759" s="163" t="e">
        <f t="shared" si="142"/>
        <v>#DIV/0!</v>
      </c>
    </row>
    <row r="1760" spans="2:7">
      <c r="B1760" t="str">
        <f>'Inputs&amp;PricesbyCrop'!$B$21</f>
        <v>Additional Harvest Labor</v>
      </c>
      <c r="C1760" s="137" t="str">
        <f>'Inputs&amp;PricesbyCrop'!$C$21</f>
        <v>hour</v>
      </c>
      <c r="D1760" s="166">
        <f>GeneralInputPrices!$D$32</f>
        <v>17.89</v>
      </c>
      <c r="E1760" s="166">
        <f>'Inputs&amp;PricesbyCrop'!$N$21*BASEBUDGETS!$C1647</f>
        <v>0</v>
      </c>
      <c r="F1760" s="166">
        <f t="shared" si="144"/>
        <v>0</v>
      </c>
      <c r="G1760" s="163" t="e">
        <f t="shared" si="142"/>
        <v>#DIV/0!</v>
      </c>
    </row>
    <row r="1761" spans="2:7">
      <c r="B1761" t="s">
        <v>59</v>
      </c>
      <c r="C1761" s="137" t="str">
        <f>GeneralInputPrices!$C$34</f>
        <v>percent</v>
      </c>
      <c r="D1761" s="138">
        <f>GeneralInputPrices!$D$34</f>
        <v>0.05</v>
      </c>
      <c r="E1761" s="75" t="s">
        <v>10</v>
      </c>
      <c r="F1761" s="37">
        <f>SUM(F1655:F1760)*D1761</f>
        <v>0</v>
      </c>
      <c r="G1761" s="163" t="e">
        <f t="shared" si="142"/>
        <v>#DIV/0!</v>
      </c>
    </row>
    <row r="1762" spans="2:7">
      <c r="B1762" t="s">
        <v>60</v>
      </c>
      <c r="C1762" s="137" t="str">
        <f>GeneralInputPrices!$C$34</f>
        <v>percent</v>
      </c>
      <c r="D1762" s="138">
        <f>GeneralInputPrices!$D$35</f>
        <v>0.06</v>
      </c>
      <c r="F1762" s="139">
        <f>SUM(F1655:F1761)*((D1762/12)*GeneralInputPrices!$D$39)</f>
        <v>0</v>
      </c>
      <c r="G1762" s="163" t="e">
        <f t="shared" si="142"/>
        <v>#DIV/0!</v>
      </c>
    </row>
    <row r="1763" spans="2:7">
      <c r="B1763" t="s">
        <v>61</v>
      </c>
      <c r="D1763" s="454"/>
      <c r="F1763" s="37">
        <f>SUM(F1655:F1762)</f>
        <v>0</v>
      </c>
      <c r="G1763" s="163" t="e">
        <f t="shared" si="142"/>
        <v>#DIV/0!</v>
      </c>
    </row>
    <row r="1764" spans="2:7">
      <c r="D1764" s="454"/>
      <c r="G1764" s="163" t="e">
        <f t="shared" si="142"/>
        <v>#DIV/0!</v>
      </c>
    </row>
    <row r="1765" spans="2:7">
      <c r="B1765" s="140" t="s">
        <v>129</v>
      </c>
      <c r="C1765" s="458" t="s">
        <v>1</v>
      </c>
      <c r="D1765" s="459" t="s">
        <v>24</v>
      </c>
      <c r="E1765" s="460" t="s">
        <v>25</v>
      </c>
      <c r="F1765" s="460" t="s">
        <v>0</v>
      </c>
      <c r="G1765" s="163" t="e">
        <f t="shared" si="142"/>
        <v>#VALUE!</v>
      </c>
    </row>
    <row r="1766" spans="2:7">
      <c r="B1766" t="str">
        <f>GeneralInputPrices!$B$15&amp;" - Upfront Costs for New System"</f>
        <v>Flood - Upfront Costs for New System</v>
      </c>
      <c r="C1766" s="453" t="str">
        <f>GeneralInputPrices!$C$16</f>
        <v>acre</v>
      </c>
      <c r="D1766">
        <f>IF('BreakevenInputs&amp;Resources'!T$16=0,0,(('BreakevenInputs&amp;Resources'!T$16/GeneralInputPrices!$D$17)*('AcresYieldsPrices&amp;Water'!$Q$18/'AcresYieldsPrices&amp;Water'!$Q$31))/$C1647)</f>
        <v>0</v>
      </c>
      <c r="E1766" s="166">
        <f>$C1647</f>
        <v>0</v>
      </c>
      <c r="F1766" s="166">
        <f>D1766*E1766</f>
        <v>0</v>
      </c>
      <c r="G1766" s="163" t="e">
        <f t="shared" si="142"/>
        <v>#DIV/0!</v>
      </c>
    </row>
    <row r="1767" spans="2:7">
      <c r="B1767" t="str">
        <f>GeneralInputPrices!$B$19&amp;" - Upfront Costs for New System"</f>
        <v>Drip-tape - Upfront Costs for New System</v>
      </c>
      <c r="C1767" s="453" t="str">
        <f>GeneralInputPrices!$C$20</f>
        <v>acre</v>
      </c>
      <c r="D1767">
        <f>IF('BreakevenInputs&amp;Resources'!T$17=0,0,(('BreakevenInputs&amp;Resources'!T$17/GeneralInputPrices!$D$21)*('AcresYieldsPrices&amp;Water'!$Q$18/'AcresYieldsPrices&amp;Water'!$Q$31))/$C1647)</f>
        <v>0</v>
      </c>
      <c r="E1767" s="166">
        <f>$C1647</f>
        <v>0</v>
      </c>
      <c r="F1767" s="166">
        <f>D1767*E1767</f>
        <v>0</v>
      </c>
      <c r="G1767" s="163" t="e">
        <f t="shared" si="142"/>
        <v>#DIV/0!</v>
      </c>
    </row>
    <row r="1768" spans="2:7">
      <c r="B1768" t="str">
        <f>GeneralInputPrices!$B$23&amp;" - Upfront Costs for New System"</f>
        <v>Sprinkler - Upfront Costs for New System</v>
      </c>
      <c r="C1768" s="453" t="str">
        <f>GeneralInputPrices!$C$24</f>
        <v>acre</v>
      </c>
      <c r="D1768">
        <f>IF('BreakevenInputs&amp;Resources'!T$18=0,0,(('BreakevenInputs&amp;Resources'!T$18/GeneralInputPrices!$D$25)*('AcresYieldsPrices&amp;Water'!$Q$18/'AcresYieldsPrices&amp;Water'!$Q$31))/$C1647)</f>
        <v>0</v>
      </c>
      <c r="E1768" s="166">
        <f>$C1647</f>
        <v>0</v>
      </c>
      <c r="F1768" s="166">
        <f>D1768*E1768</f>
        <v>0</v>
      </c>
      <c r="G1768" s="163" t="e">
        <f t="shared" si="142"/>
        <v>#DIV/0!</v>
      </c>
    </row>
    <row r="1769" spans="2:7">
      <c r="B1769" s="463" t="str">
        <f>TillageOperations!$B$7</f>
        <v>V-Ripper</v>
      </c>
      <c r="C1769" s="464" t="s">
        <v>157</v>
      </c>
      <c r="D1769" s="166">
        <f>PubMachineryTables!$AO$49</f>
        <v>209.18701372031111</v>
      </c>
      <c r="E1769" s="166">
        <f>E1698</f>
        <v>0</v>
      </c>
      <c r="F1769" s="168">
        <f t="shared" ref="F1769:F1780" si="145">D1769*E1769</f>
        <v>0</v>
      </c>
      <c r="G1769" s="163" t="e">
        <f t="shared" si="142"/>
        <v>#DIV/0!</v>
      </c>
    </row>
    <row r="1770" spans="2:7">
      <c r="B1770" s="463" t="str">
        <f>TillageOperations!$B$8</f>
        <v>Offset Disk</v>
      </c>
      <c r="C1770" s="464" t="s">
        <v>157</v>
      </c>
      <c r="D1770" s="166">
        <f>PubMachineryTables!$AO$50</f>
        <v>42.467441655558019</v>
      </c>
      <c r="E1770" s="166">
        <f>E1700</f>
        <v>0</v>
      </c>
      <c r="F1770" s="166">
        <f t="shared" si="145"/>
        <v>0</v>
      </c>
      <c r="G1770" s="163" t="e">
        <f t="shared" si="142"/>
        <v>#DIV/0!</v>
      </c>
    </row>
    <row r="1771" spans="2:7">
      <c r="B1771" s="463" t="str">
        <f>TillageOperations!$B$9</f>
        <v>Drag</v>
      </c>
      <c r="C1771" s="464" t="s">
        <v>157</v>
      </c>
      <c r="D1771" s="166">
        <f>PubMachineryTables!$AO$51</f>
        <v>0</v>
      </c>
      <c r="E1771" s="166">
        <f>E1702</f>
        <v>0</v>
      </c>
      <c r="F1771" s="166">
        <f t="shared" si="145"/>
        <v>0</v>
      </c>
      <c r="G1771" s="163" t="e">
        <f t="shared" si="142"/>
        <v>#DIV/0!</v>
      </c>
    </row>
    <row r="1772" spans="2:7">
      <c r="B1772" s="463" t="str">
        <f>TillageOperations!$B$10</f>
        <v>Chisel</v>
      </c>
      <c r="C1772" s="464" t="s">
        <v>157</v>
      </c>
      <c r="D1772" s="166">
        <f>PubMachineryTables!$AO$52</f>
        <v>40.724752902248241</v>
      </c>
      <c r="E1772" s="166">
        <f>E1704</f>
        <v>0</v>
      </c>
      <c r="F1772" s="166">
        <f t="shared" si="145"/>
        <v>0</v>
      </c>
      <c r="G1772" s="163" t="e">
        <f t="shared" si="142"/>
        <v>#DIV/0!</v>
      </c>
    </row>
    <row r="1773" spans="2:7">
      <c r="B1773" s="463" t="str">
        <f>TillageOperations!$B$11</f>
        <v>Moldboard Plow</v>
      </c>
      <c r="C1773" s="464" t="s">
        <v>157</v>
      </c>
      <c r="D1773" s="166">
        <f>PubMachineryTables!$AO$53</f>
        <v>0</v>
      </c>
      <c r="E1773" s="166">
        <f>E1706</f>
        <v>0</v>
      </c>
      <c r="F1773" s="166">
        <f t="shared" si="145"/>
        <v>0</v>
      </c>
      <c r="G1773" s="163" t="e">
        <f t="shared" si="142"/>
        <v>#DIV/0!</v>
      </c>
    </row>
    <row r="1774" spans="2:7">
      <c r="B1774" s="463" t="str">
        <f>TillageOperations!$B$12</f>
        <v>Cultivator</v>
      </c>
      <c r="C1774" s="464" t="s">
        <v>157</v>
      </c>
      <c r="D1774" s="166">
        <f>PubMachineryTables!$AO$54</f>
        <v>0</v>
      </c>
      <c r="E1774" s="166">
        <f>E1708</f>
        <v>0</v>
      </c>
      <c r="F1774" s="166">
        <f t="shared" si="145"/>
        <v>0</v>
      </c>
      <c r="G1774" s="163" t="e">
        <f t="shared" si="142"/>
        <v>#DIV/0!</v>
      </c>
    </row>
    <row r="1775" spans="2:7">
      <c r="B1775" s="463" t="str">
        <f>TillageOperations!$B$13</f>
        <v>Landplane</v>
      </c>
      <c r="C1775" s="464" t="s">
        <v>157</v>
      </c>
      <c r="D1775" s="166">
        <f>PubMachineryTables!$AO$55</f>
        <v>107.77752986339607</v>
      </c>
      <c r="E1775" s="166">
        <f>E1710</f>
        <v>0</v>
      </c>
      <c r="F1775" s="166">
        <f t="shared" si="145"/>
        <v>0</v>
      </c>
      <c r="G1775" s="163" t="e">
        <f t="shared" si="142"/>
        <v>#DIV/0!</v>
      </c>
    </row>
    <row r="1776" spans="2:7">
      <c r="B1776" s="463" t="str">
        <f>TillageOperations!$B$14</f>
        <v>Float</v>
      </c>
      <c r="C1776" s="464" t="s">
        <v>157</v>
      </c>
      <c r="D1776" s="166">
        <f>PubMachineryTables!$AO$56</f>
        <v>0</v>
      </c>
      <c r="E1776" s="166">
        <f>E1712</f>
        <v>0</v>
      </c>
      <c r="F1776" s="166">
        <f t="shared" si="145"/>
        <v>0</v>
      </c>
      <c r="G1776" s="163" t="e">
        <f t="shared" si="142"/>
        <v>#DIV/0!</v>
      </c>
    </row>
    <row r="1777" spans="2:7">
      <c r="B1777" s="463" t="str">
        <f>TillageOperations!$B$15</f>
        <v>Lister</v>
      </c>
      <c r="C1777" s="464" t="s">
        <v>157</v>
      </c>
      <c r="D1777" s="166">
        <f>PubMachineryTables!$AO$57</f>
        <v>72.676050764764099</v>
      </c>
      <c r="E1777" s="166">
        <f>E1714</f>
        <v>0</v>
      </c>
      <c r="F1777" s="166">
        <f t="shared" si="145"/>
        <v>0</v>
      </c>
      <c r="G1777" s="163" t="e">
        <f t="shared" si="142"/>
        <v>#DIV/0!</v>
      </c>
    </row>
    <row r="1778" spans="2:7">
      <c r="B1778" s="463" t="str">
        <f>TillageOperations!$B$16</f>
        <v>Bed Shaper</v>
      </c>
      <c r="C1778" s="464" t="s">
        <v>157</v>
      </c>
      <c r="D1778" s="166">
        <f>PubMachineryTables!$AO$58</f>
        <v>50.420091551988918</v>
      </c>
      <c r="E1778" s="166">
        <f>E1716</f>
        <v>0</v>
      </c>
      <c r="F1778" s="166">
        <f t="shared" si="145"/>
        <v>0</v>
      </c>
      <c r="G1778" s="163" t="e">
        <f t="shared" si="142"/>
        <v>#DIV/0!</v>
      </c>
    </row>
    <row r="1779" spans="2:7">
      <c r="B1779" s="463" t="str">
        <f>TillageOperations!$B$19</f>
        <v>Row Planter</v>
      </c>
      <c r="C1779" s="464" t="s">
        <v>157</v>
      </c>
      <c r="D1779" s="166">
        <f>PubMachineryTables!$AO$60</f>
        <v>218.60367298033367</v>
      </c>
      <c r="E1779" s="166">
        <f>E1718</f>
        <v>0</v>
      </c>
      <c r="F1779" s="166">
        <f t="shared" si="145"/>
        <v>0</v>
      </c>
      <c r="G1779" s="163" t="e">
        <f t="shared" si="142"/>
        <v>#DIV/0!</v>
      </c>
    </row>
    <row r="1780" spans="2:7">
      <c r="B1780" s="463" t="str">
        <f>TillageOperations!$B$20</f>
        <v>Row Cultivator</v>
      </c>
      <c r="C1780" s="464" t="s">
        <v>157</v>
      </c>
      <c r="D1780" s="166">
        <f>PubMachineryTables!$AO$61</f>
        <v>74.064902712939798</v>
      </c>
      <c r="E1780" s="166">
        <f>E1720</f>
        <v>0</v>
      </c>
      <c r="F1780" s="166">
        <f t="shared" si="145"/>
        <v>0</v>
      </c>
      <c r="G1780" s="163" t="e">
        <f t="shared" si="142"/>
        <v>#DIV/0!</v>
      </c>
    </row>
    <row r="1781" spans="2:7">
      <c r="B1781" s="465" t="str">
        <f>TillageOperations!$B$21</f>
        <v>Drill</v>
      </c>
      <c r="C1781" s="464" t="s">
        <v>157</v>
      </c>
      <c r="D1781" s="166">
        <f>PubMachineryTables!$AO$62</f>
        <v>51.837941761576523</v>
      </c>
      <c r="E1781" s="166">
        <f>E1722</f>
        <v>0</v>
      </c>
      <c r="F1781" s="166">
        <f t="shared" ref="F1781:F1785" si="146">D1781*E1781</f>
        <v>0</v>
      </c>
      <c r="G1781" s="163" t="e">
        <f t="shared" ref="G1781:G1806" si="147">F1781/C$1647</f>
        <v>#DIV/0!</v>
      </c>
    </row>
    <row r="1782" spans="2:7">
      <c r="B1782" s="463" t="str">
        <f>TillageOperations!$B$27</f>
        <v>Cotton Picker</v>
      </c>
      <c r="C1782" s="464" t="s">
        <v>157</v>
      </c>
      <c r="D1782" s="166">
        <f>PubMachineryTables!$AO$67</f>
        <v>0</v>
      </c>
      <c r="E1782" s="166">
        <f>E1724</f>
        <v>0</v>
      </c>
      <c r="F1782" s="166">
        <f t="shared" si="146"/>
        <v>0</v>
      </c>
      <c r="G1782" s="163" t="e">
        <f t="shared" si="147"/>
        <v>#DIV/0!</v>
      </c>
    </row>
    <row r="1783" spans="2:7">
      <c r="B1783" s="463" t="str">
        <f>TillageOperations!$B$28</f>
        <v>Module Unit</v>
      </c>
      <c r="C1783" s="464" t="s">
        <v>157</v>
      </c>
      <c r="D1783" s="166">
        <f>PubMachineryTables!$AO$68</f>
        <v>0</v>
      </c>
      <c r="E1783" s="166">
        <f>E1726</f>
        <v>0</v>
      </c>
      <c r="F1783" s="166">
        <f t="shared" si="146"/>
        <v>0</v>
      </c>
      <c r="G1783" s="163" t="e">
        <f t="shared" si="147"/>
        <v>#DIV/0!</v>
      </c>
    </row>
    <row r="1784" spans="2:7">
      <c r="B1784" s="463" t="str">
        <f>TillageOperations!$B$29</f>
        <v>Haul Cotton</v>
      </c>
      <c r="C1784" s="464" t="s">
        <v>157</v>
      </c>
      <c r="D1784" s="166">
        <f>PubMachineryTables!$AO$69</f>
        <v>0</v>
      </c>
      <c r="E1784" s="166">
        <f>E1728</f>
        <v>0</v>
      </c>
      <c r="F1784" s="166">
        <f t="shared" si="146"/>
        <v>0</v>
      </c>
      <c r="G1784" s="163" t="e">
        <f t="shared" si="147"/>
        <v>#DIV/0!</v>
      </c>
    </row>
    <row r="1785" spans="2:7">
      <c r="B1785" s="465" t="str">
        <f>TillageOperations!$B$17</f>
        <v>Cotton Shredder/Root Puller</v>
      </c>
      <c r="C1785" s="464" t="s">
        <v>157</v>
      </c>
      <c r="D1785" s="166">
        <f>PubMachineryTables!$AO$59</f>
        <v>0</v>
      </c>
      <c r="E1785" s="166">
        <f>E1730</f>
        <v>0</v>
      </c>
      <c r="F1785" s="166">
        <f t="shared" si="146"/>
        <v>0</v>
      </c>
      <c r="G1785" s="163" t="e">
        <f t="shared" si="147"/>
        <v>#DIV/0!</v>
      </c>
    </row>
    <row r="1786" spans="2:7">
      <c r="B1786" s="102" t="str">
        <f>TillageOperations!$B$30</f>
        <v>Combine</v>
      </c>
      <c r="C1786" s="464" t="s">
        <v>157</v>
      </c>
      <c r="D1786" s="166">
        <f>PubMachineryTables!$AO$70</f>
        <v>154.43457969840463</v>
      </c>
      <c r="E1786" s="166">
        <f>E1732</f>
        <v>0</v>
      </c>
      <c r="F1786" s="166">
        <f>D1786*E1786</f>
        <v>0</v>
      </c>
      <c r="G1786" s="163" t="e">
        <f t="shared" si="147"/>
        <v>#DIV/0!</v>
      </c>
    </row>
    <row r="1787" spans="2:7">
      <c r="B1787" s="102" t="str">
        <f>TillageOperations!$B$31</f>
        <v>Grain Cart</v>
      </c>
      <c r="C1787" s="464" t="s">
        <v>157</v>
      </c>
      <c r="D1787" s="166">
        <f>PubMachineryTables!$AO$71</f>
        <v>25.28843211678571</v>
      </c>
      <c r="E1787" s="166">
        <f>E1734</f>
        <v>0</v>
      </c>
      <c r="F1787" s="166">
        <f>D1787*E1787</f>
        <v>0</v>
      </c>
      <c r="G1787" s="163" t="e">
        <f t="shared" si="147"/>
        <v>#DIV/0!</v>
      </c>
    </row>
    <row r="1788" spans="2:7">
      <c r="B1788" s="102" t="str">
        <f>TillageOperations!$B$32</f>
        <v>Swather</v>
      </c>
      <c r="C1788" s="464" t="s">
        <v>157</v>
      </c>
      <c r="D1788" s="166">
        <f>PubMachineryTables!$AO$72</f>
        <v>0</v>
      </c>
      <c r="E1788" s="166">
        <f>E1736</f>
        <v>0</v>
      </c>
      <c r="F1788" s="166">
        <f t="shared" ref="F1788:F1796" si="148">D1788*E1788</f>
        <v>0</v>
      </c>
      <c r="G1788" s="163" t="e">
        <f t="shared" si="147"/>
        <v>#DIV/0!</v>
      </c>
    </row>
    <row r="1789" spans="2:7">
      <c r="B1789" s="102" t="str">
        <f>TillageOperations!$B$33</f>
        <v>Baler</v>
      </c>
      <c r="C1789" s="464" t="s">
        <v>157</v>
      </c>
      <c r="D1789" s="166">
        <f>PubMachineryTables!$AO$73</f>
        <v>0</v>
      </c>
      <c r="E1789" s="166">
        <f>E1738</f>
        <v>0</v>
      </c>
      <c r="F1789" s="166">
        <f t="shared" si="148"/>
        <v>0</v>
      </c>
      <c r="G1789" s="163" t="e">
        <f t="shared" si="147"/>
        <v>#DIV/0!</v>
      </c>
    </row>
    <row r="1790" spans="2:7">
      <c r="B1790" s="102" t="str">
        <f>TillageOperations!$B$34</f>
        <v>Swather</v>
      </c>
      <c r="C1790" s="464" t="s">
        <v>157</v>
      </c>
      <c r="D1790" s="166">
        <f>PubMachineryTables!$AO$74</f>
        <v>0</v>
      </c>
      <c r="E1790" s="166">
        <f>E1740</f>
        <v>0</v>
      </c>
      <c r="F1790" s="166">
        <f t="shared" si="148"/>
        <v>0</v>
      </c>
      <c r="G1790" s="163" t="e">
        <f t="shared" si="147"/>
        <v>#DIV/0!</v>
      </c>
    </row>
    <row r="1791" spans="2:7">
      <c r="B1791" s="102" t="str">
        <f>TillageOperations!$B$35</f>
        <v>Baler</v>
      </c>
      <c r="C1791" s="464" t="s">
        <v>157</v>
      </c>
      <c r="D1791" s="166">
        <f>PubMachineryTables!$AO$75</f>
        <v>0</v>
      </c>
      <c r="E1791" s="166">
        <f>E1742</f>
        <v>0</v>
      </c>
      <c r="F1791" s="166">
        <f t="shared" si="148"/>
        <v>0</v>
      </c>
      <c r="G1791" s="163" t="e">
        <f t="shared" si="147"/>
        <v>#DIV/0!</v>
      </c>
    </row>
    <row r="1792" spans="2:7">
      <c r="B1792" s="102" t="str">
        <f>TillageOperations!$B$36</f>
        <v>Bale Wagon</v>
      </c>
      <c r="C1792" s="464" t="s">
        <v>157</v>
      </c>
      <c r="D1792" s="166">
        <f>PubMachineryTables!$AO$76</f>
        <v>0</v>
      </c>
      <c r="E1792" s="166">
        <f>E1745</f>
        <v>0</v>
      </c>
      <c r="F1792" s="166">
        <f t="shared" si="148"/>
        <v>0</v>
      </c>
      <c r="G1792" s="163" t="e">
        <f t="shared" si="147"/>
        <v>#DIV/0!</v>
      </c>
    </row>
    <row r="1793" spans="2:7">
      <c r="B1793" s="102" t="str">
        <f>TillageOperations!$B$23</f>
        <v>Fertilizer Spreader</v>
      </c>
      <c r="C1793" s="464" t="s">
        <v>157</v>
      </c>
      <c r="D1793" s="166">
        <f>PubMachineryTables!$AO$64</f>
        <v>93.913865291400512</v>
      </c>
      <c r="E1793" s="166">
        <f>E1747</f>
        <v>0</v>
      </c>
      <c r="F1793" s="166">
        <f t="shared" si="148"/>
        <v>0</v>
      </c>
      <c r="G1793" s="163" t="e">
        <f t="shared" si="147"/>
        <v>#DIV/0!</v>
      </c>
    </row>
    <row r="1794" spans="2:7">
      <c r="B1794" s="102" t="str">
        <f>TillageOperations!$B$24</f>
        <v>Fertilizer Injection System</v>
      </c>
      <c r="C1794" s="464" t="s">
        <v>157</v>
      </c>
      <c r="D1794" s="166">
        <f>PubMachineryTables!$AO$65</f>
        <v>0</v>
      </c>
      <c r="E1794" s="166">
        <f>E1749</f>
        <v>0</v>
      </c>
      <c r="F1794" s="166">
        <f t="shared" si="148"/>
        <v>0</v>
      </c>
      <c r="G1794" s="163" t="e">
        <f t="shared" si="147"/>
        <v>#DIV/0!</v>
      </c>
    </row>
    <row r="1795" spans="2:7">
      <c r="B1795" s="102" t="str">
        <f>TillageOperations!$B$25</f>
        <v>Boom Sprayer</v>
      </c>
      <c r="C1795" s="464" t="s">
        <v>157</v>
      </c>
      <c r="D1795" s="166">
        <f>PubMachineryTables!$AO$66</f>
        <v>9.6826493425933542</v>
      </c>
      <c r="E1795" s="166">
        <f>E1751</f>
        <v>0</v>
      </c>
      <c r="F1795" s="166">
        <f t="shared" si="148"/>
        <v>0</v>
      </c>
      <c r="G1795" s="163" t="e">
        <f t="shared" si="147"/>
        <v>#DIV/0!</v>
      </c>
    </row>
    <row r="1796" spans="2:7">
      <c r="B1796" s="102" t="str">
        <f>TillageOperations!$B$22</f>
        <v>Transplanter</v>
      </c>
      <c r="C1796" s="464" t="s">
        <v>157</v>
      </c>
      <c r="D1796" s="166">
        <f>PubMachineryTables!$AO$63</f>
        <v>0</v>
      </c>
      <c r="E1796" s="166">
        <f>E1753</f>
        <v>0</v>
      </c>
      <c r="F1796" s="166">
        <f t="shared" si="148"/>
        <v>0</v>
      </c>
      <c r="G1796" s="163" t="e">
        <f t="shared" si="147"/>
        <v>#DIV/0!</v>
      </c>
    </row>
    <row r="1797" spans="2:7">
      <c r="B1797" t="str">
        <f>'Inputs&amp;PricesbyCrop'!$B$39</f>
        <v>Crop Insurance</v>
      </c>
      <c r="C1797" s="464" t="s">
        <v>157</v>
      </c>
      <c r="D1797" s="166">
        <f>'Inputs&amp;PricesbyCrop'!$N$39</f>
        <v>0</v>
      </c>
      <c r="E1797" s="169">
        <f t="shared" ref="E1797:E1802" si="149">$C$1647</f>
        <v>0</v>
      </c>
      <c r="F1797" s="166">
        <f>D1797*E1797</f>
        <v>0</v>
      </c>
      <c r="G1797" s="163" t="e">
        <f t="shared" si="147"/>
        <v>#DIV/0!</v>
      </c>
    </row>
    <row r="1798" spans="2:7">
      <c r="B1798" t="str">
        <f>'Inputs&amp;PricesbyCrop'!$B$40</f>
        <v>Property Insurance</v>
      </c>
      <c r="C1798" s="464" t="s">
        <v>157</v>
      </c>
      <c r="D1798" s="166">
        <f>'Inputs&amp;PricesbyCrop'!$N$40</f>
        <v>0</v>
      </c>
      <c r="E1798" s="169">
        <f t="shared" si="149"/>
        <v>0</v>
      </c>
      <c r="F1798" s="166">
        <f>D1798*E1798</f>
        <v>0</v>
      </c>
      <c r="G1798" s="163" t="e">
        <f t="shared" si="147"/>
        <v>#DIV/0!</v>
      </c>
    </row>
    <row r="1799" spans="2:7">
      <c r="B1799" t="str">
        <f>'Inputs&amp;PricesbyCrop'!$B$41</f>
        <v>Property Taxes</v>
      </c>
      <c r="C1799" s="464" t="s">
        <v>157</v>
      </c>
      <c r="D1799" s="166">
        <f>'Inputs&amp;PricesbyCrop'!$N$41</f>
        <v>0</v>
      </c>
      <c r="E1799" s="169">
        <f t="shared" si="149"/>
        <v>0</v>
      </c>
      <c r="F1799" s="166">
        <f t="shared" ref="F1799:F1802" si="150">D1799*E1799</f>
        <v>0</v>
      </c>
      <c r="G1799" s="163" t="e">
        <f t="shared" si="147"/>
        <v>#DIV/0!</v>
      </c>
    </row>
    <row r="1800" spans="2:7">
      <c r="B1800" t="str">
        <f>'Inputs&amp;PricesbyCrop'!$B$42</f>
        <v>Annual Cash Rent Payment</v>
      </c>
      <c r="C1800" s="464" t="s">
        <v>157</v>
      </c>
      <c r="D1800" s="166">
        <f>'Inputs&amp;PricesbyCrop'!$N$42</f>
        <v>170</v>
      </c>
      <c r="E1800" s="169">
        <f t="shared" si="149"/>
        <v>0</v>
      </c>
      <c r="F1800" s="166">
        <f t="shared" si="150"/>
        <v>0</v>
      </c>
      <c r="G1800" s="163" t="e">
        <f t="shared" si="147"/>
        <v>#DIV/0!</v>
      </c>
    </row>
    <row r="1801" spans="2:7">
      <c r="B1801" t="s">
        <v>484</v>
      </c>
      <c r="C1801" s="464" t="s">
        <v>157</v>
      </c>
      <c r="D1801" s="166">
        <f>'Sheet #11'!I105</f>
        <v>0</v>
      </c>
      <c r="E1801" s="169">
        <f t="shared" si="149"/>
        <v>0</v>
      </c>
      <c r="F1801" s="166">
        <f t="shared" ref="F1801" si="151">D1801*E1801</f>
        <v>0</v>
      </c>
      <c r="G1801" s="163" t="e">
        <f t="shared" si="147"/>
        <v>#DIV/0!</v>
      </c>
    </row>
    <row r="1802" spans="2:7">
      <c r="B1802" t="str">
        <f>'Inputs&amp;PricesbyCrop'!$B$49</f>
        <v>Licenses and Fees</v>
      </c>
      <c r="C1802" s="464" t="s">
        <v>157</v>
      </c>
      <c r="D1802" s="166">
        <f>'Inputs&amp;PricesbyCrop'!$N$49</f>
        <v>0</v>
      </c>
      <c r="E1802" s="169">
        <f t="shared" si="149"/>
        <v>0</v>
      </c>
      <c r="F1802" s="170">
        <f t="shared" si="150"/>
        <v>0</v>
      </c>
      <c r="G1802" s="163" t="e">
        <f t="shared" si="147"/>
        <v>#DIV/0!</v>
      </c>
    </row>
    <row r="1803" spans="2:7">
      <c r="B1803" t="s">
        <v>131</v>
      </c>
      <c r="D1803" s="454"/>
      <c r="F1803" s="37">
        <f>SUM(F1766:F1802)</f>
        <v>0</v>
      </c>
      <c r="G1803" s="163" t="e">
        <f t="shared" si="147"/>
        <v>#DIV/0!</v>
      </c>
    </row>
    <row r="1804" spans="2:7">
      <c r="D1804" s="454"/>
      <c r="G1804" s="163" t="e">
        <f t="shared" si="147"/>
        <v>#DIV/0!</v>
      </c>
    </row>
    <row r="1805" spans="2:7">
      <c r="B1805" t="s">
        <v>63</v>
      </c>
      <c r="D1805" s="454"/>
      <c r="F1805" s="37">
        <f>F1803+F1763</f>
        <v>0</v>
      </c>
      <c r="G1805" s="163" t="e">
        <f t="shared" si="147"/>
        <v>#DIV/0!</v>
      </c>
    </row>
    <row r="1806" spans="2:7">
      <c r="B1806" t="s">
        <v>64</v>
      </c>
      <c r="D1806" s="454"/>
      <c r="F1806" s="37">
        <f>F1652-F1805</f>
        <v>0</v>
      </c>
      <c r="G1806" s="163" t="e">
        <f t="shared" si="147"/>
        <v>#DIV/0!</v>
      </c>
    </row>
    <row r="1807" spans="2:7">
      <c r="B1807" s="249" t="s">
        <v>276</v>
      </c>
      <c r="C1807" s="249" t="s">
        <v>4</v>
      </c>
      <c r="D1807" s="250" t="s">
        <v>277</v>
      </c>
      <c r="E1807" s="249" t="s">
        <v>278</v>
      </c>
      <c r="F1807" s="249" t="s">
        <v>279</v>
      </c>
      <c r="G1807" s="249"/>
    </row>
    <row r="1808" spans="2:7">
      <c r="B1808" s="135" t="str">
        <f>B1813</f>
        <v>Spring Barley</v>
      </c>
      <c r="D1808" s="454"/>
    </row>
    <row r="1809" spans="2:7">
      <c r="B1809" t="s">
        <v>16</v>
      </c>
      <c r="C1809" s="457">
        <f>IF('AcresYieldsPrices&amp;Water'!D13=0,0,'AcresYieldsPrices&amp;Water'!D13)</f>
        <v>0</v>
      </c>
      <c r="D1809" s="454" t="s">
        <v>17</v>
      </c>
    </row>
    <row r="1810" spans="2:7">
      <c r="D1810" s="454"/>
    </row>
    <row r="1811" spans="2:7">
      <c r="B1811" t="s">
        <v>22</v>
      </c>
      <c r="D1811" s="454"/>
    </row>
    <row r="1812" spans="2:7">
      <c r="B1812" s="455" t="s">
        <v>23</v>
      </c>
      <c r="C1812" s="458" t="s">
        <v>1</v>
      </c>
      <c r="D1812" s="459" t="s">
        <v>24</v>
      </c>
      <c r="E1812" s="460" t="s">
        <v>25</v>
      </c>
      <c r="F1812" s="460" t="s">
        <v>0</v>
      </c>
      <c r="G1812" s="277"/>
    </row>
    <row r="1813" spans="2:7">
      <c r="B1813" t="str">
        <f>'AcresYieldsPrices&amp;Water'!J15</f>
        <v>Spring Barley</v>
      </c>
      <c r="C1813" s="137" t="str">
        <f>'AcresYieldsPrices&amp;Water'!L15</f>
        <v>CWT</v>
      </c>
      <c r="D1813" s="454">
        <f>'AcresYieldsPrices&amp;Water'!$M$15</f>
        <v>14</v>
      </c>
      <c r="E1813" s="462">
        <f>'AcresYieldsPrices&amp;Water'!$N$15*C$1809</f>
        <v>0</v>
      </c>
      <c r="F1813" s="136">
        <f>D1813*E1813</f>
        <v>0</v>
      </c>
      <c r="G1813" s="136"/>
    </row>
    <row r="1814" spans="2:7">
      <c r="B1814" t="s">
        <v>27</v>
      </c>
      <c r="D1814" s="454"/>
      <c r="F1814" s="37">
        <f>SUM(F1813:F1813)</f>
        <v>0</v>
      </c>
      <c r="G1814" s="163" t="e">
        <f>F1814/C$1809</f>
        <v>#DIV/0!</v>
      </c>
    </row>
    <row r="1815" spans="2:7">
      <c r="D1815" s="454"/>
      <c r="G1815" s="163" t="e">
        <f t="shared" ref="G1815:G1878" si="152">F1815/C$1809</f>
        <v>#DIV/0!</v>
      </c>
    </row>
    <row r="1816" spans="2:7">
      <c r="B1816" s="455" t="s">
        <v>62</v>
      </c>
      <c r="C1816" s="458" t="s">
        <v>1</v>
      </c>
      <c r="D1816" s="459" t="s">
        <v>24</v>
      </c>
      <c r="E1816" s="460" t="s">
        <v>25</v>
      </c>
      <c r="F1816" s="460" t="s">
        <v>0</v>
      </c>
      <c r="G1816" s="163" t="e">
        <f t="shared" si="152"/>
        <v>#VALUE!</v>
      </c>
    </row>
    <row r="1817" spans="2:7">
      <c r="B1817" t="str">
        <f>'Inputs&amp;PricesbyCrop'!B$81</f>
        <v xml:space="preserve">   - Seed</v>
      </c>
      <c r="C1817" s="137" t="str">
        <f>'Inputs&amp;PricesbyCrop'!C$91</f>
        <v>pounds</v>
      </c>
      <c r="D1817" s="454">
        <f>'Inputs&amp;PricesbyCrop'!$O$5</f>
        <v>0.39</v>
      </c>
      <c r="E1817" s="462">
        <f>'Inputs&amp;PricesbyCrop'!$O$6*$C$1809</f>
        <v>0</v>
      </c>
      <c r="F1817" s="37">
        <f t="shared" ref="F1817:F1841" si="153">D1817*E1817</f>
        <v>0</v>
      </c>
      <c r="G1817" s="163" t="e">
        <f t="shared" si="152"/>
        <v>#DIV/0!</v>
      </c>
    </row>
    <row r="1818" spans="2:7">
      <c r="B1818" t="str">
        <f>GeneralInputPrices!$B$3</f>
        <v xml:space="preserve">   - Inoculant</v>
      </c>
      <c r="C1818" s="137" t="str">
        <f>GeneralInputPrices!$C$3</f>
        <v>pounds</v>
      </c>
      <c r="D1818" s="166">
        <f>GeneralInputPrices!$D$3</f>
        <v>3</v>
      </c>
      <c r="E1818" s="166">
        <f>'Inputs&amp;PricesbyCrop'!$O$22*$C$1809</f>
        <v>0</v>
      </c>
      <c r="F1818" s="166">
        <f t="shared" si="153"/>
        <v>0</v>
      </c>
      <c r="G1818" s="163" t="e">
        <f t="shared" si="152"/>
        <v>#DIV/0!</v>
      </c>
    </row>
    <row r="1819" spans="2:7">
      <c r="B1819" t="str">
        <f>GeneralInputPrices!B$5</f>
        <v xml:space="preserve">   - Nitrogen</v>
      </c>
      <c r="C1819" s="137" t="str">
        <f>GeneralInputPrices!$C$5</f>
        <v>pounds</v>
      </c>
      <c r="D1819" s="166">
        <f>GeneralInputPrices!$D$5</f>
        <v>0.46</v>
      </c>
      <c r="E1819" s="166">
        <f>'Inputs&amp;PricesbyCrop'!$O$23*$C$1809</f>
        <v>0</v>
      </c>
      <c r="F1819" s="166">
        <f t="shared" si="153"/>
        <v>0</v>
      </c>
      <c r="G1819" s="163" t="e">
        <f t="shared" si="152"/>
        <v>#DIV/0!</v>
      </c>
    </row>
    <row r="1820" spans="2:7">
      <c r="B1820" t="str">
        <f>GeneralInputPrices!B$6</f>
        <v xml:space="preserve">   - Phosphorus</v>
      </c>
      <c r="C1820" s="137" t="str">
        <f>GeneralInputPrices!$C$6</f>
        <v>pounds</v>
      </c>
      <c r="D1820" s="166">
        <f>GeneralInputPrices!$D$6</f>
        <v>0.36</v>
      </c>
      <c r="E1820" s="166">
        <f>'Inputs&amp;PricesbyCrop'!$O$24*$C$1809</f>
        <v>0</v>
      </c>
      <c r="F1820" s="166">
        <f t="shared" si="153"/>
        <v>0</v>
      </c>
      <c r="G1820" s="163" t="e">
        <f t="shared" si="152"/>
        <v>#DIV/0!</v>
      </c>
    </row>
    <row r="1821" spans="2:7">
      <c r="B1821" t="str">
        <f>GeneralInputPrices!B$7</f>
        <v xml:space="preserve">   - Anhydrous Ammonia</v>
      </c>
      <c r="C1821" s="137" t="str">
        <f>GeneralInputPrices!$C$7</f>
        <v>pounds</v>
      </c>
      <c r="D1821" s="166">
        <f>GeneralInputPrices!$D$7</f>
        <v>0.21</v>
      </c>
      <c r="E1821" s="166">
        <f>'Inputs&amp;PricesbyCrop'!$O$25*$C$1809</f>
        <v>0</v>
      </c>
      <c r="F1821" s="166">
        <f t="shared" si="153"/>
        <v>0</v>
      </c>
      <c r="G1821" s="163" t="e">
        <f t="shared" si="152"/>
        <v>#DIV/0!</v>
      </c>
    </row>
    <row r="1822" spans="2:7">
      <c r="B1822" t="str">
        <f>GeneralInputPrices!$B$8</f>
        <v xml:space="preserve">   - Trace Elements</v>
      </c>
      <c r="C1822" s="137" t="str">
        <f>GeneralInputPrices!$C$8</f>
        <v>pounds</v>
      </c>
      <c r="D1822" s="166">
        <f>GeneralInputPrices!$D$8</f>
        <v>0.24</v>
      </c>
      <c r="E1822" s="166">
        <f>'Inputs&amp;PricesbyCrop'!$O$26*$C$1809</f>
        <v>0</v>
      </c>
      <c r="F1822" s="166">
        <f t="shared" si="153"/>
        <v>0</v>
      </c>
      <c r="G1822" s="163" t="e">
        <f t="shared" si="152"/>
        <v>#DIV/0!</v>
      </c>
    </row>
    <row r="1823" spans="2:7">
      <c r="B1823" t="str">
        <f>'Inputs&amp;PricesbyCrop'!$B$32</f>
        <v xml:space="preserve">   - Nitrogen</v>
      </c>
      <c r="C1823" s="137" t="str">
        <f>'Inputs&amp;PricesbyCrop'!$C$32</f>
        <v>acre</v>
      </c>
      <c r="D1823" s="166">
        <f>'Inputs&amp;PricesbyCrop'!$O$32</f>
        <v>182.91000000000003</v>
      </c>
      <c r="E1823" s="166">
        <f>$C$1809</f>
        <v>0</v>
      </c>
      <c r="F1823" s="166">
        <f t="shared" si="153"/>
        <v>0</v>
      </c>
      <c r="G1823" s="163" t="e">
        <f t="shared" si="152"/>
        <v>#DIV/0!</v>
      </c>
    </row>
    <row r="1824" spans="2:7">
      <c r="B1824" t="str">
        <f>'Inputs&amp;PricesbyCrop'!$B$33</f>
        <v xml:space="preserve">   - Phosphorus</v>
      </c>
      <c r="C1824" s="137" t="str">
        <f>'Inputs&amp;PricesbyCrop'!$C$33</f>
        <v>acre</v>
      </c>
      <c r="D1824" s="166">
        <f>'Inputs&amp;PricesbyCrop'!$O$33</f>
        <v>0</v>
      </c>
      <c r="E1824" s="166">
        <f>$C$1809</f>
        <v>0</v>
      </c>
      <c r="F1824" s="166">
        <f t="shared" si="153"/>
        <v>0</v>
      </c>
      <c r="G1824" s="163" t="e">
        <f t="shared" si="152"/>
        <v>#DIV/0!</v>
      </c>
    </row>
    <row r="1825" spans="2:7">
      <c r="B1825" t="str">
        <f>'Inputs&amp;PricesbyCrop'!$B$34</f>
        <v xml:space="preserve">   - Fertilizer - Anhydrous Applicator</v>
      </c>
      <c r="C1825" s="137" t="str">
        <f>'Inputs&amp;PricesbyCrop'!$C$34</f>
        <v>acre</v>
      </c>
      <c r="D1825" s="166">
        <f>'Inputs&amp;PricesbyCrop'!$O$34</f>
        <v>0</v>
      </c>
      <c r="E1825" s="166">
        <f>$C$1809</f>
        <v>0</v>
      </c>
      <c r="F1825" s="166">
        <f t="shared" si="153"/>
        <v>0</v>
      </c>
      <c r="G1825" s="163" t="e">
        <f t="shared" si="152"/>
        <v>#DIV/0!</v>
      </c>
    </row>
    <row r="1826" spans="2:7">
      <c r="B1826" t="str">
        <f>GeneralInputPrices!$B$10</f>
        <v xml:space="preserve">   - Prowl</v>
      </c>
      <c r="C1826" s="137" t="str">
        <f>GeneralInputPrices!$C$10</f>
        <v>pints</v>
      </c>
      <c r="D1826" s="166">
        <f>GeneralInputPrices!$D$10</f>
        <v>6.0625</v>
      </c>
      <c r="E1826" s="166">
        <f>'Inputs&amp;PricesbyCrop'!$O$27*$C$1809</f>
        <v>0</v>
      </c>
      <c r="F1826" s="166">
        <f t="shared" si="153"/>
        <v>0</v>
      </c>
      <c r="G1826" s="163" t="e">
        <f t="shared" si="152"/>
        <v>#DIV/0!</v>
      </c>
    </row>
    <row r="1827" spans="2:7">
      <c r="B1827" t="str">
        <f>GeneralInputPrices!$B$11</f>
        <v xml:space="preserve">   - Aim</v>
      </c>
      <c r="C1827" s="137" t="str">
        <f>GeneralInputPrices!$C$11</f>
        <v>ounces</v>
      </c>
      <c r="D1827" s="166">
        <f>GeneralInputPrices!$D$11</f>
        <v>5.9375</v>
      </c>
      <c r="E1827" s="166">
        <f>'Inputs&amp;PricesbyCrop'!$O$28*$C$1809</f>
        <v>0</v>
      </c>
      <c r="F1827" s="166">
        <f t="shared" si="153"/>
        <v>0</v>
      </c>
      <c r="G1827" s="163" t="e">
        <f t="shared" si="152"/>
        <v>#DIV/0!</v>
      </c>
    </row>
    <row r="1828" spans="2:7">
      <c r="B1828" t="str">
        <f>GeneralInputPrices!$B$12</f>
        <v xml:space="preserve">   - Fusilade</v>
      </c>
      <c r="C1828" s="137" t="str">
        <f>GeneralInputPrices!$C$12</f>
        <v>ounces</v>
      </c>
      <c r="D1828" s="166">
        <f>GeneralInputPrices!$D$12</f>
        <v>1.25</v>
      </c>
      <c r="E1828" s="166">
        <f>'Inputs&amp;PricesbyCrop'!$O$29*$C$1809</f>
        <v>0</v>
      </c>
      <c r="F1828" s="166">
        <f t="shared" si="153"/>
        <v>0</v>
      </c>
      <c r="G1828" s="163" t="e">
        <f t="shared" si="152"/>
        <v>#DIV/0!</v>
      </c>
    </row>
    <row r="1829" spans="2:7">
      <c r="B1829" t="str">
        <f>'Inputs&amp;PricesbyCrop'!$B$35</f>
        <v xml:space="preserve">   - Herbicides</v>
      </c>
      <c r="C1829" s="137" t="str">
        <f>'Inputs&amp;PricesbyCrop'!$C$35</f>
        <v>acre</v>
      </c>
      <c r="D1829" s="166">
        <f>'Inputs&amp;PricesbyCrop'!$O$35</f>
        <v>17</v>
      </c>
      <c r="E1829" s="166">
        <f>$C$1809</f>
        <v>0</v>
      </c>
      <c r="F1829" s="166">
        <f t="shared" si="153"/>
        <v>0</v>
      </c>
      <c r="G1829" s="163" t="e">
        <f t="shared" si="152"/>
        <v>#DIV/0!</v>
      </c>
    </row>
    <row r="1830" spans="2:7">
      <c r="B1830" t="str">
        <f>'Inputs&amp;PricesbyCrop'!$B$36</f>
        <v xml:space="preserve">   - Herbicide - #2</v>
      </c>
      <c r="C1830" s="137" t="str">
        <f>'Inputs&amp;PricesbyCrop'!$C$36</f>
        <v>acre</v>
      </c>
      <c r="D1830" s="166">
        <f>'Inputs&amp;PricesbyCrop'!$O$36</f>
        <v>0</v>
      </c>
      <c r="E1830" s="166">
        <f>$C$1809</f>
        <v>0</v>
      </c>
      <c r="F1830" s="166">
        <f t="shared" si="153"/>
        <v>0</v>
      </c>
      <c r="G1830" s="163" t="e">
        <f t="shared" si="152"/>
        <v>#DIV/0!</v>
      </c>
    </row>
    <row r="1831" spans="2:7">
      <c r="B1831" t="str">
        <f>'Inputs&amp;PricesbyCrop'!$B$37</f>
        <v xml:space="preserve">   - Insecticides</v>
      </c>
      <c r="C1831" s="137" t="str">
        <f>'Inputs&amp;PricesbyCrop'!$C$37</f>
        <v>acre</v>
      </c>
      <c r="D1831" s="166">
        <f>'Inputs&amp;PricesbyCrop'!$O$37</f>
        <v>15</v>
      </c>
      <c r="E1831" s="166">
        <f>$C$1809</f>
        <v>0</v>
      </c>
      <c r="F1831" s="166">
        <f t="shared" si="153"/>
        <v>0</v>
      </c>
      <c r="G1831" s="163" t="e">
        <f t="shared" si="152"/>
        <v>#DIV/0!</v>
      </c>
    </row>
    <row r="1832" spans="2:7">
      <c r="B1832" t="str">
        <f>'Inputs&amp;PricesbyCrop'!$B$38</f>
        <v xml:space="preserve">   - Insecticide - #2</v>
      </c>
      <c r="C1832" s="137" t="str">
        <f>'Inputs&amp;PricesbyCrop'!$C$38</f>
        <v>acre</v>
      </c>
      <c r="D1832" s="166">
        <f>'Inputs&amp;PricesbyCrop'!$O$38</f>
        <v>0</v>
      </c>
      <c r="E1832" s="166">
        <f>$C$1809</f>
        <v>0</v>
      </c>
      <c r="F1832" s="166">
        <f t="shared" si="153"/>
        <v>0</v>
      </c>
      <c r="G1832" s="163" t="e">
        <f t="shared" si="152"/>
        <v>#DIV/0!</v>
      </c>
    </row>
    <row r="1833" spans="2:7">
      <c r="B1833" t="str">
        <f>'Inputs&amp;PricesbyCrop'!$B$7</f>
        <v>Flood - Irrigation Water</v>
      </c>
      <c r="C1833" s="137" t="str">
        <f>'Inputs&amp;PricesbyCrop'!$C$7</f>
        <v>ac ft</v>
      </c>
      <c r="D1833" s="166">
        <f>GeneralInputPrices!$D$13</f>
        <v>55</v>
      </c>
      <c r="E1833" s="102">
        <f>('AcresYieldsPrices&amp;Water'!$E$13*'Inputs&amp;PricesbyCrop'!$O$7)*$C1809</f>
        <v>0</v>
      </c>
      <c r="F1833" s="166">
        <f t="shared" si="153"/>
        <v>0</v>
      </c>
      <c r="G1833" s="163" t="e">
        <f t="shared" si="152"/>
        <v>#DIV/0!</v>
      </c>
    </row>
    <row r="1834" spans="2:7">
      <c r="B1834" t="str">
        <f>'Inputs&amp;PricesbyCrop'!$B$8</f>
        <v>Flood - Irrigation Labor</v>
      </c>
      <c r="C1834" s="137" t="str">
        <f>'Inputs&amp;PricesbyCrop'!$C$8</f>
        <v>hour</v>
      </c>
      <c r="D1834" s="166">
        <f>GeneralInputPrices!$D$28</f>
        <v>14.55</v>
      </c>
      <c r="E1834" s="166">
        <f>('AcresYieldsPrices&amp;Water'!$E$13*'Inputs&amp;PricesbyCrop'!$O$8)*$C1809</f>
        <v>0</v>
      </c>
      <c r="F1834" s="166">
        <f t="shared" si="153"/>
        <v>0</v>
      </c>
      <c r="G1834" s="163" t="e">
        <f t="shared" si="152"/>
        <v>#DIV/0!</v>
      </c>
    </row>
    <row r="1835" spans="2:7">
      <c r="B1835" t="str">
        <f>GeneralInputPrices!$B$18</f>
        <v xml:space="preserve">   - Annual Repairs &amp; Maintenance</v>
      </c>
      <c r="C1835" s="453" t="str">
        <f>GeneralInputPrices!$C$18</f>
        <v>acre</v>
      </c>
      <c r="D1835" s="166">
        <f>GeneralInputPrices!$D$18</f>
        <v>3</v>
      </c>
      <c r="E1835" s="166">
        <f>'AcresYieldsPrices&amp;Water'!$E$13*$C1809</f>
        <v>0</v>
      </c>
      <c r="F1835" s="166">
        <f t="shared" si="153"/>
        <v>0</v>
      </c>
      <c r="G1835" s="163" t="e">
        <f t="shared" si="152"/>
        <v>#DIV/0!</v>
      </c>
    </row>
    <row r="1836" spans="2:7">
      <c r="B1836" t="str">
        <f>'Inputs&amp;PricesbyCrop'!$B$9</f>
        <v>Drip-tape - Irrigation Water</v>
      </c>
      <c r="C1836" s="137" t="str">
        <f>'Inputs&amp;PricesbyCrop'!$C$9</f>
        <v>ac ft</v>
      </c>
      <c r="D1836" s="166">
        <f>GeneralInputPrices!$D$13</f>
        <v>55</v>
      </c>
      <c r="E1836" s="166">
        <f>('AcresYieldsPrices&amp;Water'!$F$13*'Inputs&amp;PricesbyCrop'!$O$9)*$C1809</f>
        <v>0</v>
      </c>
      <c r="F1836" s="166">
        <f t="shared" si="153"/>
        <v>0</v>
      </c>
      <c r="G1836" s="163" t="e">
        <f t="shared" si="152"/>
        <v>#DIV/0!</v>
      </c>
    </row>
    <row r="1837" spans="2:7">
      <c r="B1837" t="str">
        <f>'Inputs&amp;PricesbyCrop'!$B$10</f>
        <v>Drip-tape - Irrigation Labor</v>
      </c>
      <c r="C1837" s="137" t="str">
        <f>'Inputs&amp;PricesbyCrop'!$C$10</f>
        <v>hour</v>
      </c>
      <c r="D1837" s="166">
        <f>GeneralInputPrices!$D$28</f>
        <v>14.55</v>
      </c>
      <c r="E1837" s="166">
        <f>('AcresYieldsPrices&amp;Water'!$F$13*'Inputs&amp;PricesbyCrop'!$O$10)*$C1809</f>
        <v>0</v>
      </c>
      <c r="F1837" s="166">
        <f t="shared" si="153"/>
        <v>0</v>
      </c>
      <c r="G1837" s="163" t="e">
        <f t="shared" si="152"/>
        <v>#DIV/0!</v>
      </c>
    </row>
    <row r="1838" spans="2:7">
      <c r="B1838" t="str">
        <f>GeneralInputPrices!$B$22</f>
        <v xml:space="preserve">   - Annual Repairs &amp; Maintenance</v>
      </c>
      <c r="C1838" s="453" t="str">
        <f>GeneralInputPrices!$C$22</f>
        <v>acre</v>
      </c>
      <c r="D1838" s="166">
        <f>GeneralInputPrices!$D$22</f>
        <v>7.5</v>
      </c>
      <c r="E1838" s="166">
        <f>'AcresYieldsPrices&amp;Water'!$F$13*C1809</f>
        <v>0</v>
      </c>
      <c r="F1838" s="166">
        <f t="shared" si="153"/>
        <v>0</v>
      </c>
      <c r="G1838" s="163" t="e">
        <f t="shared" si="152"/>
        <v>#DIV/0!</v>
      </c>
    </row>
    <row r="1839" spans="2:7">
      <c r="B1839" t="str">
        <f>'Inputs&amp;PricesbyCrop'!$B$11</f>
        <v>Sprinkler - Irrigation Water</v>
      </c>
      <c r="C1839" s="137" t="str">
        <f>'Inputs&amp;PricesbyCrop'!$C$11</f>
        <v>ac ft</v>
      </c>
      <c r="D1839" s="166">
        <f>GeneralInputPrices!$D$13</f>
        <v>55</v>
      </c>
      <c r="E1839" s="166">
        <f>('AcresYieldsPrices&amp;Water'!$G$13*'Inputs&amp;PricesbyCrop'!$O$11)*$C1809</f>
        <v>0</v>
      </c>
      <c r="F1839" s="166">
        <f t="shared" si="153"/>
        <v>0</v>
      </c>
      <c r="G1839" s="163" t="e">
        <f t="shared" si="152"/>
        <v>#DIV/0!</v>
      </c>
    </row>
    <row r="1840" spans="2:7">
      <c r="B1840" t="str">
        <f>'Inputs&amp;PricesbyCrop'!$B$12</f>
        <v>Sprinkler - Irrigation Labor</v>
      </c>
      <c r="C1840" s="137" t="str">
        <f>'Inputs&amp;PricesbyCrop'!$C$12</f>
        <v>hour</v>
      </c>
      <c r="D1840" s="166">
        <f>GeneralInputPrices!$D$28</f>
        <v>14.55</v>
      </c>
      <c r="E1840" s="166">
        <f>('AcresYieldsPrices&amp;Water'!$G$13*'Inputs&amp;PricesbyCrop'!$O$12)*$C1809</f>
        <v>0</v>
      </c>
      <c r="F1840" s="166">
        <f t="shared" si="153"/>
        <v>0</v>
      </c>
      <c r="G1840" s="163" t="e">
        <f t="shared" si="152"/>
        <v>#DIV/0!</v>
      </c>
    </row>
    <row r="1841" spans="2:7">
      <c r="B1841" t="str">
        <f>GeneralInputPrices!$B$26</f>
        <v xml:space="preserve">   - Annual Repairs &amp; Maintenance</v>
      </c>
      <c r="C1841" s="453" t="str">
        <f>GeneralInputPrices!$C$26</f>
        <v>acre</v>
      </c>
      <c r="D1841" s="166">
        <f>GeneralInputPrices!$D$26</f>
        <v>15</v>
      </c>
      <c r="E1841" s="166">
        <f>'AcresYieldsPrices&amp;Water'!$G$13*$C1809</f>
        <v>0</v>
      </c>
      <c r="F1841" s="166">
        <f t="shared" si="153"/>
        <v>0</v>
      </c>
      <c r="G1841" s="163" t="e">
        <f t="shared" si="152"/>
        <v>#DIV/0!</v>
      </c>
    </row>
    <row r="1842" spans="2:7">
      <c r="B1842" t="str">
        <f>CustomOperations!$B$37</f>
        <v>Harvest, Custom</v>
      </c>
      <c r="C1842" s="137" t="str">
        <f>CustomOperations!$C$37</f>
        <v>acre</v>
      </c>
      <c r="D1842" s="166">
        <f>CustomOperations!$O$37</f>
        <v>25</v>
      </c>
      <c r="E1842" s="166">
        <f>CustomOperations!$O$38*$C$1809</f>
        <v>0</v>
      </c>
      <c r="F1842" s="166">
        <f t="shared" ref="F1842:F1856" si="154">D1842*E1842</f>
        <v>0</v>
      </c>
      <c r="G1842" s="163" t="e">
        <f t="shared" si="152"/>
        <v>#DIV/0!</v>
      </c>
    </row>
    <row r="1843" spans="2:7">
      <c r="B1843" t="str">
        <f>CustomOperations!$B$39</f>
        <v>Hauling, Custom</v>
      </c>
      <c r="C1843" s="137" t="str">
        <f>CustomOperations!$C$39</f>
        <v>mile</v>
      </c>
      <c r="D1843" s="166">
        <f>CustomOperations!$O$39</f>
        <v>0</v>
      </c>
      <c r="E1843" s="166">
        <f>CustomOperations!$O$40*$C$1809</f>
        <v>0</v>
      </c>
      <c r="F1843" s="166">
        <f t="shared" si="154"/>
        <v>0</v>
      </c>
      <c r="G1843" s="163" t="e">
        <f t="shared" si="152"/>
        <v>#DIV/0!</v>
      </c>
    </row>
    <row r="1844" spans="2:7">
      <c r="B1844" t="str">
        <f>CustomOperations!$B$41</f>
        <v>Gin Cotton/Drying/Swathing, Custom</v>
      </c>
      <c r="C1844" s="137" t="str">
        <f>CustomOperations!$C$41</f>
        <v>bale</v>
      </c>
      <c r="D1844" s="166">
        <f>CustomOperations!$O$41</f>
        <v>0</v>
      </c>
      <c r="E1844" s="166">
        <f>CustomOperations!$O$42*$C$1809</f>
        <v>0</v>
      </c>
      <c r="F1844" s="166">
        <f t="shared" si="154"/>
        <v>0</v>
      </c>
      <c r="G1844" s="163" t="e">
        <f t="shared" si="152"/>
        <v>#DIV/0!</v>
      </c>
    </row>
    <row r="1845" spans="2:7">
      <c r="B1845" t="str">
        <f>CustomOperations!$B$24</f>
        <v>Drill, Custom</v>
      </c>
      <c r="C1845" s="137" t="str">
        <f>CustomOperations!$C$24</f>
        <v>acre</v>
      </c>
      <c r="D1845" s="166">
        <f>CustomOperations!$O$24</f>
        <v>0</v>
      </c>
      <c r="E1845" s="166">
        <f>CustomOperations!$O$25*$C$1809</f>
        <v>0</v>
      </c>
      <c r="F1845" s="166">
        <f t="shared" si="154"/>
        <v>0</v>
      </c>
      <c r="G1845" s="163" t="e">
        <f t="shared" si="152"/>
        <v>#DIV/0!</v>
      </c>
    </row>
    <row r="1846" spans="2:7">
      <c r="B1846" t="str">
        <f>CustomOperations!$B$26</f>
        <v>Row Planter, Custom</v>
      </c>
      <c r="C1846" s="137" t="str">
        <f>CustomOperations!$C$26</f>
        <v>acre</v>
      </c>
      <c r="D1846" s="166">
        <f>CustomOperations!$O$26</f>
        <v>0</v>
      </c>
      <c r="E1846" s="166">
        <f>CustomOperations!$O$27*$C$1809</f>
        <v>0</v>
      </c>
      <c r="F1846" s="166">
        <f t="shared" si="154"/>
        <v>0</v>
      </c>
      <c r="G1846" s="163" t="e">
        <f t="shared" si="152"/>
        <v>#DIV/0!</v>
      </c>
    </row>
    <row r="1847" spans="2:7">
      <c r="B1847" t="str">
        <f>CustomOperations!$B$28</f>
        <v>Row Cultivator, Custom</v>
      </c>
      <c r="C1847" s="137" t="str">
        <f>CustomOperations!$C$28</f>
        <v>acre</v>
      </c>
      <c r="D1847" s="166">
        <f>CustomOperations!$O$28</f>
        <v>0</v>
      </c>
      <c r="E1847" s="166">
        <f>CustomOperations!$O$29*$C$1809</f>
        <v>0</v>
      </c>
      <c r="F1847" s="166">
        <f t="shared" si="154"/>
        <v>0</v>
      </c>
      <c r="G1847" s="163" t="e">
        <f t="shared" si="152"/>
        <v>#DIV/0!</v>
      </c>
    </row>
    <row r="1848" spans="2:7">
      <c r="B1848" t="str">
        <f>CustomOperations!$B$5</f>
        <v>V Ripper, Custom</v>
      </c>
      <c r="C1848" s="137" t="str">
        <f>CustomOperations!$C$5</f>
        <v>acre</v>
      </c>
      <c r="D1848" s="166">
        <f>CustomOperations!$O$5</f>
        <v>44.25</v>
      </c>
      <c r="E1848" s="166">
        <f>CustomOperations!$O$6*$C$1809</f>
        <v>0</v>
      </c>
      <c r="F1848" s="166">
        <f t="shared" si="154"/>
        <v>0</v>
      </c>
      <c r="G1848" s="163" t="e">
        <f t="shared" si="152"/>
        <v>#DIV/0!</v>
      </c>
    </row>
    <row r="1849" spans="2:7">
      <c r="B1849" t="str">
        <f>CustomOperations!$B$7</f>
        <v>Disk, Custom</v>
      </c>
      <c r="C1849" s="137" t="str">
        <f>CustomOperations!$C$7</f>
        <v>acre</v>
      </c>
      <c r="D1849" s="166">
        <f>CustomOperations!$O$7</f>
        <v>0</v>
      </c>
      <c r="E1849" s="166">
        <f>CustomOperations!$O$8*$C$1809</f>
        <v>0</v>
      </c>
      <c r="F1849" s="166">
        <f t="shared" si="154"/>
        <v>0</v>
      </c>
      <c r="G1849" s="163" t="e">
        <f t="shared" si="152"/>
        <v>#DIV/0!</v>
      </c>
    </row>
    <row r="1850" spans="2:7">
      <c r="B1850" t="str">
        <f>CustomOperations!$B$9</f>
        <v>Drag, Custom</v>
      </c>
      <c r="C1850" s="137" t="str">
        <f>CustomOperations!$C$9</f>
        <v>acre</v>
      </c>
      <c r="D1850" s="166">
        <f>CustomOperations!$O$9</f>
        <v>0</v>
      </c>
      <c r="E1850" s="166">
        <f>CustomOperations!$O$10*$C$1809</f>
        <v>0</v>
      </c>
      <c r="F1850" s="166">
        <f t="shared" si="154"/>
        <v>0</v>
      </c>
      <c r="G1850" s="163" t="e">
        <f t="shared" si="152"/>
        <v>#DIV/0!</v>
      </c>
    </row>
    <row r="1851" spans="2:7">
      <c r="B1851" t="str">
        <f>CustomOperations!$B$11</f>
        <v>Chisel, Custom</v>
      </c>
      <c r="C1851" s="137" t="str">
        <f>CustomOperations!$C$11</f>
        <v>acre</v>
      </c>
      <c r="D1851" s="166">
        <f>CustomOperations!$O$11</f>
        <v>0</v>
      </c>
      <c r="E1851" s="166">
        <f>CustomOperations!$O$12*$C$1809</f>
        <v>0</v>
      </c>
      <c r="F1851" s="166">
        <f t="shared" si="154"/>
        <v>0</v>
      </c>
      <c r="G1851" s="163" t="e">
        <f t="shared" si="152"/>
        <v>#DIV/0!</v>
      </c>
    </row>
    <row r="1852" spans="2:7">
      <c r="B1852" t="str">
        <f>CustomOperations!$B$13</f>
        <v>Moldboard Plow, Custom</v>
      </c>
      <c r="C1852" s="137" t="str">
        <f>CustomOperations!$C$13</f>
        <v>acre</v>
      </c>
      <c r="D1852" s="166">
        <f>CustomOperations!$O$13</f>
        <v>0</v>
      </c>
      <c r="E1852" s="166">
        <f>CustomOperations!$O$14*$C$1809</f>
        <v>0</v>
      </c>
      <c r="F1852" s="166">
        <f t="shared" si="154"/>
        <v>0</v>
      </c>
      <c r="G1852" s="163" t="e">
        <f t="shared" si="152"/>
        <v>#DIV/0!</v>
      </c>
    </row>
    <row r="1853" spans="2:7">
      <c r="B1853" t="str">
        <f>CustomOperations!$B$15</f>
        <v>Landplane, Custom</v>
      </c>
      <c r="C1853" s="137" t="str">
        <f>CustomOperations!$C$15</f>
        <v>acre</v>
      </c>
      <c r="D1853" s="166">
        <f>CustomOperations!$O$15</f>
        <v>17.940000000000001</v>
      </c>
      <c r="E1853" s="166">
        <f>CustomOperations!$O$16*$C$1809</f>
        <v>0</v>
      </c>
      <c r="F1853" s="166">
        <f t="shared" si="154"/>
        <v>0</v>
      </c>
      <c r="G1853" s="163" t="e">
        <f t="shared" si="152"/>
        <v>#DIV/0!</v>
      </c>
    </row>
    <row r="1854" spans="2:7">
      <c r="B1854" t="str">
        <f>CustomOperations!$B$17</f>
        <v>Float, Custom</v>
      </c>
      <c r="C1854" s="137" t="str">
        <f>CustomOperations!$C$17</f>
        <v>acre</v>
      </c>
      <c r="D1854" s="166">
        <f>CustomOperations!$O$17</f>
        <v>17.940000000000001</v>
      </c>
      <c r="E1854" s="166">
        <f>CustomOperations!$O$18*$C$1809</f>
        <v>0</v>
      </c>
      <c r="F1854" s="166">
        <f t="shared" si="154"/>
        <v>0</v>
      </c>
      <c r="G1854" s="163" t="e">
        <f t="shared" si="152"/>
        <v>#DIV/0!</v>
      </c>
    </row>
    <row r="1855" spans="2:7">
      <c r="B1855" t="str">
        <f>CustomOperations!$B$19</f>
        <v>Lister, Custom</v>
      </c>
      <c r="C1855" s="137" t="str">
        <f>CustomOperations!$C$19</f>
        <v>acre</v>
      </c>
      <c r="D1855" s="166">
        <f>CustomOperations!$O$19</f>
        <v>20.38</v>
      </c>
      <c r="E1855" s="166">
        <f>CustomOperations!$O$20*$C$1809</f>
        <v>0</v>
      </c>
      <c r="F1855" s="166">
        <f t="shared" si="154"/>
        <v>0</v>
      </c>
      <c r="G1855" s="163" t="e">
        <f t="shared" si="152"/>
        <v>#DIV/0!</v>
      </c>
    </row>
    <row r="1856" spans="2:7">
      <c r="B1856" t="str">
        <f>CustomOperations!$B$21</f>
        <v>Bed Shape, Custom</v>
      </c>
      <c r="C1856" s="137" t="str">
        <f>CustomOperations!$C$21</f>
        <v>acre</v>
      </c>
      <c r="D1856" s="166">
        <f>CustomOperations!$O$21</f>
        <v>13.69</v>
      </c>
      <c r="E1856" s="166">
        <f>CustomOperations!$O$22*$C$1809</f>
        <v>0</v>
      </c>
      <c r="F1856" s="166">
        <f t="shared" si="154"/>
        <v>0</v>
      </c>
      <c r="G1856" s="163" t="e">
        <f t="shared" si="152"/>
        <v>#DIV/0!</v>
      </c>
    </row>
    <row r="1857" spans="2:7">
      <c r="B1857" t="str">
        <f>CustomOperations!$B$32</f>
        <v>Fertilizer Spreader, Custom</v>
      </c>
      <c r="C1857" s="137" t="str">
        <f>CustomOperations!$C$32</f>
        <v>acre</v>
      </c>
      <c r="D1857" s="166">
        <f>CustomOperations!$O$32</f>
        <v>10.08</v>
      </c>
      <c r="E1857" s="166">
        <f>CustomOperations!$O$33*$C$1809</f>
        <v>0</v>
      </c>
      <c r="F1857" s="166">
        <f>D1857*E1857</f>
        <v>0</v>
      </c>
      <c r="G1857" s="163" t="e">
        <f t="shared" si="152"/>
        <v>#DIV/0!</v>
      </c>
    </row>
    <row r="1858" spans="2:7">
      <c r="B1858" t="str">
        <f>CustomOperations!$B$34</f>
        <v>Laser Landplaning, Custom</v>
      </c>
      <c r="C1858" s="137" t="str">
        <f>CustomOperations!$C$34</f>
        <v>acre</v>
      </c>
      <c r="D1858" s="166">
        <f>CustomOperations!$O$34</f>
        <v>0</v>
      </c>
      <c r="E1858" s="166">
        <f>CustomOperations!$O$35*$C$1809</f>
        <v>0</v>
      </c>
      <c r="F1858" s="166">
        <f>D1858*E1858</f>
        <v>0</v>
      </c>
      <c r="G1858" s="163" t="e">
        <f t="shared" si="152"/>
        <v>#DIV/0!</v>
      </c>
    </row>
    <row r="1859" spans="2:7">
      <c r="B1859" t="str">
        <f>CustomOperations!$B$30</f>
        <v>Boom Sprayer, Custom</v>
      </c>
      <c r="C1859" s="137" t="str">
        <f>CustomOperations!$C$30</f>
        <v>acre</v>
      </c>
      <c r="D1859" s="166">
        <f>CustomOperations!$O$30</f>
        <v>10.050000000000001</v>
      </c>
      <c r="E1859" s="166">
        <f>CustomOperations!$O$31*$C$1809</f>
        <v>0</v>
      </c>
      <c r="F1859" s="166">
        <f t="shared" ref="F1859:F1881" si="155">D1859*E1859</f>
        <v>0</v>
      </c>
      <c r="G1859" s="163" t="e">
        <f t="shared" si="152"/>
        <v>#DIV/0!</v>
      </c>
    </row>
    <row r="1860" spans="2:7">
      <c r="B1860" s="463" t="str">
        <f>TillageOperations!$B$7&amp;" (Repairs, maint., fuel &amp; lube)"</f>
        <v>V-Ripper (Repairs, maint., fuel &amp; lube)</v>
      </c>
      <c r="C1860" s="464" t="s">
        <v>157</v>
      </c>
      <c r="D1860" s="166">
        <f>PubMachineryTables!$AM$49+PubMachineryTables!$AN$49</f>
        <v>30.16333889180672</v>
      </c>
      <c r="E1860" s="166">
        <f>TillageOperations!$N$7*$C$1809</f>
        <v>0</v>
      </c>
      <c r="F1860" s="166">
        <f t="shared" si="155"/>
        <v>0</v>
      </c>
      <c r="G1860" s="163" t="e">
        <f t="shared" si="152"/>
        <v>#DIV/0!</v>
      </c>
    </row>
    <row r="1861" spans="2:7">
      <c r="B1861" s="463" t="str">
        <f>TillageOperations!$B$7&amp;" (Labor)"</f>
        <v>V-Ripper (Labor)</v>
      </c>
      <c r="C1861" s="464" t="s">
        <v>157</v>
      </c>
      <c r="D1861" s="166">
        <f>PubMachineryTables!$AL$49</f>
        <v>13.529312500000001</v>
      </c>
      <c r="E1861" s="166">
        <f>TillageOperations!$N$7*$C$1809</f>
        <v>0</v>
      </c>
      <c r="F1861" s="166">
        <f t="shared" si="155"/>
        <v>0</v>
      </c>
      <c r="G1861" s="163" t="e">
        <f t="shared" si="152"/>
        <v>#DIV/0!</v>
      </c>
    </row>
    <row r="1862" spans="2:7">
      <c r="B1862" s="463" t="str">
        <f>TillageOperations!$B$8&amp;" (Repairs, maint., fuel &amp; lube)"</f>
        <v>Offset Disk (Repairs, maint., fuel &amp; lube)</v>
      </c>
      <c r="C1862" s="464" t="s">
        <v>157</v>
      </c>
      <c r="D1862" s="166">
        <f>PubMachineryTables!$AN$50+PubMachineryTables!$AM$50</f>
        <v>10.332318567950058</v>
      </c>
      <c r="E1862" s="166">
        <f>TillageOperations!$N$8*$C$1809</f>
        <v>0</v>
      </c>
      <c r="F1862" s="166">
        <f t="shared" si="155"/>
        <v>0</v>
      </c>
      <c r="G1862" s="163" t="e">
        <f t="shared" si="152"/>
        <v>#DIV/0!</v>
      </c>
    </row>
    <row r="1863" spans="2:7">
      <c r="B1863" s="463" t="str">
        <f>TillageOperations!$B$8&amp;" (Labor)"</f>
        <v>Offset Disk (Labor)</v>
      </c>
      <c r="C1863" s="464" t="s">
        <v>157</v>
      </c>
      <c r="D1863" s="166">
        <f>PubMachineryTables!$AL$50</f>
        <v>4.7161002178649252</v>
      </c>
      <c r="E1863" s="166">
        <f>TillageOperations!$N$8*$C$1809</f>
        <v>0</v>
      </c>
      <c r="F1863" s="166">
        <f t="shared" si="155"/>
        <v>0</v>
      </c>
      <c r="G1863" s="163" t="e">
        <f t="shared" si="152"/>
        <v>#DIV/0!</v>
      </c>
    </row>
    <row r="1864" spans="2:7">
      <c r="B1864" s="463" t="str">
        <f>TillageOperations!$B$9&amp;" (Repairs, maint., fuel &amp; lube)"</f>
        <v>Drag (Repairs, maint., fuel &amp; lube)</v>
      </c>
      <c r="C1864" s="464" t="s">
        <v>157</v>
      </c>
      <c r="D1864" s="166">
        <f>PubMachineryTables!$AN$51+PubMachineryTables!$AM$51</f>
        <v>2.4803921568627447</v>
      </c>
      <c r="E1864" s="166">
        <f>TillageOperations!$N$9*$C$1809</f>
        <v>0</v>
      </c>
      <c r="F1864" s="166">
        <f t="shared" si="155"/>
        <v>0</v>
      </c>
      <c r="G1864" s="163" t="e">
        <f t="shared" si="152"/>
        <v>#DIV/0!</v>
      </c>
    </row>
    <row r="1865" spans="2:7">
      <c r="B1865" s="463" t="str">
        <f>TillageOperations!$B$9&amp;" (Labor)"</f>
        <v>Drag (Labor)</v>
      </c>
      <c r="C1865" s="464" t="s">
        <v>157</v>
      </c>
      <c r="D1865" s="166">
        <f>PubMachineryTables!$AL$51</f>
        <v>2.1222450980392158</v>
      </c>
      <c r="E1865" s="166">
        <f>TillageOperations!$N$9*$C$1809</f>
        <v>0</v>
      </c>
      <c r="F1865" s="166">
        <f t="shared" si="155"/>
        <v>0</v>
      </c>
      <c r="G1865" s="163" t="e">
        <f t="shared" si="152"/>
        <v>#DIV/0!</v>
      </c>
    </row>
    <row r="1866" spans="2:7">
      <c r="B1866" s="463" t="str">
        <f>TillageOperations!$B$10&amp;" (Repairs, maint., fuel &amp; lube)"</f>
        <v>Chisel (Repairs, maint., fuel &amp; lube)</v>
      </c>
      <c r="C1866" s="464" t="s">
        <v>157</v>
      </c>
      <c r="D1866" s="166">
        <f>PubMachineryTables!$AN$52+PubMachineryTables!$AM$52</f>
        <v>8.5884820270019766</v>
      </c>
      <c r="E1866" s="166">
        <f>TillageOperations!$N$10*$C$1809</f>
        <v>0</v>
      </c>
      <c r="F1866" s="166">
        <f t="shared" si="155"/>
        <v>0</v>
      </c>
      <c r="G1866" s="163" t="e">
        <f t="shared" si="152"/>
        <v>#DIV/0!</v>
      </c>
    </row>
    <row r="1867" spans="2:7">
      <c r="B1867" s="463" t="str">
        <f>TillageOperations!$B$10&amp;" (Labor)"</f>
        <v>Chisel (Labor)</v>
      </c>
      <c r="C1867" s="464" t="s">
        <v>157</v>
      </c>
      <c r="D1867" s="166">
        <f>PubMachineryTables!$AL$52</f>
        <v>3.9792095588235301</v>
      </c>
      <c r="E1867" s="166">
        <f>TillageOperations!$N$10*$C$1809</f>
        <v>0</v>
      </c>
      <c r="F1867" s="166">
        <f t="shared" si="155"/>
        <v>0</v>
      </c>
      <c r="G1867" s="163" t="e">
        <f t="shared" si="152"/>
        <v>#DIV/0!</v>
      </c>
    </row>
    <row r="1868" spans="2:7">
      <c r="B1868" s="463" t="str">
        <f>TillageOperations!$B$11&amp;" (Repairs, maint., fuel &amp; lube)"</f>
        <v>Moldboard Plow (Repairs, maint., fuel &amp; lube)</v>
      </c>
      <c r="C1868" s="464" t="s">
        <v>157</v>
      </c>
      <c r="D1868" s="166">
        <f>PubMachineryTables!$AN$53+PubMachineryTables!$AM$53</f>
        <v>14.457142857142856</v>
      </c>
      <c r="E1868" s="166">
        <f>TillageOperations!$N$11*$C$1809</f>
        <v>0</v>
      </c>
      <c r="F1868" s="166">
        <f t="shared" si="155"/>
        <v>0</v>
      </c>
      <c r="G1868" s="163" t="e">
        <f t="shared" si="152"/>
        <v>#DIV/0!</v>
      </c>
    </row>
    <row r="1869" spans="2:7">
      <c r="B1869" s="463" t="str">
        <f>TillageOperations!$B$11&amp;" (Labor)"</f>
        <v>Moldboard Plow (Labor)</v>
      </c>
      <c r="C1869" s="464" t="s">
        <v>157</v>
      </c>
      <c r="D1869" s="166">
        <f>PubMachineryTables!$AL$53</f>
        <v>7.7310357142857153</v>
      </c>
      <c r="E1869" s="166">
        <f>TillageOperations!$N$11*$C$1809</f>
        <v>0</v>
      </c>
      <c r="F1869" s="166">
        <f t="shared" si="155"/>
        <v>0</v>
      </c>
      <c r="G1869" s="163" t="e">
        <f t="shared" si="152"/>
        <v>#DIV/0!</v>
      </c>
    </row>
    <row r="1870" spans="2:7">
      <c r="B1870" s="463" t="str">
        <f>TillageOperations!$B$12&amp;" (Repairs, maint., fuel &amp; lube)"</f>
        <v>Cultivator (Repairs, maint., fuel &amp; lube)</v>
      </c>
      <c r="C1870" s="464" t="s">
        <v>157</v>
      </c>
      <c r="D1870" s="166">
        <f>PubMachineryTables!$AN$54+PubMachineryTables!$AM$54</f>
        <v>5.7828571428571429</v>
      </c>
      <c r="E1870" s="166">
        <f>TillageOperations!$N$12*$C$1809</f>
        <v>0</v>
      </c>
      <c r="F1870" s="166">
        <f t="shared" si="155"/>
        <v>0</v>
      </c>
      <c r="G1870" s="163" t="e">
        <f t="shared" si="152"/>
        <v>#DIV/0!</v>
      </c>
    </row>
    <row r="1871" spans="2:7">
      <c r="B1871" s="463" t="str">
        <f>TillageOperations!$B$12&amp;" (Labor)"</f>
        <v>Cultivator (Labor)</v>
      </c>
      <c r="C1871" s="464" t="s">
        <v>157</v>
      </c>
      <c r="D1871" s="166">
        <f>PubMachineryTables!$AL$54</f>
        <v>3.0924142857142862</v>
      </c>
      <c r="E1871" s="166">
        <f>TillageOperations!$N$12*$C$1809</f>
        <v>0</v>
      </c>
      <c r="F1871" s="166">
        <f t="shared" si="155"/>
        <v>0</v>
      </c>
      <c r="G1871" s="163" t="e">
        <f t="shared" si="152"/>
        <v>#DIV/0!</v>
      </c>
    </row>
    <row r="1872" spans="2:7">
      <c r="B1872" s="463" t="str">
        <f>TillageOperations!$B$13&amp;" (Repairs, maint., fuel &amp; lube)"</f>
        <v>Landplane (Repairs, maint., fuel &amp; lube)</v>
      </c>
      <c r="C1872" s="464" t="s">
        <v>157</v>
      </c>
      <c r="D1872" s="166">
        <f>PubMachineryTables!$AN$55+PubMachineryTables!$AM$55</f>
        <v>8.0445253976590632</v>
      </c>
      <c r="E1872" s="166">
        <f>TillageOperations!$N$13*$C$1809</f>
        <v>0</v>
      </c>
      <c r="F1872" s="166">
        <f t="shared" si="155"/>
        <v>0</v>
      </c>
      <c r="G1872" s="163" t="e">
        <f t="shared" si="152"/>
        <v>#DIV/0!</v>
      </c>
    </row>
    <row r="1873" spans="2:7">
      <c r="B1873" s="463" t="str">
        <f>TillageOperations!$B$13&amp;" (Labor)"</f>
        <v>Landplane (Labor)</v>
      </c>
      <c r="C1873" s="464" t="s">
        <v>157</v>
      </c>
      <c r="D1873" s="166">
        <f>PubMachineryTables!$AL$55</f>
        <v>3.8655178571428577</v>
      </c>
      <c r="E1873" s="166">
        <f>TillageOperations!$N$13*$C$1809</f>
        <v>0</v>
      </c>
      <c r="F1873" s="166">
        <f t="shared" si="155"/>
        <v>0</v>
      </c>
      <c r="G1873" s="163" t="e">
        <f t="shared" si="152"/>
        <v>#DIV/0!</v>
      </c>
    </row>
    <row r="1874" spans="2:7">
      <c r="B1874" s="463" t="str">
        <f>TillageOperations!$B$14&amp;" (Repairs, maint., fuel &amp; lube)"</f>
        <v>Float (Repairs, maint., fuel &amp; lube)</v>
      </c>
      <c r="C1874" s="464" t="s">
        <v>157</v>
      </c>
      <c r="D1874" s="166">
        <f>PubMachineryTables!$AN$56+PubMachineryTables!$AM$56</f>
        <v>5.1632653061224492</v>
      </c>
      <c r="E1874" s="166">
        <f>TillageOperations!$N$14*$C$1809</f>
        <v>0</v>
      </c>
      <c r="F1874" s="166">
        <f t="shared" si="155"/>
        <v>0</v>
      </c>
      <c r="G1874" s="163" t="e">
        <f t="shared" si="152"/>
        <v>#DIV/0!</v>
      </c>
    </row>
    <row r="1875" spans="2:7">
      <c r="B1875" s="463" t="str">
        <f>TillageOperations!$B$14&amp;" (Labor)"</f>
        <v>Float (Labor)</v>
      </c>
      <c r="C1875" s="464" t="s">
        <v>157</v>
      </c>
      <c r="D1875" s="166">
        <f>PubMachineryTables!$AL$56</f>
        <v>4.4177346938775521</v>
      </c>
      <c r="E1875" s="166">
        <f>TillageOperations!$N$14*$C$1809</f>
        <v>0</v>
      </c>
      <c r="F1875" s="166">
        <f t="shared" si="155"/>
        <v>0</v>
      </c>
      <c r="G1875" s="163" t="e">
        <f t="shared" si="152"/>
        <v>#DIV/0!</v>
      </c>
    </row>
    <row r="1876" spans="2:7">
      <c r="B1876" s="463" t="str">
        <f>TillageOperations!$B$15&amp;" (Repairs, maint., fuel &amp; lube)"</f>
        <v>Lister (Repairs, maint., fuel &amp; lube)</v>
      </c>
      <c r="C1876" s="464" t="s">
        <v>157</v>
      </c>
      <c r="D1876" s="166">
        <f>PubMachineryTables!$AN$57+PubMachineryTables!$AM$57</f>
        <v>11.879642797844287</v>
      </c>
      <c r="E1876" s="166">
        <f>TillageOperations!$N$15*$C$1809</f>
        <v>0</v>
      </c>
      <c r="F1876" s="166">
        <f t="shared" si="155"/>
        <v>0</v>
      </c>
      <c r="G1876" s="163" t="e">
        <f t="shared" si="152"/>
        <v>#DIV/0!</v>
      </c>
    </row>
    <row r="1877" spans="2:7">
      <c r="B1877" s="463" t="str">
        <f>TillageOperations!$B$15&amp;" (Labor)"</f>
        <v>Lister (Labor)</v>
      </c>
      <c r="C1877" s="464" t="s">
        <v>157</v>
      </c>
      <c r="D1877" s="166">
        <f>PubMachineryTables!$AL$57</f>
        <v>6.1848285714285725</v>
      </c>
      <c r="E1877" s="166">
        <f>TillageOperations!$N$15*$C$1809</f>
        <v>0</v>
      </c>
      <c r="F1877" s="166">
        <f t="shared" si="155"/>
        <v>0</v>
      </c>
      <c r="G1877" s="163" t="e">
        <f t="shared" si="152"/>
        <v>#DIV/0!</v>
      </c>
    </row>
    <row r="1878" spans="2:7">
      <c r="B1878" s="463" t="str">
        <f>TillageOperations!$B$16&amp;" (Repairs, maint., fuel &amp; lube)"</f>
        <v>Bed Shaper (Repairs, maint., fuel &amp; lube)</v>
      </c>
      <c r="C1878" s="464" t="s">
        <v>157</v>
      </c>
      <c r="D1878" s="166">
        <f>PubMachineryTables!$AN$58+PubMachineryTables!$AM$58</f>
        <v>5.9574634784635725</v>
      </c>
      <c r="E1878" s="166">
        <f>TillageOperations!$N$16*$C$1809</f>
        <v>0</v>
      </c>
      <c r="F1878" s="166">
        <f t="shared" si="155"/>
        <v>0</v>
      </c>
      <c r="G1878" s="163" t="e">
        <f t="shared" si="152"/>
        <v>#DIV/0!</v>
      </c>
    </row>
    <row r="1879" spans="2:7">
      <c r="B1879" s="463" t="str">
        <f>TillageOperations!$B$16&amp;" (Labor)"</f>
        <v>Bed Shaper (Labor)</v>
      </c>
      <c r="C1879" s="464" t="s">
        <v>157</v>
      </c>
      <c r="D1879" s="166">
        <f>PubMachineryTables!$AL$58</f>
        <v>3.0924142857142862</v>
      </c>
      <c r="E1879" s="166">
        <f>TillageOperations!$N$16*$C$1809</f>
        <v>0</v>
      </c>
      <c r="F1879" s="166">
        <f t="shared" si="155"/>
        <v>0</v>
      </c>
      <c r="G1879" s="163" t="e">
        <f t="shared" ref="G1879:G1942" si="156">F1879/C$1809</f>
        <v>#DIV/0!</v>
      </c>
    </row>
    <row r="1880" spans="2:7">
      <c r="B1880" s="463" t="str">
        <f>TillageOperations!$B$19&amp;" (Repairs, maint., fuel &amp; lube)"</f>
        <v>Row Planter (Repairs, maint., fuel &amp; lube)</v>
      </c>
      <c r="C1880" s="464" t="s">
        <v>157</v>
      </c>
      <c r="D1880" s="166">
        <f>PubMachineryTables!$AN$60+PubMachineryTables!$AM$60</f>
        <v>8.8400048303091552</v>
      </c>
      <c r="E1880" s="166">
        <f>TillageOperations!$N$19*$C$1809</f>
        <v>0</v>
      </c>
      <c r="F1880" s="166">
        <f t="shared" si="155"/>
        <v>0</v>
      </c>
      <c r="G1880" s="163" t="e">
        <f t="shared" si="156"/>
        <v>#DIV/0!</v>
      </c>
    </row>
    <row r="1881" spans="2:7">
      <c r="B1881" s="463" t="str">
        <f>TillageOperations!$B$19&amp;" (Labor)"</f>
        <v>Row Planter (Labor)</v>
      </c>
      <c r="C1881" s="464" t="s">
        <v>157</v>
      </c>
      <c r="D1881" s="166">
        <f>PubMachineryTables!$AL$60</f>
        <v>4.5097708333333344</v>
      </c>
      <c r="E1881" s="166">
        <f>TillageOperations!$N$19*$C$1809</f>
        <v>0</v>
      </c>
      <c r="F1881" s="166">
        <f t="shared" si="155"/>
        <v>0</v>
      </c>
      <c r="G1881" s="163" t="e">
        <f t="shared" si="156"/>
        <v>#DIV/0!</v>
      </c>
    </row>
    <row r="1882" spans="2:7">
      <c r="B1882" s="463" t="str">
        <f>TillageOperations!$B$20&amp;" (Repairs, maint., fuel &amp; lube)"</f>
        <v>Row Cultivator (Repairs, maint., fuel &amp; lube)</v>
      </c>
      <c r="C1882" s="464" t="s">
        <v>157</v>
      </c>
      <c r="D1882" s="166">
        <f>PubMachineryTables!$AN$61+PubMachineryTables!$AM$61</f>
        <v>3.5823141032725374</v>
      </c>
      <c r="E1882" s="166">
        <f>TillageOperations!$N$20*$C$1809</f>
        <v>0</v>
      </c>
      <c r="F1882" s="166">
        <f>D1882*E1882</f>
        <v>0</v>
      </c>
      <c r="G1882" s="163" t="e">
        <f t="shared" si="156"/>
        <v>#DIV/0!</v>
      </c>
    </row>
    <row r="1883" spans="2:7">
      <c r="B1883" s="463" t="str">
        <f>TillageOperations!$B$20&amp;" (Labor)"</f>
        <v>Row Cultivator (Labor)</v>
      </c>
      <c r="C1883" s="464" t="s">
        <v>157</v>
      </c>
      <c r="D1883" s="166">
        <f>PubMachineryTables!$AL$61</f>
        <v>3.0065138888888892</v>
      </c>
      <c r="E1883" s="166">
        <f>TillageOperations!$N$20*$C$1809</f>
        <v>0</v>
      </c>
      <c r="F1883" s="166">
        <f>D1883*E1883</f>
        <v>0</v>
      </c>
      <c r="G1883" s="163" t="e">
        <f t="shared" si="156"/>
        <v>#DIV/0!</v>
      </c>
    </row>
    <row r="1884" spans="2:7">
      <c r="B1884" s="463" t="str">
        <f>TillageOperations!$B$21&amp;" (Repairs, maint., fuel &amp; lube)"</f>
        <v>Drill (Repairs, maint., fuel &amp; lube)</v>
      </c>
      <c r="C1884" s="464" t="s">
        <v>157</v>
      </c>
      <c r="D1884" s="166">
        <f>PubMachineryTables!$AN$62+PubMachineryTables!$AM$62</f>
        <v>7.6986395922631168</v>
      </c>
      <c r="E1884" s="166">
        <f>TillageOperations!$N$21*$C$1809</f>
        <v>0</v>
      </c>
      <c r="F1884" s="166">
        <f>D1884*E1884</f>
        <v>0</v>
      </c>
      <c r="G1884" s="163" t="e">
        <f t="shared" si="156"/>
        <v>#DIV/0!</v>
      </c>
    </row>
    <row r="1885" spans="2:7">
      <c r="B1885" s="463" t="str">
        <f>TillageOperations!$B$21&amp;" (Labor)"</f>
        <v>Drill (Labor)</v>
      </c>
      <c r="C1885" s="464" t="s">
        <v>157</v>
      </c>
      <c r="D1885" s="166">
        <f>PubMachineryTables!$AL$62</f>
        <v>5.4117250000000006</v>
      </c>
      <c r="E1885" s="166">
        <f>TillageOperations!$N$21*$C$1809</f>
        <v>0</v>
      </c>
      <c r="F1885" s="166">
        <f>D1885*E1885</f>
        <v>0</v>
      </c>
      <c r="G1885" s="163" t="e">
        <f t="shared" si="156"/>
        <v>#DIV/0!</v>
      </c>
    </row>
    <row r="1886" spans="2:7">
      <c r="B1886" s="75" t="str">
        <f>TillageOperations!$B$27&amp;" (Repairs, maint., fuel &amp; lube)"</f>
        <v>Cotton Picker (Repairs, maint., fuel &amp; lube)</v>
      </c>
      <c r="C1886" s="464" t="s">
        <v>157</v>
      </c>
      <c r="D1886" s="166">
        <f>PubMachineryTables!$AN$67+PubMachineryTables!$AM$67</f>
        <v>20.587703435804702</v>
      </c>
      <c r="E1886" s="166">
        <f>TillageOperations!$N$27*$C$1809</f>
        <v>0</v>
      </c>
      <c r="F1886" s="166">
        <f t="shared" ref="F1886:F1893" si="157">D1886*E1886</f>
        <v>0</v>
      </c>
      <c r="G1886" s="163" t="e">
        <f t="shared" si="156"/>
        <v>#DIV/0!</v>
      </c>
    </row>
    <row r="1887" spans="2:7">
      <c r="B1887" t="str">
        <f>TillageOperations!$B$27&amp;" (Labor)"</f>
        <v>Cotton Picker (Labor)</v>
      </c>
      <c r="C1887" s="464" t="s">
        <v>157</v>
      </c>
      <c r="D1887" s="166">
        <f>PubMachineryTables!$AL$67</f>
        <v>7.3395908679927677</v>
      </c>
      <c r="E1887" s="166">
        <f>TillageOperations!$N$27*$C$1809</f>
        <v>0</v>
      </c>
      <c r="F1887" s="166">
        <f t="shared" si="157"/>
        <v>0</v>
      </c>
      <c r="G1887" s="163" t="e">
        <f t="shared" si="156"/>
        <v>#DIV/0!</v>
      </c>
    </row>
    <row r="1888" spans="2:7">
      <c r="B1888" s="75" t="str">
        <f>TillageOperations!$B$28&amp;" (Repairs, maint., fuel &amp; lube)"</f>
        <v>Module Unit (Repairs, maint., fuel &amp; lube)</v>
      </c>
      <c r="C1888" s="464" t="s">
        <v>157</v>
      </c>
      <c r="D1888" s="166">
        <f>PubMachineryTables!$AN$68+PubMachineryTables!$AM$68</f>
        <v>7.0644080416976918</v>
      </c>
      <c r="E1888" s="166">
        <f>TillageOperations!$N$28*$C$1809</f>
        <v>0</v>
      </c>
      <c r="F1888" s="166">
        <f t="shared" si="157"/>
        <v>0</v>
      </c>
      <c r="G1888" s="163" t="e">
        <f t="shared" si="156"/>
        <v>#DIV/0!</v>
      </c>
    </row>
    <row r="1889" spans="2:7">
      <c r="B1889" t="str">
        <f>TillageOperations!$B$28&amp;" (Labor)"</f>
        <v>Module Unit (Labor)</v>
      </c>
      <c r="C1889" s="464" t="s">
        <v>157</v>
      </c>
      <c r="D1889" s="166">
        <f>PubMachineryTables!$AL$68</f>
        <v>6.0443689501116911</v>
      </c>
      <c r="E1889" s="166">
        <f>TillageOperations!$N$28*$C$1809</f>
        <v>0</v>
      </c>
      <c r="F1889" s="166">
        <f t="shared" si="157"/>
        <v>0</v>
      </c>
      <c r="G1889" s="163" t="e">
        <f t="shared" si="156"/>
        <v>#DIV/0!</v>
      </c>
    </row>
    <row r="1890" spans="2:7">
      <c r="B1890" t="str">
        <f>TillageOperations!$B$29&amp;" (Repairs, maint., fuel &amp; lube)"</f>
        <v>Haul Cotton (Repairs, maint., fuel &amp; lube)</v>
      </c>
      <c r="C1890" s="464" t="s">
        <v>157</v>
      </c>
      <c r="D1890" s="166">
        <f>PubMachineryTables!$AN$69+PubMachineryTables!$AM$69</f>
        <v>7.0644080416976918</v>
      </c>
      <c r="E1890" s="166">
        <f>TillageOperations!$N$29*$C$1809</f>
        <v>0</v>
      </c>
      <c r="F1890" s="166">
        <f t="shared" si="157"/>
        <v>0</v>
      </c>
      <c r="G1890" s="163" t="e">
        <f t="shared" si="156"/>
        <v>#DIV/0!</v>
      </c>
    </row>
    <row r="1891" spans="2:7">
      <c r="B1891" t="str">
        <f>TillageOperations!$B$29&amp;" (Labor)"</f>
        <v>Haul Cotton (Labor)</v>
      </c>
      <c r="C1891" s="464" t="s">
        <v>157</v>
      </c>
      <c r="D1891" s="166">
        <f>PubMachineryTables!$AL$69</f>
        <v>6.0443689501116911</v>
      </c>
      <c r="E1891" s="166">
        <f>TillageOperations!$N$29*$C$1809</f>
        <v>0</v>
      </c>
      <c r="F1891" s="166">
        <f t="shared" si="157"/>
        <v>0</v>
      </c>
      <c r="G1891" s="163" t="e">
        <f t="shared" si="156"/>
        <v>#DIV/0!</v>
      </c>
    </row>
    <row r="1892" spans="2:7">
      <c r="B1892" t="str">
        <f>TillageOperations!$B$17&amp;" (Repairs, maint., fuel &amp; lube)"</f>
        <v>Cotton Shredder/Root Puller (Repairs, maint., fuel &amp; lube)</v>
      </c>
      <c r="C1892" s="464" t="s">
        <v>157</v>
      </c>
      <c r="D1892" s="166">
        <f>PubMachineryTables!$AN$59+PubMachineryTables!$AM$59</f>
        <v>3.4657534246575339</v>
      </c>
      <c r="E1892" s="166">
        <f>TillageOperations!$N$17*$C$1809</f>
        <v>0</v>
      </c>
      <c r="F1892" s="166">
        <f t="shared" si="157"/>
        <v>0</v>
      </c>
      <c r="G1892" s="163" t="e">
        <f t="shared" si="156"/>
        <v>#DIV/0!</v>
      </c>
    </row>
    <row r="1893" spans="2:7">
      <c r="B1893" t="str">
        <f>TillageOperations!$B$17&amp;" (Labor)"</f>
        <v>Cotton Shredder/Root Puller (Labor)</v>
      </c>
      <c r="C1893" s="464" t="s">
        <v>157</v>
      </c>
      <c r="D1893" s="166">
        <f>PubMachineryTables!$AL$59</f>
        <v>2.965328767123288</v>
      </c>
      <c r="E1893" s="166">
        <f>TillageOperations!$N$17*$C$1809</f>
        <v>0</v>
      </c>
      <c r="F1893" s="166">
        <f t="shared" si="157"/>
        <v>0</v>
      </c>
      <c r="G1893" s="163" t="e">
        <f t="shared" si="156"/>
        <v>#DIV/0!</v>
      </c>
    </row>
    <row r="1894" spans="2:7">
      <c r="B1894" t="str">
        <f>TillageOperations!$B$30&amp;" (Repairs, maint., fuel &amp; lube)"</f>
        <v>Combine (Repairs, maint., fuel &amp; lube)</v>
      </c>
      <c r="C1894" s="464" t="s">
        <v>157</v>
      </c>
      <c r="D1894" s="166">
        <f>PubMachineryTables!$AN$70+PubMachineryTables!$AM$70</f>
        <v>4.8939818019913757</v>
      </c>
      <c r="E1894" s="166">
        <f>TillageOperations!$N$30*$C$1809</f>
        <v>0</v>
      </c>
      <c r="F1894" s="166">
        <f>D1894*E1894</f>
        <v>0</v>
      </c>
      <c r="G1894" s="163" t="e">
        <f t="shared" si="156"/>
        <v>#DIV/0!</v>
      </c>
    </row>
    <row r="1895" spans="2:7">
      <c r="B1895" t="str">
        <f>TillageOperations!$B$30&amp;" (Labor)"</f>
        <v>Combine (Labor)</v>
      </c>
      <c r="C1895" s="464" t="s">
        <v>157</v>
      </c>
      <c r="D1895" s="166">
        <f>PubMachineryTables!$AL$70</f>
        <v>1.591683823529412</v>
      </c>
      <c r="E1895" s="166">
        <f>TillageOperations!$N$30*$C$1809</f>
        <v>0</v>
      </c>
      <c r="F1895" s="166">
        <f>D1895*E1895</f>
        <v>0</v>
      </c>
      <c r="G1895" s="163" t="e">
        <f t="shared" si="156"/>
        <v>#DIV/0!</v>
      </c>
    </row>
    <row r="1896" spans="2:7">
      <c r="B1896" t="str">
        <f>TillageOperations!$B$31&amp;" (Repairs, maint., fuel &amp; lube)"</f>
        <v>Grain Cart (Repairs, maint., fuel &amp; lube)</v>
      </c>
      <c r="C1896" s="464" t="s">
        <v>157</v>
      </c>
      <c r="D1896" s="166">
        <f>PubMachineryTables!$AN$71+PubMachineryTables!$AM$71</f>
        <v>3.2163097667975675</v>
      </c>
      <c r="E1896" s="166">
        <f>TillageOperations!$N$31*$C$1809</f>
        <v>0</v>
      </c>
      <c r="F1896" s="166">
        <f>D1896*E1896</f>
        <v>0</v>
      </c>
      <c r="G1896" s="163" t="e">
        <f t="shared" si="156"/>
        <v>#DIV/0!</v>
      </c>
    </row>
    <row r="1897" spans="2:7">
      <c r="B1897" t="str">
        <f>TillageOperations!$B$31&amp;" (Labor)"</f>
        <v>Grain Cart (Labor)</v>
      </c>
      <c r="C1897" s="464" t="s">
        <v>157</v>
      </c>
      <c r="D1897" s="166">
        <f>PubMachineryTables!$AL$71</f>
        <v>1.591683823529412</v>
      </c>
      <c r="E1897" s="166">
        <f>TillageOperations!$N$31*$C$1809</f>
        <v>0</v>
      </c>
      <c r="F1897" s="166">
        <f>D1897*E1897</f>
        <v>0</v>
      </c>
      <c r="G1897" s="163" t="e">
        <f t="shared" si="156"/>
        <v>#DIV/0!</v>
      </c>
    </row>
    <row r="1898" spans="2:7">
      <c r="B1898" t="str">
        <f>TillageOperations!$B$32&amp;" (Repairs, maint., fuel &amp; lube)"</f>
        <v>Swather (Repairs, maint., fuel &amp; lube)</v>
      </c>
      <c r="C1898" s="464" t="s">
        <v>157</v>
      </c>
      <c r="D1898" s="166">
        <f>PubMachineryTables!$AN$72+PubMachineryTables!$AM$72</f>
        <v>2.0239999999999996</v>
      </c>
      <c r="E1898" s="166">
        <f>TillageOperations!$N$32*$C$1809</f>
        <v>0</v>
      </c>
      <c r="F1898" s="166">
        <f t="shared" ref="F1898:F1922" si="158">D1898*E1898</f>
        <v>0</v>
      </c>
      <c r="G1898" s="163" t="e">
        <f t="shared" si="156"/>
        <v>#DIV/0!</v>
      </c>
    </row>
    <row r="1899" spans="2:7">
      <c r="B1899" t="str">
        <f>TillageOperations!$B$32&amp;" (Labor)"</f>
        <v>Swather (Labor)</v>
      </c>
      <c r="C1899" s="464" t="s">
        <v>157</v>
      </c>
      <c r="D1899" s="166">
        <f>PubMachineryTables!$AL$72</f>
        <v>2.1646900000000002</v>
      </c>
      <c r="E1899" s="166">
        <f>TillageOperations!$N$32*$C$1809</f>
        <v>0</v>
      </c>
      <c r="F1899" s="166">
        <f t="shared" si="158"/>
        <v>0</v>
      </c>
      <c r="G1899" s="163" t="e">
        <f t="shared" si="156"/>
        <v>#DIV/0!</v>
      </c>
    </row>
    <row r="1900" spans="2:7">
      <c r="B1900" t="str">
        <f>TillageOperations!$B$33&amp;" (Repairs, maint., fuel &amp; lube)"</f>
        <v>Baler (Repairs, maint., fuel &amp; lube)</v>
      </c>
      <c r="C1900" s="464" t="s">
        <v>157</v>
      </c>
      <c r="D1900" s="166">
        <f>PubMachineryTables!$AN$73+PubMachineryTables!$AM$73</f>
        <v>3.953125</v>
      </c>
      <c r="E1900" s="166">
        <f>TillageOperations!$N$33*$C$1809</f>
        <v>0</v>
      </c>
      <c r="F1900" s="166">
        <f t="shared" si="158"/>
        <v>0</v>
      </c>
      <c r="G1900" s="163" t="e">
        <f t="shared" si="156"/>
        <v>#DIV/0!</v>
      </c>
    </row>
    <row r="1901" spans="2:7">
      <c r="B1901" t="str">
        <f>TillageOperations!$B$33&amp;" (Labor)"</f>
        <v>Baler (Labor)</v>
      </c>
      <c r="C1901" s="464" t="s">
        <v>157</v>
      </c>
      <c r="D1901" s="166">
        <f>PubMachineryTables!$AL$73</f>
        <v>3.3823281250000004</v>
      </c>
      <c r="E1901" s="166">
        <f>TillageOperations!$N$33*$C$1809</f>
        <v>0</v>
      </c>
      <c r="F1901" s="166">
        <f t="shared" si="158"/>
        <v>0</v>
      </c>
      <c r="G1901" s="163" t="e">
        <f t="shared" si="156"/>
        <v>#DIV/0!</v>
      </c>
    </row>
    <row r="1902" spans="2:7">
      <c r="B1902" t="str">
        <f>TillageOperations!$B$34&amp;" (Repairs, maint., fuel &amp; lube)"</f>
        <v>Swather (Repairs, maint., fuel &amp; lube)</v>
      </c>
      <c r="C1902" s="464" t="s">
        <v>157</v>
      </c>
      <c r="D1902" s="166">
        <f>PubMachineryTables!$AN$74+PubMachineryTables!$AM$74</f>
        <v>19.46153846153846</v>
      </c>
      <c r="E1902" s="166">
        <f>TillageOperations!$N$34*$C$1809</f>
        <v>0</v>
      </c>
      <c r="F1902" s="166">
        <f t="shared" si="158"/>
        <v>0</v>
      </c>
      <c r="G1902" s="163" t="e">
        <f t="shared" si="156"/>
        <v>#DIV/0!</v>
      </c>
    </row>
    <row r="1903" spans="2:7">
      <c r="B1903" t="str">
        <f>TillageOperations!$B$34&amp;" (Labor)"</f>
        <v>Swather (Labor)</v>
      </c>
      <c r="C1903" s="464" t="s">
        <v>157</v>
      </c>
      <c r="D1903" s="166">
        <f>PubMachineryTables!$AL$74</f>
        <v>20.814326923076923</v>
      </c>
      <c r="E1903" s="166">
        <f>TillageOperations!$N$34*$C$1809</f>
        <v>0</v>
      </c>
      <c r="F1903" s="166">
        <f t="shared" si="158"/>
        <v>0</v>
      </c>
      <c r="G1903" s="163" t="e">
        <f t="shared" si="156"/>
        <v>#DIV/0!</v>
      </c>
    </row>
    <row r="1904" spans="2:7">
      <c r="B1904" t="str">
        <f>TillageOperations!$B$35&amp;" (Repairs, maint., fuel &amp; lube)"</f>
        <v>Baler (Repairs, maint., fuel &amp; lube)</v>
      </c>
      <c r="C1904" s="464" t="s">
        <v>157</v>
      </c>
      <c r="D1904" s="166">
        <f>PubMachineryTables!$AN$75+PubMachineryTables!$AM$75</f>
        <v>24.326923076923073</v>
      </c>
      <c r="E1904" s="166">
        <f>TillageOperations!$N$35*$C$1809</f>
        <v>0</v>
      </c>
      <c r="F1904" s="166">
        <f t="shared" si="158"/>
        <v>0</v>
      </c>
      <c r="G1904" s="163" t="e">
        <f t="shared" si="156"/>
        <v>#DIV/0!</v>
      </c>
    </row>
    <row r="1905" spans="2:7">
      <c r="B1905" t="str">
        <f>TillageOperations!$B$35&amp;" (Labor)"</f>
        <v>Baler (Labor)</v>
      </c>
      <c r="C1905" s="464" t="s">
        <v>157</v>
      </c>
      <c r="D1905" s="166">
        <f>PubMachineryTables!$AL$75</f>
        <v>20.814326923076923</v>
      </c>
      <c r="E1905" s="166">
        <f>TillageOperations!$N$35*$C$1809</f>
        <v>0</v>
      </c>
      <c r="F1905" s="166">
        <f t="shared" si="158"/>
        <v>0</v>
      </c>
      <c r="G1905" s="163" t="e">
        <f t="shared" si="156"/>
        <v>#DIV/0!</v>
      </c>
    </row>
    <row r="1906" spans="2:7">
      <c r="B1906" t="str">
        <f>'Inputs&amp;PricesbyCrop'!$B$31</f>
        <v xml:space="preserve">   - Baling Twine</v>
      </c>
      <c r="C1906" s="137" t="str">
        <f>'Inputs&amp;PricesbyCrop'!$C$31</f>
        <v>acre</v>
      </c>
      <c r="D1906" s="166">
        <f>'Inputs&amp;PricesbyCrop'!$O$31</f>
        <v>0</v>
      </c>
      <c r="E1906" s="166">
        <f>$C$1809</f>
        <v>0</v>
      </c>
      <c r="F1906" s="166">
        <f t="shared" si="158"/>
        <v>0</v>
      </c>
      <c r="G1906" s="163" t="e">
        <f t="shared" si="156"/>
        <v>#DIV/0!</v>
      </c>
    </row>
    <row r="1907" spans="2:7">
      <c r="B1907" t="str">
        <f>TillageOperations!$B$36&amp;" (Repairs, maint., fuel &amp; lube)"</f>
        <v>Bale Wagon (Repairs, maint., fuel &amp; lube)</v>
      </c>
      <c r="C1907" s="464" t="s">
        <v>157</v>
      </c>
      <c r="D1907" s="166">
        <f>PubMachineryTables!$AN$76+PubMachineryTables!$AM$76</f>
        <v>3.1624999999999996</v>
      </c>
      <c r="E1907" s="166">
        <f>TillageOperations!$N$36*$C$1809</f>
        <v>0</v>
      </c>
      <c r="F1907" s="166">
        <f t="shared" si="158"/>
        <v>0</v>
      </c>
      <c r="G1907" s="163" t="e">
        <f t="shared" si="156"/>
        <v>#DIV/0!</v>
      </c>
    </row>
    <row r="1908" spans="2:7">
      <c r="B1908" t="str">
        <f>TillageOperations!$B$36&amp;" (Labor)"</f>
        <v>Bale Wagon (Labor)</v>
      </c>
      <c r="C1908" s="464" t="s">
        <v>157</v>
      </c>
      <c r="D1908" s="166">
        <f>PubMachineryTables!$AL$76</f>
        <v>3.3823281250000004</v>
      </c>
      <c r="E1908" s="166">
        <f>TillageOperations!$N$36*$C$1809</f>
        <v>0</v>
      </c>
      <c r="F1908" s="166">
        <f t="shared" si="158"/>
        <v>0</v>
      </c>
      <c r="G1908" s="163" t="e">
        <f t="shared" si="156"/>
        <v>#DIV/0!</v>
      </c>
    </row>
    <row r="1909" spans="2:7">
      <c r="B1909" t="str">
        <f>TillageOperations!$B$23&amp;" (Repairs, maint., fuel &amp; lube)"</f>
        <v>Fertilizer Spreader (Repairs, maint., fuel &amp; lube)</v>
      </c>
      <c r="C1909" s="464" t="s">
        <v>157</v>
      </c>
      <c r="D1909" s="166">
        <f>PubMachineryTables!$AM$64+PubMachineryTables!$AN$64</f>
        <v>2.6573732562743069</v>
      </c>
      <c r="E1909" s="166">
        <f>TillageOperations!$N$23*$C$1809</f>
        <v>0</v>
      </c>
      <c r="F1909" s="168">
        <f t="shared" si="158"/>
        <v>0</v>
      </c>
      <c r="G1909" s="163" t="e">
        <f t="shared" si="156"/>
        <v>#DIV/0!</v>
      </c>
    </row>
    <row r="1910" spans="2:7">
      <c r="B1910" t="str">
        <f>TillageOperations!$B$23&amp;" (Labor)"</f>
        <v>Fertilizer Spreader (Labor)</v>
      </c>
      <c r="C1910" s="464" t="s">
        <v>157</v>
      </c>
      <c r="D1910" s="166">
        <f>PubMachineryTables!$AL$64</f>
        <v>1.879071180555556</v>
      </c>
      <c r="E1910" s="166">
        <f>TillageOperations!$N$23*$C$1809</f>
        <v>0</v>
      </c>
      <c r="F1910" s="168">
        <f t="shared" si="158"/>
        <v>0</v>
      </c>
      <c r="G1910" s="163" t="e">
        <f t="shared" si="156"/>
        <v>#DIV/0!</v>
      </c>
    </row>
    <row r="1911" spans="2:7">
      <c r="B1911" t="str">
        <f>TillageOperations!$B$24&amp;" (Repairs, maint., fuel &amp; lube)"</f>
        <v>Fertilizer Injection System (Repairs, maint., fuel &amp; lube)</v>
      </c>
      <c r="C1911" s="464" t="s">
        <v>157</v>
      </c>
      <c r="D1911" s="166">
        <f>PubMachineryTables!$AM$65+PubMachineryTables!$AN$65</f>
        <v>8.4333333333333336</v>
      </c>
      <c r="E1911" s="166">
        <f>TillageOperations!$N$24*$C$1809</f>
        <v>0</v>
      </c>
      <c r="F1911" s="168">
        <f t="shared" si="158"/>
        <v>0</v>
      </c>
      <c r="G1911" s="163" t="e">
        <f t="shared" si="156"/>
        <v>#DIV/0!</v>
      </c>
    </row>
    <row r="1912" spans="2:7">
      <c r="B1912" t="str">
        <f>TillageOperations!$B$24&amp;" (Labor)"</f>
        <v>Fertilizer Injection System (Labor)</v>
      </c>
      <c r="C1912" s="464" t="s">
        <v>157</v>
      </c>
      <c r="D1912" s="166">
        <f>PubMachineryTables!$AL$65</f>
        <v>4.5097708333333344</v>
      </c>
      <c r="E1912" s="166">
        <f>TillageOperations!$N$24*$C$1809</f>
        <v>0</v>
      </c>
      <c r="F1912" s="168">
        <f t="shared" si="158"/>
        <v>0</v>
      </c>
      <c r="G1912" s="163" t="e">
        <f t="shared" si="156"/>
        <v>#DIV/0!</v>
      </c>
    </row>
    <row r="1913" spans="2:7">
      <c r="B1913" t="str">
        <f>TillageOperations!$B$25&amp;" (Repairs, maint., fuel &amp; lube)"</f>
        <v>Boom Sprayer (Repairs, maint., fuel &amp; lube)</v>
      </c>
      <c r="C1913" s="464" t="s">
        <v>157</v>
      </c>
      <c r="D1913" s="166">
        <f>PubMachineryTables!AN$66+PubMachineryTables!$AM$66</f>
        <v>1.5996307048468115</v>
      </c>
      <c r="E1913" s="166">
        <f>TillageOperations!$N$25*$C$1809</f>
        <v>0</v>
      </c>
      <c r="F1913" s="166">
        <f t="shared" si="158"/>
        <v>0</v>
      </c>
      <c r="G1913" s="163" t="e">
        <f t="shared" si="156"/>
        <v>#DIV/0!</v>
      </c>
    </row>
    <row r="1914" spans="2:7">
      <c r="B1914" t="str">
        <f>TillageOperations!$B$25&amp;" (Labor)"</f>
        <v>Boom Sprayer (Labor)</v>
      </c>
      <c r="C1914" s="464" t="s">
        <v>157</v>
      </c>
      <c r="D1914" s="166">
        <f>PubMachineryTables!$AL$66</f>
        <v>1.1893901098901098</v>
      </c>
      <c r="E1914" s="166">
        <f>TillageOperations!$N$25*$C$1809</f>
        <v>0</v>
      </c>
      <c r="F1914" s="166">
        <f t="shared" si="158"/>
        <v>0</v>
      </c>
      <c r="G1914" s="163" t="e">
        <f t="shared" si="156"/>
        <v>#DIV/0!</v>
      </c>
    </row>
    <row r="1915" spans="2:7">
      <c r="B1915" t="str">
        <f>TillageOperations!$B$22&amp;" (Repairs, maint., fuel &amp; lube)"</f>
        <v>Transplanter (Repairs, maint., fuel &amp; lube)</v>
      </c>
      <c r="C1915" s="464" t="s">
        <v>157</v>
      </c>
      <c r="D1915" s="166">
        <f>PubMachineryTables!AN$63+PubMachineryTables!$AM$63</f>
        <v>61.668749999999996</v>
      </c>
      <c r="E1915" s="166">
        <f>TillageOperations!$N$22*$C$1809</f>
        <v>0</v>
      </c>
      <c r="F1915" s="166">
        <f>D1915*E1915</f>
        <v>0</v>
      </c>
      <c r="G1915" s="163" t="e">
        <f t="shared" si="156"/>
        <v>#DIV/0!</v>
      </c>
    </row>
    <row r="1916" spans="2:7">
      <c r="B1916" t="str">
        <f>TillageOperations!$B$22&amp;" (Labor)"</f>
        <v>Transplanter (Labor)</v>
      </c>
      <c r="C1916" s="464" t="s">
        <v>157</v>
      </c>
      <c r="D1916" s="166">
        <f>PubMachineryTables!$AL$63</f>
        <v>20.293968750000001</v>
      </c>
      <c r="E1916" s="166">
        <f>TillageOperations!$N$22*$C$1809</f>
        <v>0</v>
      </c>
      <c r="F1916" s="166">
        <f t="shared" si="158"/>
        <v>0</v>
      </c>
      <c r="G1916" s="163" t="e">
        <f t="shared" si="156"/>
        <v>#DIV/0!</v>
      </c>
    </row>
    <row r="1917" spans="2:7">
      <c r="B1917" t="str">
        <f>'Inputs&amp;PricesbyCrop'!$B$14</f>
        <v>Additional Land Prep. Labor</v>
      </c>
      <c r="C1917" s="137" t="str">
        <f>'Inputs&amp;PricesbyCrop'!$C$14</f>
        <v>hour</v>
      </c>
      <c r="D1917" s="166">
        <f>GeneralInputPrices!$D$30</f>
        <v>14.55</v>
      </c>
      <c r="E1917" s="166">
        <f>'Inputs&amp;PricesbyCrop'!$O$14*BASEBUDGETS!$C1809</f>
        <v>0</v>
      </c>
      <c r="F1917" s="166">
        <f t="shared" si="158"/>
        <v>0</v>
      </c>
      <c r="G1917" s="163" t="e">
        <f t="shared" si="156"/>
        <v>#DIV/0!</v>
      </c>
    </row>
    <row r="1918" spans="2:7">
      <c r="B1918" t="str">
        <f>'Inputs&amp;PricesbyCrop'!$B$15</f>
        <v>Additional Land Prep. Labor</v>
      </c>
      <c r="C1918" s="137" t="str">
        <f>'Inputs&amp;PricesbyCrop'!$C$15</f>
        <v>hour</v>
      </c>
      <c r="D1918" s="166">
        <f>GeneralInputPrices!$D$30</f>
        <v>14.55</v>
      </c>
      <c r="E1918" s="166">
        <f>'Inputs&amp;PricesbyCrop'!$O$15*BASEBUDGETS!$C1809</f>
        <v>0</v>
      </c>
      <c r="F1918" s="166">
        <f t="shared" si="158"/>
        <v>0</v>
      </c>
      <c r="G1918" s="163" t="e">
        <f t="shared" si="156"/>
        <v>#DIV/0!</v>
      </c>
    </row>
    <row r="1919" spans="2:7">
      <c r="B1919" t="str">
        <f>'Inputs&amp;PricesbyCrop'!$B$17</f>
        <v>Additional Crop Prod. Labor</v>
      </c>
      <c r="C1919" s="137" t="str">
        <f>'Inputs&amp;PricesbyCrop'!$C$17</f>
        <v>hour</v>
      </c>
      <c r="D1919" s="166">
        <f>GeneralInputPrices!$D$31</f>
        <v>14.55</v>
      </c>
      <c r="E1919" s="166">
        <f>'Inputs&amp;PricesbyCrop'!$O$17*BASEBUDGETS!$C1809</f>
        <v>0</v>
      </c>
      <c r="F1919" s="166">
        <f t="shared" si="158"/>
        <v>0</v>
      </c>
      <c r="G1919" s="163" t="e">
        <f t="shared" si="156"/>
        <v>#DIV/0!</v>
      </c>
    </row>
    <row r="1920" spans="2:7">
      <c r="B1920" t="str">
        <f>'Inputs&amp;PricesbyCrop'!$B$18</f>
        <v>Additional Crop Prod. Labor</v>
      </c>
      <c r="C1920" s="137" t="str">
        <f>'Inputs&amp;PricesbyCrop'!$C$18</f>
        <v>hour</v>
      </c>
      <c r="D1920" s="166">
        <f>GeneralInputPrices!$D$31</f>
        <v>14.55</v>
      </c>
      <c r="E1920" s="166">
        <f>'Inputs&amp;PricesbyCrop'!$O$18*BASEBUDGETS!$C1809</f>
        <v>0</v>
      </c>
      <c r="F1920" s="166">
        <f t="shared" si="158"/>
        <v>0</v>
      </c>
      <c r="G1920" s="163" t="e">
        <f t="shared" si="156"/>
        <v>#DIV/0!</v>
      </c>
    </row>
    <row r="1921" spans="2:7">
      <c r="B1921" t="str">
        <f>'Inputs&amp;PricesbyCrop'!$B$20</f>
        <v>Additional Harvest Labor</v>
      </c>
      <c r="C1921" s="137" t="str">
        <f>'Inputs&amp;PricesbyCrop'!$C$20</f>
        <v>hour</v>
      </c>
      <c r="D1921" s="166">
        <f>GeneralInputPrices!$D$32</f>
        <v>17.89</v>
      </c>
      <c r="E1921" s="166">
        <f>'Inputs&amp;PricesbyCrop'!$O$20*BASEBUDGETS!$C1809</f>
        <v>0</v>
      </c>
      <c r="F1921" s="166">
        <f t="shared" si="158"/>
        <v>0</v>
      </c>
      <c r="G1921" s="163" t="e">
        <f t="shared" si="156"/>
        <v>#DIV/0!</v>
      </c>
    </row>
    <row r="1922" spans="2:7">
      <c r="B1922" t="str">
        <f>'Inputs&amp;PricesbyCrop'!$B$21</f>
        <v>Additional Harvest Labor</v>
      </c>
      <c r="C1922" s="137" t="str">
        <f>'Inputs&amp;PricesbyCrop'!$C$21</f>
        <v>hour</v>
      </c>
      <c r="D1922" s="166">
        <f>GeneralInputPrices!$D$32</f>
        <v>17.89</v>
      </c>
      <c r="E1922" s="166">
        <f>'Inputs&amp;PricesbyCrop'!$O$21*BASEBUDGETS!$C1809</f>
        <v>0</v>
      </c>
      <c r="F1922" s="166">
        <f t="shared" si="158"/>
        <v>0</v>
      </c>
      <c r="G1922" s="163" t="e">
        <f t="shared" si="156"/>
        <v>#DIV/0!</v>
      </c>
    </row>
    <row r="1923" spans="2:7">
      <c r="B1923" t="s">
        <v>59</v>
      </c>
      <c r="C1923" s="137" t="str">
        <f>GeneralInputPrices!$C$34</f>
        <v>percent</v>
      </c>
      <c r="D1923" s="138">
        <f>GeneralInputPrices!$D$34</f>
        <v>0.05</v>
      </c>
      <c r="E1923" s="75" t="s">
        <v>10</v>
      </c>
      <c r="F1923" s="37">
        <f>SUM(F1817:F1922)*D1923</f>
        <v>0</v>
      </c>
      <c r="G1923" s="163" t="e">
        <f t="shared" si="156"/>
        <v>#DIV/0!</v>
      </c>
    </row>
    <row r="1924" spans="2:7">
      <c r="B1924" t="s">
        <v>60</v>
      </c>
      <c r="C1924" s="137" t="str">
        <f>GeneralInputPrices!$C$34</f>
        <v>percent</v>
      </c>
      <c r="D1924" s="138">
        <f>GeneralInputPrices!$D$35</f>
        <v>0.06</v>
      </c>
      <c r="F1924" s="139">
        <f>SUM(F1817:F1923)*((D1924/12)*GeneralInputPrices!$D$39)</f>
        <v>0</v>
      </c>
      <c r="G1924" s="163" t="e">
        <f t="shared" si="156"/>
        <v>#DIV/0!</v>
      </c>
    </row>
    <row r="1925" spans="2:7">
      <c r="B1925" t="s">
        <v>61</v>
      </c>
      <c r="D1925" s="454"/>
      <c r="F1925" s="37">
        <f>SUM(F1817:F1924)</f>
        <v>0</v>
      </c>
      <c r="G1925" s="163" t="e">
        <f t="shared" si="156"/>
        <v>#DIV/0!</v>
      </c>
    </row>
    <row r="1926" spans="2:7">
      <c r="D1926" s="454"/>
      <c r="G1926" s="163" t="e">
        <f t="shared" si="156"/>
        <v>#DIV/0!</v>
      </c>
    </row>
    <row r="1927" spans="2:7">
      <c r="B1927" s="140" t="s">
        <v>129</v>
      </c>
      <c r="C1927" s="458" t="s">
        <v>1</v>
      </c>
      <c r="D1927" s="459" t="s">
        <v>24</v>
      </c>
      <c r="E1927" s="460" t="s">
        <v>25</v>
      </c>
      <c r="F1927" s="460" t="s">
        <v>0</v>
      </c>
      <c r="G1927" s="322" t="s">
        <v>10</v>
      </c>
    </row>
    <row r="1928" spans="2:7">
      <c r="B1928" t="str">
        <f>GeneralInputPrices!$B$15&amp;" - Upfront Costs for New System"</f>
        <v>Flood - Upfront Costs for New System</v>
      </c>
      <c r="C1928" s="453" t="str">
        <f>GeneralInputPrices!$C$16</f>
        <v>acre</v>
      </c>
      <c r="D1928" s="166">
        <f>IF('BreakevenInputs&amp;Resources'!T$16=0,0,(('BreakevenInputs&amp;Resources'!T$16/GeneralInputPrices!$D$17)*('AcresYieldsPrices&amp;Water'!$Q$19/'AcresYieldsPrices&amp;Water'!$Q$31))/C1809)</f>
        <v>0</v>
      </c>
      <c r="E1928" s="166">
        <f>C1809</f>
        <v>0</v>
      </c>
      <c r="F1928" s="166">
        <f>D1928*E1928</f>
        <v>0</v>
      </c>
      <c r="G1928" s="163" t="e">
        <f t="shared" si="156"/>
        <v>#DIV/0!</v>
      </c>
    </row>
    <row r="1929" spans="2:7">
      <c r="B1929" t="str">
        <f>GeneralInputPrices!$B$19&amp;" - Upfront Costs for New System"</f>
        <v>Drip-tape - Upfront Costs for New System</v>
      </c>
      <c r="C1929" s="453" t="str">
        <f>GeneralInputPrices!$C$20</f>
        <v>acre</v>
      </c>
      <c r="D1929" s="166">
        <f>IF('BreakevenInputs&amp;Resources'!T$17=0,0,(('BreakevenInputs&amp;Resources'!T$17/GeneralInputPrices!$D$21)*('AcresYieldsPrices&amp;Water'!$Q$19/'AcresYieldsPrices&amp;Water'!$Q$31))/C1809)</f>
        <v>0</v>
      </c>
      <c r="E1929" s="166">
        <f>C1809</f>
        <v>0</v>
      </c>
      <c r="F1929" s="166">
        <f>D1929*E1929</f>
        <v>0</v>
      </c>
      <c r="G1929" s="163" t="e">
        <f t="shared" si="156"/>
        <v>#DIV/0!</v>
      </c>
    </row>
    <row r="1930" spans="2:7">
      <c r="B1930" t="str">
        <f>GeneralInputPrices!$B$23&amp;" - Upfront Costs for New System"</f>
        <v>Sprinkler - Upfront Costs for New System</v>
      </c>
      <c r="C1930" s="453" t="str">
        <f>GeneralInputPrices!$C$24</f>
        <v>acre</v>
      </c>
      <c r="D1930" s="166">
        <f>IF('BreakevenInputs&amp;Resources'!T$18=0,0,(('BreakevenInputs&amp;Resources'!T$18/GeneralInputPrices!$D$25)*('AcresYieldsPrices&amp;Water'!$Q$19/'AcresYieldsPrices&amp;Water'!$Q$31))/C1809)</f>
        <v>0</v>
      </c>
      <c r="E1930" s="166">
        <f>C1809</f>
        <v>0</v>
      </c>
      <c r="F1930" s="166">
        <f>D1930*E1930</f>
        <v>0</v>
      </c>
      <c r="G1930" s="163" t="e">
        <f t="shared" si="156"/>
        <v>#DIV/0!</v>
      </c>
    </row>
    <row r="1931" spans="2:7">
      <c r="B1931" s="463" t="str">
        <f>TillageOperations!$B$7</f>
        <v>V-Ripper</v>
      </c>
      <c r="C1931" s="464" t="s">
        <v>157</v>
      </c>
      <c r="D1931" s="166">
        <f>PubMachineryTables!$AO$49</f>
        <v>209.18701372031111</v>
      </c>
      <c r="E1931" s="166">
        <f>E1860</f>
        <v>0</v>
      </c>
      <c r="F1931" s="168">
        <f t="shared" ref="F1931:F1942" si="159">D1931*E1931</f>
        <v>0</v>
      </c>
      <c r="G1931" s="163" t="e">
        <f t="shared" si="156"/>
        <v>#DIV/0!</v>
      </c>
    </row>
    <row r="1932" spans="2:7">
      <c r="B1932" s="463" t="str">
        <f>TillageOperations!$B$8</f>
        <v>Offset Disk</v>
      </c>
      <c r="C1932" s="464" t="s">
        <v>157</v>
      </c>
      <c r="D1932" s="166">
        <f>PubMachineryTables!$AO$50</f>
        <v>42.467441655558019</v>
      </c>
      <c r="E1932" s="166">
        <f>E1862</f>
        <v>0</v>
      </c>
      <c r="F1932" s="166">
        <f t="shared" si="159"/>
        <v>0</v>
      </c>
      <c r="G1932" s="163" t="e">
        <f t="shared" si="156"/>
        <v>#DIV/0!</v>
      </c>
    </row>
    <row r="1933" spans="2:7">
      <c r="B1933" s="463" t="str">
        <f>TillageOperations!$B$9</f>
        <v>Drag</v>
      </c>
      <c r="C1933" s="464" t="s">
        <v>157</v>
      </c>
      <c r="D1933" s="166">
        <f>PubMachineryTables!$AO$51</f>
        <v>0</v>
      </c>
      <c r="E1933" s="166">
        <f>E1864</f>
        <v>0</v>
      </c>
      <c r="F1933" s="166">
        <f t="shared" si="159"/>
        <v>0</v>
      </c>
      <c r="G1933" s="163" t="e">
        <f t="shared" si="156"/>
        <v>#DIV/0!</v>
      </c>
    </row>
    <row r="1934" spans="2:7">
      <c r="B1934" s="463" t="str">
        <f>TillageOperations!$B$10</f>
        <v>Chisel</v>
      </c>
      <c r="C1934" s="464" t="s">
        <v>157</v>
      </c>
      <c r="D1934" s="166">
        <f>PubMachineryTables!$AO$52</f>
        <v>40.724752902248241</v>
      </c>
      <c r="E1934" s="166">
        <f>E1866</f>
        <v>0</v>
      </c>
      <c r="F1934" s="166">
        <f t="shared" si="159"/>
        <v>0</v>
      </c>
      <c r="G1934" s="163" t="e">
        <f t="shared" si="156"/>
        <v>#DIV/0!</v>
      </c>
    </row>
    <row r="1935" spans="2:7">
      <c r="B1935" s="463" t="str">
        <f>TillageOperations!$B$11</f>
        <v>Moldboard Plow</v>
      </c>
      <c r="C1935" s="464" t="s">
        <v>157</v>
      </c>
      <c r="D1935" s="166">
        <f>PubMachineryTables!$AO$53</f>
        <v>0</v>
      </c>
      <c r="E1935" s="166">
        <f>E1868</f>
        <v>0</v>
      </c>
      <c r="F1935" s="166">
        <f t="shared" si="159"/>
        <v>0</v>
      </c>
      <c r="G1935" s="163" t="e">
        <f t="shared" si="156"/>
        <v>#DIV/0!</v>
      </c>
    </row>
    <row r="1936" spans="2:7">
      <c r="B1936" s="463" t="str">
        <f>TillageOperations!$B$12</f>
        <v>Cultivator</v>
      </c>
      <c r="C1936" s="464" t="s">
        <v>157</v>
      </c>
      <c r="D1936" s="166">
        <f>PubMachineryTables!$AO$54</f>
        <v>0</v>
      </c>
      <c r="E1936" s="166">
        <f>E1870</f>
        <v>0</v>
      </c>
      <c r="F1936" s="166">
        <f t="shared" si="159"/>
        <v>0</v>
      </c>
      <c r="G1936" s="163" t="e">
        <f t="shared" si="156"/>
        <v>#DIV/0!</v>
      </c>
    </row>
    <row r="1937" spans="2:7">
      <c r="B1937" s="463" t="str">
        <f>TillageOperations!$B$13</f>
        <v>Landplane</v>
      </c>
      <c r="C1937" s="464" t="s">
        <v>157</v>
      </c>
      <c r="D1937" s="166">
        <f>PubMachineryTables!$AO$55</f>
        <v>107.77752986339607</v>
      </c>
      <c r="E1937" s="166">
        <f>E1872</f>
        <v>0</v>
      </c>
      <c r="F1937" s="166">
        <f t="shared" si="159"/>
        <v>0</v>
      </c>
      <c r="G1937" s="163" t="e">
        <f t="shared" si="156"/>
        <v>#DIV/0!</v>
      </c>
    </row>
    <row r="1938" spans="2:7">
      <c r="B1938" s="463" t="str">
        <f>TillageOperations!$B$14</f>
        <v>Float</v>
      </c>
      <c r="C1938" s="464" t="s">
        <v>157</v>
      </c>
      <c r="D1938" s="166">
        <f>PubMachineryTables!$AO$56</f>
        <v>0</v>
      </c>
      <c r="E1938" s="166">
        <f>E1874</f>
        <v>0</v>
      </c>
      <c r="F1938" s="166">
        <f t="shared" si="159"/>
        <v>0</v>
      </c>
      <c r="G1938" s="163" t="e">
        <f t="shared" si="156"/>
        <v>#DIV/0!</v>
      </c>
    </row>
    <row r="1939" spans="2:7">
      <c r="B1939" s="463" t="str">
        <f>TillageOperations!$B$15</f>
        <v>Lister</v>
      </c>
      <c r="C1939" s="464" t="s">
        <v>157</v>
      </c>
      <c r="D1939" s="166">
        <f>PubMachineryTables!$AO$57</f>
        <v>72.676050764764099</v>
      </c>
      <c r="E1939" s="166">
        <f>E1876</f>
        <v>0</v>
      </c>
      <c r="F1939" s="166">
        <f t="shared" si="159"/>
        <v>0</v>
      </c>
      <c r="G1939" s="163" t="e">
        <f t="shared" si="156"/>
        <v>#DIV/0!</v>
      </c>
    </row>
    <row r="1940" spans="2:7">
      <c r="B1940" s="463" t="str">
        <f>TillageOperations!$B$16</f>
        <v>Bed Shaper</v>
      </c>
      <c r="C1940" s="464" t="s">
        <v>157</v>
      </c>
      <c r="D1940" s="166">
        <f>PubMachineryTables!$AO$58</f>
        <v>50.420091551988918</v>
      </c>
      <c r="E1940" s="166">
        <f>E1878</f>
        <v>0</v>
      </c>
      <c r="F1940" s="166">
        <f t="shared" si="159"/>
        <v>0</v>
      </c>
      <c r="G1940" s="163" t="e">
        <f t="shared" si="156"/>
        <v>#DIV/0!</v>
      </c>
    </row>
    <row r="1941" spans="2:7">
      <c r="B1941" s="463" t="str">
        <f>TillageOperations!$B$19</f>
        <v>Row Planter</v>
      </c>
      <c r="C1941" s="464" t="s">
        <v>157</v>
      </c>
      <c r="D1941" s="166">
        <f>PubMachineryTables!$AO$60</f>
        <v>218.60367298033367</v>
      </c>
      <c r="E1941" s="166">
        <f>E1880</f>
        <v>0</v>
      </c>
      <c r="F1941" s="166">
        <f t="shared" si="159"/>
        <v>0</v>
      </c>
      <c r="G1941" s="163" t="e">
        <f t="shared" si="156"/>
        <v>#DIV/0!</v>
      </c>
    </row>
    <row r="1942" spans="2:7">
      <c r="B1942" s="463" t="str">
        <f>TillageOperations!$B$20</f>
        <v>Row Cultivator</v>
      </c>
      <c r="C1942" s="464" t="s">
        <v>157</v>
      </c>
      <c r="D1942" s="166">
        <f>PubMachineryTables!$AO$61</f>
        <v>74.064902712939798</v>
      </c>
      <c r="E1942" s="166">
        <f>E1882</f>
        <v>0</v>
      </c>
      <c r="F1942" s="166">
        <f t="shared" si="159"/>
        <v>0</v>
      </c>
      <c r="G1942" s="163" t="e">
        <f t="shared" si="156"/>
        <v>#DIV/0!</v>
      </c>
    </row>
    <row r="1943" spans="2:7">
      <c r="B1943" s="465" t="str">
        <f>TillageOperations!$B$21</f>
        <v>Drill</v>
      </c>
      <c r="C1943" s="464" t="s">
        <v>157</v>
      </c>
      <c r="D1943" s="166">
        <f>PubMachineryTables!$AO$62</f>
        <v>51.837941761576523</v>
      </c>
      <c r="E1943" s="166">
        <f>E1884</f>
        <v>0</v>
      </c>
      <c r="F1943" s="166">
        <f t="shared" ref="F1943:F1947" si="160">D1943*E1943</f>
        <v>0</v>
      </c>
      <c r="G1943" s="163" t="e">
        <f t="shared" ref="G1943:G1968" si="161">F1943/C$1809</f>
        <v>#DIV/0!</v>
      </c>
    </row>
    <row r="1944" spans="2:7">
      <c r="B1944" s="463" t="str">
        <f>TillageOperations!$B$27</f>
        <v>Cotton Picker</v>
      </c>
      <c r="C1944" s="464" t="s">
        <v>157</v>
      </c>
      <c r="D1944" s="166">
        <f>PubMachineryTables!$AO$67</f>
        <v>0</v>
      </c>
      <c r="E1944" s="166">
        <f>E1886</f>
        <v>0</v>
      </c>
      <c r="F1944" s="166">
        <f t="shared" si="160"/>
        <v>0</v>
      </c>
      <c r="G1944" s="163" t="e">
        <f t="shared" si="161"/>
        <v>#DIV/0!</v>
      </c>
    </row>
    <row r="1945" spans="2:7">
      <c r="B1945" s="463" t="str">
        <f>TillageOperations!$B$28</f>
        <v>Module Unit</v>
      </c>
      <c r="C1945" s="464" t="s">
        <v>157</v>
      </c>
      <c r="D1945" s="166">
        <f>PubMachineryTables!$AO$68</f>
        <v>0</v>
      </c>
      <c r="E1945" s="166">
        <f>E1888</f>
        <v>0</v>
      </c>
      <c r="F1945" s="166">
        <f t="shared" si="160"/>
        <v>0</v>
      </c>
      <c r="G1945" s="163" t="e">
        <f t="shared" si="161"/>
        <v>#DIV/0!</v>
      </c>
    </row>
    <row r="1946" spans="2:7">
      <c r="B1946" s="463" t="str">
        <f>TillageOperations!$B$29</f>
        <v>Haul Cotton</v>
      </c>
      <c r="C1946" s="464" t="s">
        <v>157</v>
      </c>
      <c r="D1946" s="166">
        <f>PubMachineryTables!$AO$69</f>
        <v>0</v>
      </c>
      <c r="E1946" s="166">
        <f>E1890</f>
        <v>0</v>
      </c>
      <c r="F1946" s="166">
        <f t="shared" si="160"/>
        <v>0</v>
      </c>
      <c r="G1946" s="163" t="e">
        <f t="shared" si="161"/>
        <v>#DIV/0!</v>
      </c>
    </row>
    <row r="1947" spans="2:7">
      <c r="B1947" s="465" t="str">
        <f>TillageOperations!$B$17</f>
        <v>Cotton Shredder/Root Puller</v>
      </c>
      <c r="C1947" s="464" t="s">
        <v>157</v>
      </c>
      <c r="D1947" s="166">
        <f>PubMachineryTables!$AO$59</f>
        <v>0</v>
      </c>
      <c r="E1947" s="166">
        <f>E1892</f>
        <v>0</v>
      </c>
      <c r="F1947" s="166">
        <f t="shared" si="160"/>
        <v>0</v>
      </c>
      <c r="G1947" s="163" t="e">
        <f t="shared" si="161"/>
        <v>#DIV/0!</v>
      </c>
    </row>
    <row r="1948" spans="2:7">
      <c r="B1948" s="102" t="str">
        <f>TillageOperations!$B$30</f>
        <v>Combine</v>
      </c>
      <c r="C1948" s="464" t="s">
        <v>157</v>
      </c>
      <c r="D1948" s="166">
        <f>PubMachineryTables!$AO$70</f>
        <v>154.43457969840463</v>
      </c>
      <c r="E1948" s="166">
        <f>E1894</f>
        <v>0</v>
      </c>
      <c r="F1948" s="166">
        <f>D1948*E1948</f>
        <v>0</v>
      </c>
      <c r="G1948" s="163" t="e">
        <f t="shared" si="161"/>
        <v>#DIV/0!</v>
      </c>
    </row>
    <row r="1949" spans="2:7">
      <c r="B1949" s="102" t="str">
        <f>TillageOperations!$B$31</f>
        <v>Grain Cart</v>
      </c>
      <c r="C1949" s="464" t="s">
        <v>157</v>
      </c>
      <c r="D1949" s="166">
        <f>PubMachineryTables!$AO$71</f>
        <v>25.28843211678571</v>
      </c>
      <c r="E1949" s="166">
        <f>E1896</f>
        <v>0</v>
      </c>
      <c r="F1949" s="166">
        <f>D1949*E1949</f>
        <v>0</v>
      </c>
      <c r="G1949" s="163" t="e">
        <f t="shared" si="161"/>
        <v>#DIV/0!</v>
      </c>
    </row>
    <row r="1950" spans="2:7">
      <c r="B1950" s="102" t="str">
        <f>TillageOperations!$B$32</f>
        <v>Swather</v>
      </c>
      <c r="C1950" s="464" t="s">
        <v>157</v>
      </c>
      <c r="D1950" s="166">
        <f>PubMachineryTables!$AO$72</f>
        <v>0</v>
      </c>
      <c r="E1950" s="166">
        <f>E1898</f>
        <v>0</v>
      </c>
      <c r="F1950" s="166">
        <f t="shared" ref="F1950:F1958" si="162">D1950*E1950</f>
        <v>0</v>
      </c>
      <c r="G1950" s="163" t="e">
        <f t="shared" si="161"/>
        <v>#DIV/0!</v>
      </c>
    </row>
    <row r="1951" spans="2:7">
      <c r="B1951" s="102" t="str">
        <f>TillageOperations!$B$33</f>
        <v>Baler</v>
      </c>
      <c r="C1951" s="464" t="s">
        <v>157</v>
      </c>
      <c r="D1951" s="166">
        <f>PubMachineryTables!$AO$73</f>
        <v>0</v>
      </c>
      <c r="E1951" s="166">
        <f>E1900</f>
        <v>0</v>
      </c>
      <c r="F1951" s="166">
        <f t="shared" si="162"/>
        <v>0</v>
      </c>
      <c r="G1951" s="163" t="e">
        <f t="shared" si="161"/>
        <v>#DIV/0!</v>
      </c>
    </row>
    <row r="1952" spans="2:7">
      <c r="B1952" s="102" t="str">
        <f>TillageOperations!$B$34</f>
        <v>Swather</v>
      </c>
      <c r="C1952" s="464" t="s">
        <v>157</v>
      </c>
      <c r="D1952" s="166">
        <f>PubMachineryTables!$AO$74</f>
        <v>0</v>
      </c>
      <c r="E1952" s="166">
        <f>E1902</f>
        <v>0</v>
      </c>
      <c r="F1952" s="166">
        <f t="shared" si="162"/>
        <v>0</v>
      </c>
      <c r="G1952" s="163" t="e">
        <f t="shared" si="161"/>
        <v>#DIV/0!</v>
      </c>
    </row>
    <row r="1953" spans="2:7">
      <c r="B1953" s="102" t="str">
        <f>TillageOperations!$B$35</f>
        <v>Baler</v>
      </c>
      <c r="C1953" s="464" t="s">
        <v>157</v>
      </c>
      <c r="D1953" s="166">
        <f>PubMachineryTables!$AO$75</f>
        <v>0</v>
      </c>
      <c r="E1953" s="166">
        <f>E1904</f>
        <v>0</v>
      </c>
      <c r="F1953" s="166">
        <f t="shared" si="162"/>
        <v>0</v>
      </c>
      <c r="G1953" s="163" t="e">
        <f t="shared" si="161"/>
        <v>#DIV/0!</v>
      </c>
    </row>
    <row r="1954" spans="2:7">
      <c r="B1954" s="102" t="str">
        <f>TillageOperations!$B$36</f>
        <v>Bale Wagon</v>
      </c>
      <c r="C1954" s="464" t="s">
        <v>157</v>
      </c>
      <c r="D1954" s="166">
        <f>PubMachineryTables!$AO$76</f>
        <v>0</v>
      </c>
      <c r="E1954" s="166">
        <f>E1907</f>
        <v>0</v>
      </c>
      <c r="F1954" s="166">
        <f t="shared" si="162"/>
        <v>0</v>
      </c>
      <c r="G1954" s="163" t="e">
        <f t="shared" si="161"/>
        <v>#DIV/0!</v>
      </c>
    </row>
    <row r="1955" spans="2:7">
      <c r="B1955" s="102" t="str">
        <f>TillageOperations!$B$23</f>
        <v>Fertilizer Spreader</v>
      </c>
      <c r="C1955" s="464" t="s">
        <v>157</v>
      </c>
      <c r="D1955" s="166">
        <f>PubMachineryTables!$AO$64</f>
        <v>93.913865291400512</v>
      </c>
      <c r="E1955" s="166">
        <f>E1909</f>
        <v>0</v>
      </c>
      <c r="F1955" s="166">
        <f t="shared" si="162"/>
        <v>0</v>
      </c>
      <c r="G1955" s="163" t="e">
        <f t="shared" si="161"/>
        <v>#DIV/0!</v>
      </c>
    </row>
    <row r="1956" spans="2:7">
      <c r="B1956" s="102" t="str">
        <f>TillageOperations!$B$24</f>
        <v>Fertilizer Injection System</v>
      </c>
      <c r="C1956" s="464" t="s">
        <v>157</v>
      </c>
      <c r="D1956" s="166">
        <f>PubMachineryTables!$AO$65</f>
        <v>0</v>
      </c>
      <c r="E1956" s="166">
        <f>E1911</f>
        <v>0</v>
      </c>
      <c r="F1956" s="166">
        <f t="shared" si="162"/>
        <v>0</v>
      </c>
      <c r="G1956" s="163" t="e">
        <f t="shared" si="161"/>
        <v>#DIV/0!</v>
      </c>
    </row>
    <row r="1957" spans="2:7">
      <c r="B1957" s="102" t="str">
        <f>TillageOperations!$B$25</f>
        <v>Boom Sprayer</v>
      </c>
      <c r="C1957" s="464" t="s">
        <v>157</v>
      </c>
      <c r="D1957" s="166">
        <f>PubMachineryTables!$AO$66</f>
        <v>9.6826493425933542</v>
      </c>
      <c r="E1957" s="166">
        <f>E1913</f>
        <v>0</v>
      </c>
      <c r="F1957" s="166">
        <f t="shared" si="162"/>
        <v>0</v>
      </c>
      <c r="G1957" s="163" t="e">
        <f t="shared" si="161"/>
        <v>#DIV/0!</v>
      </c>
    </row>
    <row r="1958" spans="2:7">
      <c r="B1958" s="102" t="str">
        <f>TillageOperations!$B$22</f>
        <v>Transplanter</v>
      </c>
      <c r="C1958" s="464" t="s">
        <v>157</v>
      </c>
      <c r="D1958" s="166">
        <f>PubMachineryTables!$AO$63</f>
        <v>0</v>
      </c>
      <c r="E1958" s="166">
        <f>E1915</f>
        <v>0</v>
      </c>
      <c r="F1958" s="166">
        <f t="shared" si="162"/>
        <v>0</v>
      </c>
      <c r="G1958" s="163" t="e">
        <f t="shared" si="161"/>
        <v>#DIV/0!</v>
      </c>
    </row>
    <row r="1959" spans="2:7">
      <c r="B1959" t="str">
        <f>'Inputs&amp;PricesbyCrop'!$B$39</f>
        <v>Crop Insurance</v>
      </c>
      <c r="C1959" s="464" t="s">
        <v>157</v>
      </c>
      <c r="D1959" s="166">
        <f>'Inputs&amp;PricesbyCrop'!$O$39</f>
        <v>0</v>
      </c>
      <c r="E1959" s="169">
        <f t="shared" ref="E1959:E1964" si="163">$C$1809</f>
        <v>0</v>
      </c>
      <c r="F1959" s="166">
        <f>D1959*E1959</f>
        <v>0</v>
      </c>
      <c r="G1959" s="163" t="e">
        <f t="shared" si="161"/>
        <v>#DIV/0!</v>
      </c>
    </row>
    <row r="1960" spans="2:7">
      <c r="B1960" t="str">
        <f>'Inputs&amp;PricesbyCrop'!$B$40</f>
        <v>Property Insurance</v>
      </c>
      <c r="C1960" s="464" t="s">
        <v>157</v>
      </c>
      <c r="D1960" s="166">
        <f>'Inputs&amp;PricesbyCrop'!$O$40</f>
        <v>0</v>
      </c>
      <c r="E1960" s="169">
        <f t="shared" si="163"/>
        <v>0</v>
      </c>
      <c r="F1960" s="166">
        <f>D1960*E1960</f>
        <v>0</v>
      </c>
      <c r="G1960" s="163" t="e">
        <f t="shared" si="161"/>
        <v>#DIV/0!</v>
      </c>
    </row>
    <row r="1961" spans="2:7">
      <c r="B1961" t="str">
        <f>'Inputs&amp;PricesbyCrop'!$B$41</f>
        <v>Property Taxes</v>
      </c>
      <c r="C1961" s="464" t="s">
        <v>157</v>
      </c>
      <c r="D1961" s="166">
        <f>'Inputs&amp;PricesbyCrop'!$O$41</f>
        <v>0</v>
      </c>
      <c r="E1961" s="169">
        <f t="shared" si="163"/>
        <v>0</v>
      </c>
      <c r="F1961" s="166">
        <f t="shared" ref="F1961:F1964" si="164">D1961*E1961</f>
        <v>0</v>
      </c>
      <c r="G1961" s="163" t="e">
        <f t="shared" si="161"/>
        <v>#DIV/0!</v>
      </c>
    </row>
    <row r="1962" spans="2:7">
      <c r="B1962" t="str">
        <f>'Inputs&amp;PricesbyCrop'!$B$42</f>
        <v>Annual Cash Rent Payment</v>
      </c>
      <c r="C1962" s="464" t="s">
        <v>157</v>
      </c>
      <c r="D1962" s="166">
        <f>'Inputs&amp;PricesbyCrop'!$O$42</f>
        <v>170</v>
      </c>
      <c r="E1962" s="169">
        <f t="shared" si="163"/>
        <v>0</v>
      </c>
      <c r="F1962" s="166">
        <f t="shared" si="164"/>
        <v>0</v>
      </c>
      <c r="G1962" s="163" t="e">
        <f t="shared" si="161"/>
        <v>#DIV/0!</v>
      </c>
    </row>
    <row r="1963" spans="2:7">
      <c r="B1963" t="s">
        <v>484</v>
      </c>
      <c r="C1963" s="464" t="s">
        <v>157</v>
      </c>
      <c r="D1963" s="166">
        <f>'Sheet #12'!I103</f>
        <v>0</v>
      </c>
      <c r="E1963" s="169">
        <f t="shared" si="163"/>
        <v>0</v>
      </c>
      <c r="F1963" s="166">
        <f t="shared" ref="F1963" si="165">D1963*E1963</f>
        <v>0</v>
      </c>
      <c r="G1963" s="163" t="e">
        <f t="shared" si="161"/>
        <v>#DIV/0!</v>
      </c>
    </row>
    <row r="1964" spans="2:7">
      <c r="B1964" t="str">
        <f>'Inputs&amp;PricesbyCrop'!$B$49</f>
        <v>Licenses and Fees</v>
      </c>
      <c r="C1964" s="464" t="s">
        <v>157</v>
      </c>
      <c r="D1964" s="166">
        <f>'Inputs&amp;PricesbyCrop'!$O$49</f>
        <v>0</v>
      </c>
      <c r="E1964" s="169">
        <f t="shared" si="163"/>
        <v>0</v>
      </c>
      <c r="F1964" s="170">
        <f t="shared" si="164"/>
        <v>0</v>
      </c>
      <c r="G1964" s="163" t="e">
        <f t="shared" si="161"/>
        <v>#DIV/0!</v>
      </c>
    </row>
    <row r="1965" spans="2:7">
      <c r="B1965" t="s">
        <v>131</v>
      </c>
      <c r="D1965" s="454"/>
      <c r="F1965" s="37">
        <f>SUM(F1928:F1964)</f>
        <v>0</v>
      </c>
      <c r="G1965" s="163" t="e">
        <f t="shared" si="161"/>
        <v>#DIV/0!</v>
      </c>
    </row>
    <row r="1966" spans="2:7">
      <c r="D1966" s="454"/>
      <c r="G1966" s="163" t="e">
        <f t="shared" si="161"/>
        <v>#DIV/0!</v>
      </c>
    </row>
    <row r="1967" spans="2:7">
      <c r="B1967" t="s">
        <v>63</v>
      </c>
      <c r="D1967" s="454"/>
      <c r="F1967" s="37">
        <f>F1965+F1925</f>
        <v>0</v>
      </c>
      <c r="G1967" s="163" t="e">
        <f t="shared" si="161"/>
        <v>#DIV/0!</v>
      </c>
    </row>
    <row r="1968" spans="2:7">
      <c r="B1968" t="s">
        <v>64</v>
      </c>
      <c r="D1968" s="454"/>
      <c r="F1968" s="37">
        <f>F1814-F1967</f>
        <v>0</v>
      </c>
      <c r="G1968" s="163" t="e">
        <f t="shared" si="161"/>
        <v>#DIV/0!</v>
      </c>
    </row>
    <row r="1969" spans="2:8">
      <c r="B1969" s="249" t="s">
        <v>276</v>
      </c>
      <c r="C1969" s="249" t="s">
        <v>4</v>
      </c>
      <c r="D1969" s="250" t="s">
        <v>277</v>
      </c>
      <c r="E1969" s="249" t="s">
        <v>278</v>
      </c>
      <c r="F1969" s="249" t="s">
        <v>279</v>
      </c>
      <c r="G1969" s="249"/>
    </row>
    <row r="1970" spans="2:8">
      <c r="B1970" s="135" t="str">
        <f>B1975</f>
        <v>Durum Wheat</v>
      </c>
      <c r="D1970" s="454"/>
    </row>
    <row r="1971" spans="2:8">
      <c r="B1971" t="s">
        <v>16</v>
      </c>
      <c r="C1971" s="457">
        <f>IF('AcresYieldsPrices&amp;Water'!D14=0,0,'AcresYieldsPrices&amp;Water'!D14)</f>
        <v>0</v>
      </c>
      <c r="D1971" s="454" t="s">
        <v>17</v>
      </c>
    </row>
    <row r="1972" spans="2:8">
      <c r="D1972" s="454"/>
    </row>
    <row r="1973" spans="2:8">
      <c r="B1973" t="s">
        <v>22</v>
      </c>
      <c r="D1973" s="454"/>
    </row>
    <row r="1974" spans="2:8">
      <c r="B1974" s="455" t="s">
        <v>23</v>
      </c>
      <c r="C1974" s="458" t="s">
        <v>1</v>
      </c>
      <c r="D1974" s="459" t="s">
        <v>24</v>
      </c>
      <c r="E1974" s="460" t="s">
        <v>25</v>
      </c>
      <c r="F1974" s="460" t="s">
        <v>0</v>
      </c>
      <c r="G1974" s="277"/>
    </row>
    <row r="1975" spans="2:8">
      <c r="B1975" t="str">
        <f>'AcresYieldsPrices&amp;Water'!J16</f>
        <v>Durum Wheat</v>
      </c>
      <c r="C1975" s="137" t="str">
        <f>'AcresYieldsPrices&amp;Water'!L16</f>
        <v>CWT</v>
      </c>
      <c r="D1975" s="454">
        <f>'AcresYieldsPrices&amp;Water'!M16</f>
        <v>17.653099999999998</v>
      </c>
      <c r="E1975" s="462">
        <f>'AcresYieldsPrices&amp;Water'!N16*$C$1971</f>
        <v>0</v>
      </c>
      <c r="F1975" s="136">
        <f>D1975*E1975</f>
        <v>0</v>
      </c>
      <c r="G1975" s="136"/>
    </row>
    <row r="1976" spans="2:8">
      <c r="B1976" t="s">
        <v>27</v>
      </c>
      <c r="D1976" s="454"/>
      <c r="F1976" s="37">
        <f>SUM(F1975:F1975)</f>
        <v>0</v>
      </c>
      <c r="G1976" s="163" t="e">
        <f>F1976/C$1971</f>
        <v>#DIV/0!</v>
      </c>
    </row>
    <row r="1977" spans="2:8">
      <c r="D1977" s="454"/>
      <c r="G1977" s="163" t="e">
        <f t="shared" ref="G1977:G2040" si="166">F1977/C$1971</f>
        <v>#DIV/0!</v>
      </c>
    </row>
    <row r="1978" spans="2:8">
      <c r="B1978" s="455" t="s">
        <v>62</v>
      </c>
      <c r="C1978" s="458" t="s">
        <v>1</v>
      </c>
      <c r="D1978" s="459" t="s">
        <v>24</v>
      </c>
      <c r="E1978" s="460" t="s">
        <v>25</v>
      </c>
      <c r="F1978" s="460" t="s">
        <v>0</v>
      </c>
      <c r="G1978" s="163" t="e">
        <f t="shared" si="166"/>
        <v>#VALUE!</v>
      </c>
    </row>
    <row r="1979" spans="2:8">
      <c r="B1979" t="str">
        <f>'Inputs&amp;PricesbyCrop'!B$82</f>
        <v xml:space="preserve">   - Seed</v>
      </c>
      <c r="C1979" s="137" t="str">
        <f>'Inputs&amp;PricesbyCrop'!C$91</f>
        <v>pounds</v>
      </c>
      <c r="D1979" s="454">
        <f>'Inputs&amp;PricesbyCrop'!$P$5</f>
        <v>0.39</v>
      </c>
      <c r="E1979" s="462">
        <f>'Inputs&amp;PricesbyCrop'!$P$6*$C$1971</f>
        <v>0</v>
      </c>
      <c r="F1979" s="37">
        <f t="shared" ref="F1979:F2003" si="167">D1979*E1979</f>
        <v>0</v>
      </c>
      <c r="G1979" s="163" t="e">
        <f t="shared" si="166"/>
        <v>#DIV/0!</v>
      </c>
    </row>
    <row r="1980" spans="2:8">
      <c r="B1980" t="str">
        <f>GeneralInputPrices!$B$3</f>
        <v xml:space="preserve">   - Inoculant</v>
      </c>
      <c r="C1980" s="137" t="str">
        <f>GeneralInputPrices!$C$3</f>
        <v>pounds</v>
      </c>
      <c r="D1980" s="166">
        <f>GeneralInputPrices!$D$3</f>
        <v>3</v>
      </c>
      <c r="E1980" s="166">
        <f>'Inputs&amp;PricesbyCrop'!$P$22*$C$1971</f>
        <v>0</v>
      </c>
      <c r="F1980" s="166">
        <f t="shared" si="167"/>
        <v>0</v>
      </c>
      <c r="G1980" s="163" t="e">
        <f t="shared" si="166"/>
        <v>#DIV/0!</v>
      </c>
    </row>
    <row r="1981" spans="2:8">
      <c r="B1981" t="str">
        <f>GeneralInputPrices!B$5</f>
        <v xml:space="preserve">   - Nitrogen</v>
      </c>
      <c r="C1981" s="137" t="str">
        <f>GeneralInputPrices!$C$5</f>
        <v>pounds</v>
      </c>
      <c r="D1981" s="166">
        <f>GeneralInputPrices!$D$5</f>
        <v>0.46</v>
      </c>
      <c r="E1981" s="166">
        <f>'Inputs&amp;PricesbyCrop'!$P$23*$C$1971</f>
        <v>0</v>
      </c>
      <c r="F1981" s="166">
        <f t="shared" si="167"/>
        <v>0</v>
      </c>
      <c r="G1981" s="163" t="e">
        <f t="shared" si="166"/>
        <v>#DIV/0!</v>
      </c>
      <c r="H1981" s="37" t="e">
        <f>G1981+G1982</f>
        <v>#DIV/0!</v>
      </c>
    </row>
    <row r="1982" spans="2:8">
      <c r="B1982" t="str">
        <f>GeneralInputPrices!B$6</f>
        <v xml:space="preserve">   - Phosphorus</v>
      </c>
      <c r="C1982" s="137" t="str">
        <f>GeneralInputPrices!$C$6</f>
        <v>pounds</v>
      </c>
      <c r="D1982" s="166">
        <f>GeneralInputPrices!$D$6</f>
        <v>0.36</v>
      </c>
      <c r="E1982" s="166">
        <f>'Inputs&amp;PricesbyCrop'!$P$24*$C$1971</f>
        <v>0</v>
      </c>
      <c r="F1982" s="166">
        <f t="shared" si="167"/>
        <v>0</v>
      </c>
      <c r="G1982" s="163" t="e">
        <f t="shared" si="166"/>
        <v>#DIV/0!</v>
      </c>
    </row>
    <row r="1983" spans="2:8">
      <c r="B1983" t="str">
        <f>GeneralInputPrices!B$7</f>
        <v xml:space="preserve">   - Anhydrous Ammonia</v>
      </c>
      <c r="C1983" s="137" t="str">
        <f>GeneralInputPrices!$C$7</f>
        <v>pounds</v>
      </c>
      <c r="D1983" s="166">
        <f>GeneralInputPrices!$D$7</f>
        <v>0.21</v>
      </c>
      <c r="E1983" s="166">
        <f>'Inputs&amp;PricesbyCrop'!$P$25*$C$1971</f>
        <v>0</v>
      </c>
      <c r="F1983" s="166">
        <f t="shared" si="167"/>
        <v>0</v>
      </c>
      <c r="G1983" s="163" t="e">
        <f t="shared" si="166"/>
        <v>#DIV/0!</v>
      </c>
    </row>
    <row r="1984" spans="2:8">
      <c r="B1984" t="str">
        <f>GeneralInputPrices!$B$8</f>
        <v xml:space="preserve">   - Trace Elements</v>
      </c>
      <c r="C1984" s="137" t="str">
        <f>GeneralInputPrices!$C$8</f>
        <v>pounds</v>
      </c>
      <c r="D1984" s="166">
        <f>GeneralInputPrices!$D$8</f>
        <v>0.24</v>
      </c>
      <c r="E1984" s="166">
        <f>'Inputs&amp;PricesbyCrop'!$P$26*$C$1971</f>
        <v>0</v>
      </c>
      <c r="F1984" s="166">
        <f t="shared" si="167"/>
        <v>0</v>
      </c>
      <c r="G1984" s="163" t="e">
        <f t="shared" si="166"/>
        <v>#DIV/0!</v>
      </c>
    </row>
    <row r="1985" spans="2:7">
      <c r="B1985" t="str">
        <f>'Inputs&amp;PricesbyCrop'!$B$32</f>
        <v xml:space="preserve">   - Nitrogen</v>
      </c>
      <c r="C1985" s="137" t="str">
        <f>'Inputs&amp;PricesbyCrop'!$C$32</f>
        <v>acre</v>
      </c>
      <c r="D1985" s="166">
        <f>'Inputs&amp;PricesbyCrop'!$P$32</f>
        <v>273</v>
      </c>
      <c r="E1985" s="166">
        <f>$C$1971</f>
        <v>0</v>
      </c>
      <c r="F1985" s="166">
        <f t="shared" si="167"/>
        <v>0</v>
      </c>
      <c r="G1985" s="163" t="e">
        <f t="shared" si="166"/>
        <v>#DIV/0!</v>
      </c>
    </row>
    <row r="1986" spans="2:7">
      <c r="B1986" t="str">
        <f>'Inputs&amp;PricesbyCrop'!$B$33</f>
        <v xml:space="preserve">   - Phosphorus</v>
      </c>
      <c r="C1986" s="137" t="str">
        <f>'Inputs&amp;PricesbyCrop'!$C$33</f>
        <v>acre</v>
      </c>
      <c r="D1986" s="166">
        <f>'Inputs&amp;PricesbyCrop'!$P$33</f>
        <v>67.5</v>
      </c>
      <c r="E1986" s="166">
        <f>$C$1971</f>
        <v>0</v>
      </c>
      <c r="F1986" s="166">
        <f t="shared" si="167"/>
        <v>0</v>
      </c>
      <c r="G1986" s="163" t="e">
        <f t="shared" si="166"/>
        <v>#DIV/0!</v>
      </c>
    </row>
    <row r="1987" spans="2:7">
      <c r="B1987" t="str">
        <f>'Inputs&amp;PricesbyCrop'!$B$34</f>
        <v xml:space="preserve">   - Fertilizer - Anhydrous Applicator</v>
      </c>
      <c r="C1987" s="137" t="str">
        <f>'Inputs&amp;PricesbyCrop'!$C$34</f>
        <v>acre</v>
      </c>
      <c r="D1987" s="166">
        <f>'Inputs&amp;PricesbyCrop'!$P$34</f>
        <v>0</v>
      </c>
      <c r="E1987" s="166">
        <f>$C$1971</f>
        <v>0</v>
      </c>
      <c r="F1987" s="166">
        <f t="shared" si="167"/>
        <v>0</v>
      </c>
      <c r="G1987" s="163" t="e">
        <f t="shared" si="166"/>
        <v>#DIV/0!</v>
      </c>
    </row>
    <row r="1988" spans="2:7">
      <c r="B1988" t="str">
        <f>GeneralInputPrices!$B$10</f>
        <v xml:space="preserve">   - Prowl</v>
      </c>
      <c r="C1988" s="137" t="str">
        <f>GeneralInputPrices!$C$10</f>
        <v>pints</v>
      </c>
      <c r="D1988" s="166">
        <f>GeneralInputPrices!$D$10</f>
        <v>6.0625</v>
      </c>
      <c r="E1988" s="166">
        <f>'Inputs&amp;PricesbyCrop'!$P$27*$C$1971</f>
        <v>0</v>
      </c>
      <c r="F1988" s="166">
        <f t="shared" si="167"/>
        <v>0</v>
      </c>
      <c r="G1988" s="163" t="e">
        <f t="shared" si="166"/>
        <v>#DIV/0!</v>
      </c>
    </row>
    <row r="1989" spans="2:7">
      <c r="B1989" t="str">
        <f>GeneralInputPrices!$B$11</f>
        <v xml:space="preserve">   - Aim</v>
      </c>
      <c r="C1989" s="137" t="str">
        <f>GeneralInputPrices!$C$11</f>
        <v>ounces</v>
      </c>
      <c r="D1989" s="166">
        <f>GeneralInputPrices!$D$11</f>
        <v>5.9375</v>
      </c>
      <c r="E1989" s="166">
        <f>'Inputs&amp;PricesbyCrop'!$P$28*$C$1971</f>
        <v>0</v>
      </c>
      <c r="F1989" s="166">
        <f t="shared" si="167"/>
        <v>0</v>
      </c>
      <c r="G1989" s="163" t="e">
        <f t="shared" si="166"/>
        <v>#DIV/0!</v>
      </c>
    </row>
    <row r="1990" spans="2:7">
      <c r="B1990" t="str">
        <f>GeneralInputPrices!$B$12</f>
        <v xml:space="preserve">   - Fusilade</v>
      </c>
      <c r="C1990" s="137" t="str">
        <f>GeneralInputPrices!$C$12</f>
        <v>ounces</v>
      </c>
      <c r="D1990" s="166">
        <f>GeneralInputPrices!$D$12</f>
        <v>1.25</v>
      </c>
      <c r="E1990" s="166">
        <f>'Inputs&amp;PricesbyCrop'!$P$29*$C$1971</f>
        <v>0</v>
      </c>
      <c r="F1990" s="166">
        <f t="shared" si="167"/>
        <v>0</v>
      </c>
      <c r="G1990" s="163" t="e">
        <f t="shared" si="166"/>
        <v>#DIV/0!</v>
      </c>
    </row>
    <row r="1991" spans="2:7">
      <c r="B1991" t="str">
        <f>'Inputs&amp;PricesbyCrop'!$B$35</f>
        <v xml:space="preserve">   - Herbicides</v>
      </c>
      <c r="C1991" s="137" t="str">
        <f>'Inputs&amp;PricesbyCrop'!$C$35</f>
        <v>acre</v>
      </c>
      <c r="D1991" s="166">
        <f>'Inputs&amp;PricesbyCrop'!$P$35</f>
        <v>17</v>
      </c>
      <c r="E1991" s="166">
        <f>$C$1971</f>
        <v>0</v>
      </c>
      <c r="F1991" s="166">
        <f t="shared" si="167"/>
        <v>0</v>
      </c>
      <c r="G1991" s="163" t="e">
        <f t="shared" si="166"/>
        <v>#DIV/0!</v>
      </c>
    </row>
    <row r="1992" spans="2:7">
      <c r="B1992" t="str">
        <f>'Inputs&amp;PricesbyCrop'!$B$36</f>
        <v xml:space="preserve">   - Herbicide - #2</v>
      </c>
      <c r="C1992" s="137" t="str">
        <f>'Inputs&amp;PricesbyCrop'!$C$36</f>
        <v>acre</v>
      </c>
      <c r="D1992" s="166">
        <f>'Inputs&amp;PricesbyCrop'!$P$36</f>
        <v>0</v>
      </c>
      <c r="E1992" s="166">
        <f>$C$1971</f>
        <v>0</v>
      </c>
      <c r="F1992" s="166">
        <f t="shared" si="167"/>
        <v>0</v>
      </c>
      <c r="G1992" s="163" t="e">
        <f t="shared" si="166"/>
        <v>#DIV/0!</v>
      </c>
    </row>
    <row r="1993" spans="2:7">
      <c r="B1993" t="str">
        <f>'Inputs&amp;PricesbyCrop'!$B$37</f>
        <v xml:space="preserve">   - Insecticides</v>
      </c>
      <c r="C1993" s="137" t="str">
        <f>'Inputs&amp;PricesbyCrop'!$C$37</f>
        <v>acre</v>
      </c>
      <c r="D1993" s="166">
        <f>'Inputs&amp;PricesbyCrop'!$P$37</f>
        <v>0</v>
      </c>
      <c r="E1993" s="166">
        <f>$C$1971</f>
        <v>0</v>
      </c>
      <c r="F1993" s="166">
        <f t="shared" si="167"/>
        <v>0</v>
      </c>
      <c r="G1993" s="163" t="e">
        <f t="shared" si="166"/>
        <v>#DIV/0!</v>
      </c>
    </row>
    <row r="1994" spans="2:7">
      <c r="B1994" t="str">
        <f>'Inputs&amp;PricesbyCrop'!$B$38</f>
        <v xml:space="preserve">   - Insecticide - #2</v>
      </c>
      <c r="C1994" s="137" t="str">
        <f>'Inputs&amp;PricesbyCrop'!$C$38</f>
        <v>acre</v>
      </c>
      <c r="D1994" s="166">
        <f>'Inputs&amp;PricesbyCrop'!$P$38</f>
        <v>0</v>
      </c>
      <c r="E1994" s="166">
        <f>$C$1971</f>
        <v>0</v>
      </c>
      <c r="F1994" s="166">
        <f t="shared" si="167"/>
        <v>0</v>
      </c>
      <c r="G1994" s="163" t="e">
        <f t="shared" si="166"/>
        <v>#DIV/0!</v>
      </c>
    </row>
    <row r="1995" spans="2:7">
      <c r="B1995" t="str">
        <f>'Inputs&amp;PricesbyCrop'!$B$7</f>
        <v>Flood - Irrigation Water</v>
      </c>
      <c r="C1995" s="137" t="str">
        <f>'Inputs&amp;PricesbyCrop'!$C$7</f>
        <v>ac ft</v>
      </c>
      <c r="D1995" s="166">
        <f>GeneralInputPrices!$D$13</f>
        <v>55</v>
      </c>
      <c r="E1995" s="102">
        <f>('AcresYieldsPrices&amp;Water'!$E$14*'Inputs&amp;PricesbyCrop'!$P$7)*$C1971</f>
        <v>0</v>
      </c>
      <c r="F1995" s="166">
        <f t="shared" si="167"/>
        <v>0</v>
      </c>
      <c r="G1995" s="163" t="e">
        <f t="shared" si="166"/>
        <v>#DIV/0!</v>
      </c>
    </row>
    <row r="1996" spans="2:7">
      <c r="B1996" t="str">
        <f>'Inputs&amp;PricesbyCrop'!$B$8</f>
        <v>Flood - Irrigation Labor</v>
      </c>
      <c r="C1996" s="137" t="str">
        <f>'Inputs&amp;PricesbyCrop'!$C$8</f>
        <v>hour</v>
      </c>
      <c r="D1996" s="166">
        <f>GeneralInputPrices!$D$28</f>
        <v>14.55</v>
      </c>
      <c r="E1996" s="166">
        <f>('AcresYieldsPrices&amp;Water'!$E$14*'Inputs&amp;PricesbyCrop'!$P$8)*$C1971</f>
        <v>0</v>
      </c>
      <c r="F1996" s="166">
        <f t="shared" si="167"/>
        <v>0</v>
      </c>
      <c r="G1996" s="163" t="e">
        <f t="shared" si="166"/>
        <v>#DIV/0!</v>
      </c>
    </row>
    <row r="1997" spans="2:7">
      <c r="B1997" t="str">
        <f>GeneralInputPrices!$B$18</f>
        <v xml:space="preserve">   - Annual Repairs &amp; Maintenance</v>
      </c>
      <c r="C1997" s="453" t="str">
        <f>GeneralInputPrices!$C$18</f>
        <v>acre</v>
      </c>
      <c r="D1997" s="166">
        <f>GeneralInputPrices!$D$18</f>
        <v>3</v>
      </c>
      <c r="E1997" s="166">
        <f>'AcresYieldsPrices&amp;Water'!$E$14*$C1971</f>
        <v>0</v>
      </c>
      <c r="F1997" s="166">
        <f t="shared" si="167"/>
        <v>0</v>
      </c>
      <c r="G1997" s="163" t="e">
        <f t="shared" si="166"/>
        <v>#DIV/0!</v>
      </c>
    </row>
    <row r="1998" spans="2:7">
      <c r="B1998" t="str">
        <f>'Inputs&amp;PricesbyCrop'!$B$9</f>
        <v>Drip-tape - Irrigation Water</v>
      </c>
      <c r="C1998" s="137" t="str">
        <f>'Inputs&amp;PricesbyCrop'!$C$9</f>
        <v>ac ft</v>
      </c>
      <c r="D1998" s="166">
        <f>GeneralInputPrices!$D$13</f>
        <v>55</v>
      </c>
      <c r="E1998" s="166">
        <f>('AcresYieldsPrices&amp;Water'!$F$14*'Inputs&amp;PricesbyCrop'!$P$9)*$C1971</f>
        <v>0</v>
      </c>
      <c r="F1998" s="166">
        <f t="shared" si="167"/>
        <v>0</v>
      </c>
      <c r="G1998" s="163" t="e">
        <f t="shared" si="166"/>
        <v>#DIV/0!</v>
      </c>
    </row>
    <row r="1999" spans="2:7">
      <c r="B1999" t="str">
        <f>'Inputs&amp;PricesbyCrop'!$B$10</f>
        <v>Drip-tape - Irrigation Labor</v>
      </c>
      <c r="C1999" s="137" t="str">
        <f>'Inputs&amp;PricesbyCrop'!$C$10</f>
        <v>hour</v>
      </c>
      <c r="D1999" s="166">
        <f>GeneralInputPrices!$D$28</f>
        <v>14.55</v>
      </c>
      <c r="E1999" s="166">
        <f>('AcresYieldsPrices&amp;Water'!$F$14*'Inputs&amp;PricesbyCrop'!$P$10)*$C1971</f>
        <v>0</v>
      </c>
      <c r="F1999" s="166">
        <f t="shared" si="167"/>
        <v>0</v>
      </c>
      <c r="G1999" s="163" t="e">
        <f t="shared" si="166"/>
        <v>#DIV/0!</v>
      </c>
    </row>
    <row r="2000" spans="2:7">
      <c r="B2000" t="str">
        <f>GeneralInputPrices!$B$22</f>
        <v xml:space="preserve">   - Annual Repairs &amp; Maintenance</v>
      </c>
      <c r="C2000" s="453" t="str">
        <f>GeneralInputPrices!$C$22</f>
        <v>acre</v>
      </c>
      <c r="D2000" s="166">
        <f>GeneralInputPrices!$D$22</f>
        <v>7.5</v>
      </c>
      <c r="E2000" s="166">
        <f>'AcresYieldsPrices&amp;Water'!$F$14*C1971</f>
        <v>0</v>
      </c>
      <c r="F2000" s="166">
        <f t="shared" si="167"/>
        <v>0</v>
      </c>
      <c r="G2000" s="163" t="e">
        <f t="shared" si="166"/>
        <v>#DIV/0!</v>
      </c>
    </row>
    <row r="2001" spans="2:7">
      <c r="B2001" t="str">
        <f>'Inputs&amp;PricesbyCrop'!$B$11</f>
        <v>Sprinkler - Irrigation Water</v>
      </c>
      <c r="C2001" s="137" t="str">
        <f>'Inputs&amp;PricesbyCrop'!$C$11</f>
        <v>ac ft</v>
      </c>
      <c r="D2001" s="166">
        <f>GeneralInputPrices!$D$13</f>
        <v>55</v>
      </c>
      <c r="E2001" s="166">
        <f>('AcresYieldsPrices&amp;Water'!$G$14*'Inputs&amp;PricesbyCrop'!$P$11)*$C1971</f>
        <v>0</v>
      </c>
      <c r="F2001" s="166">
        <f t="shared" si="167"/>
        <v>0</v>
      </c>
      <c r="G2001" s="163" t="e">
        <f t="shared" si="166"/>
        <v>#DIV/0!</v>
      </c>
    </row>
    <row r="2002" spans="2:7">
      <c r="B2002" t="str">
        <f>'Inputs&amp;PricesbyCrop'!$B$12</f>
        <v>Sprinkler - Irrigation Labor</v>
      </c>
      <c r="C2002" s="137" t="str">
        <f>'Inputs&amp;PricesbyCrop'!$C$12</f>
        <v>hour</v>
      </c>
      <c r="D2002" s="166">
        <f>GeneralInputPrices!$D$28</f>
        <v>14.55</v>
      </c>
      <c r="E2002" s="166">
        <f>('AcresYieldsPrices&amp;Water'!$G$14*'Inputs&amp;PricesbyCrop'!$P$12)*$C1971</f>
        <v>0</v>
      </c>
      <c r="F2002" s="166">
        <f t="shared" si="167"/>
        <v>0</v>
      </c>
      <c r="G2002" s="163" t="e">
        <f t="shared" si="166"/>
        <v>#DIV/0!</v>
      </c>
    </row>
    <row r="2003" spans="2:7">
      <c r="B2003" t="str">
        <f>GeneralInputPrices!$B$26</f>
        <v xml:space="preserve">   - Annual Repairs &amp; Maintenance</v>
      </c>
      <c r="C2003" s="453" t="str">
        <f>GeneralInputPrices!$C$26</f>
        <v>acre</v>
      </c>
      <c r="D2003" s="166">
        <f>GeneralInputPrices!$D$26</f>
        <v>15</v>
      </c>
      <c r="E2003" s="166">
        <f>'AcresYieldsPrices&amp;Water'!$G$14*$C1971</f>
        <v>0</v>
      </c>
      <c r="F2003" s="166">
        <f t="shared" si="167"/>
        <v>0</v>
      </c>
      <c r="G2003" s="163" t="e">
        <f t="shared" si="166"/>
        <v>#DIV/0!</v>
      </c>
    </row>
    <row r="2004" spans="2:7">
      <c r="B2004" t="str">
        <f>CustomOperations!$B$37</f>
        <v>Harvest, Custom</v>
      </c>
      <c r="C2004" s="137" t="str">
        <f>CustomOperations!$C$37</f>
        <v>acre</v>
      </c>
      <c r="D2004" s="166">
        <f>CustomOperations!$P$37</f>
        <v>25</v>
      </c>
      <c r="E2004" s="166">
        <f>CustomOperations!$P$38*$C$1971</f>
        <v>0</v>
      </c>
      <c r="F2004" s="166">
        <f t="shared" ref="F2004:F2018" si="168">D2004*E2004</f>
        <v>0</v>
      </c>
      <c r="G2004" s="163" t="e">
        <f t="shared" si="166"/>
        <v>#DIV/0!</v>
      </c>
    </row>
    <row r="2005" spans="2:7">
      <c r="B2005" t="str">
        <f>CustomOperations!$B$39</f>
        <v>Hauling, Custom</v>
      </c>
      <c r="C2005" s="137" t="str">
        <f>CustomOperations!$C$39</f>
        <v>mile</v>
      </c>
      <c r="D2005" s="166">
        <f>CustomOperations!$P$39</f>
        <v>0</v>
      </c>
      <c r="E2005" s="166">
        <f>CustomOperations!$P$40*$C$1971</f>
        <v>0</v>
      </c>
      <c r="F2005" s="166">
        <f t="shared" si="168"/>
        <v>0</v>
      </c>
      <c r="G2005" s="163" t="e">
        <f t="shared" si="166"/>
        <v>#DIV/0!</v>
      </c>
    </row>
    <row r="2006" spans="2:7">
      <c r="B2006" t="str">
        <f>CustomOperations!$B$41</f>
        <v>Gin Cotton/Drying/Swathing, Custom</v>
      </c>
      <c r="C2006" s="137" t="str">
        <f>CustomOperations!$C$41</f>
        <v>bale</v>
      </c>
      <c r="D2006" s="166">
        <f>CustomOperations!$P$41</f>
        <v>0</v>
      </c>
      <c r="E2006" s="166">
        <f>CustomOperations!$P$42*$C$1971</f>
        <v>0</v>
      </c>
      <c r="F2006" s="166">
        <f t="shared" si="168"/>
        <v>0</v>
      </c>
      <c r="G2006" s="163" t="e">
        <f t="shared" si="166"/>
        <v>#DIV/0!</v>
      </c>
    </row>
    <row r="2007" spans="2:7">
      <c r="B2007" t="str">
        <f>CustomOperations!$B$24</f>
        <v>Drill, Custom</v>
      </c>
      <c r="C2007" s="137" t="str">
        <f>CustomOperations!$C$24</f>
        <v>acre</v>
      </c>
      <c r="D2007" s="166">
        <f>CustomOperations!$P$24</f>
        <v>0</v>
      </c>
      <c r="E2007" s="166">
        <f>CustomOperations!$P$25*$C$1971</f>
        <v>0</v>
      </c>
      <c r="F2007" s="166">
        <f t="shared" si="168"/>
        <v>0</v>
      </c>
      <c r="G2007" s="163" t="e">
        <f t="shared" si="166"/>
        <v>#DIV/0!</v>
      </c>
    </row>
    <row r="2008" spans="2:7">
      <c r="B2008" t="str">
        <f>CustomOperations!$B$26</f>
        <v>Row Planter, Custom</v>
      </c>
      <c r="C2008" s="137" t="str">
        <f>CustomOperations!$C$26</f>
        <v>acre</v>
      </c>
      <c r="D2008" s="166">
        <f>CustomOperations!$P$26</f>
        <v>0</v>
      </c>
      <c r="E2008" s="166">
        <f>CustomOperations!$P$27*$C$1971</f>
        <v>0</v>
      </c>
      <c r="F2008" s="166">
        <f t="shared" si="168"/>
        <v>0</v>
      </c>
      <c r="G2008" s="163" t="e">
        <f t="shared" si="166"/>
        <v>#DIV/0!</v>
      </c>
    </row>
    <row r="2009" spans="2:7">
      <c r="B2009" t="str">
        <f>CustomOperations!$B$28</f>
        <v>Row Cultivator, Custom</v>
      </c>
      <c r="C2009" s="137" t="str">
        <f>CustomOperations!$C$28</f>
        <v>acre</v>
      </c>
      <c r="D2009" s="166">
        <f>CustomOperations!$P$28</f>
        <v>0</v>
      </c>
      <c r="E2009" s="166">
        <f>CustomOperations!$P$29*$C$1971</f>
        <v>0</v>
      </c>
      <c r="F2009" s="166">
        <f t="shared" si="168"/>
        <v>0</v>
      </c>
      <c r="G2009" s="163" t="e">
        <f t="shared" si="166"/>
        <v>#DIV/0!</v>
      </c>
    </row>
    <row r="2010" spans="2:7">
      <c r="B2010" t="str">
        <f>CustomOperations!$B$5</f>
        <v>V Ripper, Custom</v>
      </c>
      <c r="C2010" s="137" t="str">
        <f>CustomOperations!$C$5</f>
        <v>acre</v>
      </c>
      <c r="D2010" s="166">
        <f>CustomOperations!$P$5</f>
        <v>44.25</v>
      </c>
      <c r="E2010" s="166">
        <f>CustomOperations!$P$6*$C$1971</f>
        <v>0</v>
      </c>
      <c r="F2010" s="166">
        <f t="shared" si="168"/>
        <v>0</v>
      </c>
      <c r="G2010" s="163" t="e">
        <f t="shared" si="166"/>
        <v>#DIV/0!</v>
      </c>
    </row>
    <row r="2011" spans="2:7">
      <c r="B2011" t="str">
        <f>CustomOperations!$B$7</f>
        <v>Disk, Custom</v>
      </c>
      <c r="C2011" s="137" t="str">
        <f>CustomOperations!$C$7</f>
        <v>acre</v>
      </c>
      <c r="D2011" s="166">
        <f>CustomOperations!$P$7</f>
        <v>0</v>
      </c>
      <c r="E2011" s="166">
        <f>CustomOperations!$P$8*$C$1971</f>
        <v>0</v>
      </c>
      <c r="F2011" s="166">
        <f t="shared" si="168"/>
        <v>0</v>
      </c>
      <c r="G2011" s="163" t="e">
        <f t="shared" si="166"/>
        <v>#DIV/0!</v>
      </c>
    </row>
    <row r="2012" spans="2:7">
      <c r="B2012" t="str">
        <f>CustomOperations!$B$9</f>
        <v>Drag, Custom</v>
      </c>
      <c r="C2012" s="137" t="str">
        <f>CustomOperations!$C$9</f>
        <v>acre</v>
      </c>
      <c r="D2012" s="166">
        <f>CustomOperations!$P$9</f>
        <v>0</v>
      </c>
      <c r="E2012" s="166">
        <f>CustomOperations!$P$10*$C$1971</f>
        <v>0</v>
      </c>
      <c r="F2012" s="166">
        <f t="shared" si="168"/>
        <v>0</v>
      </c>
      <c r="G2012" s="163" t="e">
        <f t="shared" si="166"/>
        <v>#DIV/0!</v>
      </c>
    </row>
    <row r="2013" spans="2:7">
      <c r="B2013" t="str">
        <f>CustomOperations!$B$11</f>
        <v>Chisel, Custom</v>
      </c>
      <c r="C2013" s="137" t="str">
        <f>CustomOperations!$C$11</f>
        <v>acre</v>
      </c>
      <c r="D2013" s="166">
        <f>CustomOperations!$P$11</f>
        <v>0</v>
      </c>
      <c r="E2013" s="166">
        <f>CustomOperations!$P$12*$C$1971</f>
        <v>0</v>
      </c>
      <c r="F2013" s="166">
        <f t="shared" si="168"/>
        <v>0</v>
      </c>
      <c r="G2013" s="163" t="e">
        <f t="shared" si="166"/>
        <v>#DIV/0!</v>
      </c>
    </row>
    <row r="2014" spans="2:7">
      <c r="B2014" t="str">
        <f>CustomOperations!$B$13</f>
        <v>Moldboard Plow, Custom</v>
      </c>
      <c r="C2014" s="137" t="str">
        <f>CustomOperations!$C$13</f>
        <v>acre</v>
      </c>
      <c r="D2014" s="166">
        <f>CustomOperations!$P$13</f>
        <v>0</v>
      </c>
      <c r="E2014" s="166">
        <f>CustomOperations!$P$14*$C$1971</f>
        <v>0</v>
      </c>
      <c r="F2014" s="166">
        <f t="shared" si="168"/>
        <v>0</v>
      </c>
      <c r="G2014" s="163" t="e">
        <f t="shared" si="166"/>
        <v>#DIV/0!</v>
      </c>
    </row>
    <row r="2015" spans="2:7">
      <c r="B2015" t="str">
        <f>CustomOperations!$B$15</f>
        <v>Landplane, Custom</v>
      </c>
      <c r="C2015" s="137" t="str">
        <f>CustomOperations!$C$15</f>
        <v>acre</v>
      </c>
      <c r="D2015" s="166">
        <f>CustomOperations!$P$15</f>
        <v>17.940000000000001</v>
      </c>
      <c r="E2015" s="166">
        <f>CustomOperations!$P$16*$C$1971</f>
        <v>0</v>
      </c>
      <c r="F2015" s="166">
        <f t="shared" si="168"/>
        <v>0</v>
      </c>
      <c r="G2015" s="163" t="e">
        <f t="shared" si="166"/>
        <v>#DIV/0!</v>
      </c>
    </row>
    <row r="2016" spans="2:7">
      <c r="B2016" t="str">
        <f>CustomOperations!$B$17</f>
        <v>Float, Custom</v>
      </c>
      <c r="C2016" s="137" t="str">
        <f>CustomOperations!$C$17</f>
        <v>acre</v>
      </c>
      <c r="D2016" s="166">
        <f>CustomOperations!$P$17</f>
        <v>17.940000000000001</v>
      </c>
      <c r="E2016" s="166">
        <f>CustomOperations!$P$18*$C$1971</f>
        <v>0</v>
      </c>
      <c r="F2016" s="166">
        <f t="shared" si="168"/>
        <v>0</v>
      </c>
      <c r="G2016" s="163" t="e">
        <f t="shared" si="166"/>
        <v>#DIV/0!</v>
      </c>
    </row>
    <row r="2017" spans="2:7">
      <c r="B2017" t="str">
        <f>CustomOperations!$B$19</f>
        <v>Lister, Custom</v>
      </c>
      <c r="C2017" s="137" t="str">
        <f>CustomOperations!$C$19</f>
        <v>acre</v>
      </c>
      <c r="D2017" s="166">
        <f>CustomOperations!$P$19</f>
        <v>20.38</v>
      </c>
      <c r="E2017" s="166">
        <f>CustomOperations!$P$20*$C$1971</f>
        <v>0</v>
      </c>
      <c r="F2017" s="166">
        <f t="shared" si="168"/>
        <v>0</v>
      </c>
      <c r="G2017" s="163" t="e">
        <f t="shared" si="166"/>
        <v>#DIV/0!</v>
      </c>
    </row>
    <row r="2018" spans="2:7">
      <c r="B2018" t="str">
        <f>CustomOperations!$B$21</f>
        <v>Bed Shape, Custom</v>
      </c>
      <c r="C2018" s="137" t="str">
        <f>CustomOperations!$C$21</f>
        <v>acre</v>
      </c>
      <c r="D2018" s="166">
        <f>CustomOperations!$P$21</f>
        <v>13.69</v>
      </c>
      <c r="E2018" s="166">
        <f>CustomOperations!$P$22*$C$1971</f>
        <v>0</v>
      </c>
      <c r="F2018" s="166">
        <f t="shared" si="168"/>
        <v>0</v>
      </c>
      <c r="G2018" s="163" t="e">
        <f t="shared" si="166"/>
        <v>#DIV/0!</v>
      </c>
    </row>
    <row r="2019" spans="2:7">
      <c r="B2019" t="str">
        <f>CustomOperations!$B$32</f>
        <v>Fertilizer Spreader, Custom</v>
      </c>
      <c r="C2019" s="137" t="str">
        <f>CustomOperations!$C$32</f>
        <v>acre</v>
      </c>
      <c r="D2019" s="166">
        <f>CustomOperations!$P$32</f>
        <v>10.08</v>
      </c>
      <c r="E2019" s="166">
        <f>CustomOperations!$P$33*$C$1971</f>
        <v>0</v>
      </c>
      <c r="F2019" s="166">
        <f>D2019*E2019</f>
        <v>0</v>
      </c>
      <c r="G2019" s="163" t="e">
        <f t="shared" si="166"/>
        <v>#DIV/0!</v>
      </c>
    </row>
    <row r="2020" spans="2:7">
      <c r="B2020" t="str">
        <f>CustomOperations!$B$34</f>
        <v>Laser Landplaning, Custom</v>
      </c>
      <c r="C2020" s="137" t="str">
        <f>CustomOperations!$C$34</f>
        <v>acre</v>
      </c>
      <c r="D2020" s="166">
        <f>CustomOperations!$P$34</f>
        <v>0</v>
      </c>
      <c r="E2020" s="166">
        <f>CustomOperations!$P$35*$C$1971</f>
        <v>0</v>
      </c>
      <c r="F2020" s="166">
        <f>D2020*E2020</f>
        <v>0</v>
      </c>
      <c r="G2020" s="163" t="e">
        <f t="shared" si="166"/>
        <v>#DIV/0!</v>
      </c>
    </row>
    <row r="2021" spans="2:7">
      <c r="B2021" t="str">
        <f>CustomOperations!$B$30</f>
        <v>Boom Sprayer, Custom</v>
      </c>
      <c r="C2021" s="137" t="str">
        <f>CustomOperations!$C$30</f>
        <v>acre</v>
      </c>
      <c r="D2021" s="166">
        <f>CustomOperations!$P$30</f>
        <v>10.050000000000001</v>
      </c>
      <c r="E2021" s="166">
        <f>CustomOperations!$P$31*$C$1971</f>
        <v>0</v>
      </c>
      <c r="F2021" s="166">
        <f t="shared" ref="F2021:F2043" si="169">D2021*E2021</f>
        <v>0</v>
      </c>
      <c r="G2021" s="163" t="e">
        <f t="shared" si="166"/>
        <v>#DIV/0!</v>
      </c>
    </row>
    <row r="2022" spans="2:7">
      <c r="B2022" s="463" t="str">
        <f>TillageOperations!$B$7&amp;" (Repairs, maint., fuel &amp; lube)"</f>
        <v>V-Ripper (Repairs, maint., fuel &amp; lube)</v>
      </c>
      <c r="C2022" s="464" t="s">
        <v>157</v>
      </c>
      <c r="D2022" s="166">
        <f>PubMachineryTables!$AM$49+PubMachineryTables!$AN$49</f>
        <v>30.16333889180672</v>
      </c>
      <c r="E2022" s="166">
        <f>TillageOperations!$O$7*$C$1971</f>
        <v>0</v>
      </c>
      <c r="F2022" s="166">
        <f t="shared" si="169"/>
        <v>0</v>
      </c>
      <c r="G2022" s="163" t="e">
        <f t="shared" si="166"/>
        <v>#DIV/0!</v>
      </c>
    </row>
    <row r="2023" spans="2:7">
      <c r="B2023" s="463" t="str">
        <f>TillageOperations!$B$7&amp;" (Labor)"</f>
        <v>V-Ripper (Labor)</v>
      </c>
      <c r="C2023" s="464" t="s">
        <v>157</v>
      </c>
      <c r="D2023" s="166">
        <f>PubMachineryTables!$AL$49</f>
        <v>13.529312500000001</v>
      </c>
      <c r="E2023" s="166">
        <f>TillageOperations!$O$7*$C$1971</f>
        <v>0</v>
      </c>
      <c r="F2023" s="166">
        <f t="shared" si="169"/>
        <v>0</v>
      </c>
      <c r="G2023" s="163" t="e">
        <f t="shared" si="166"/>
        <v>#DIV/0!</v>
      </c>
    </row>
    <row r="2024" spans="2:7">
      <c r="B2024" s="463" t="str">
        <f>TillageOperations!$B$8&amp;" (Repairs, maint., fuel &amp; lube)"</f>
        <v>Offset Disk (Repairs, maint., fuel &amp; lube)</v>
      </c>
      <c r="C2024" s="464" t="s">
        <v>157</v>
      </c>
      <c r="D2024" s="166">
        <f>PubMachineryTables!$AN$50+PubMachineryTables!$AM$50</f>
        <v>10.332318567950058</v>
      </c>
      <c r="E2024" s="166">
        <f>TillageOperations!$O$8*$C$1971</f>
        <v>0</v>
      </c>
      <c r="F2024" s="166">
        <f t="shared" si="169"/>
        <v>0</v>
      </c>
      <c r="G2024" s="163" t="e">
        <f t="shared" si="166"/>
        <v>#DIV/0!</v>
      </c>
    </row>
    <row r="2025" spans="2:7">
      <c r="B2025" s="463" t="str">
        <f>TillageOperations!$B$8&amp;" (Labor)"</f>
        <v>Offset Disk (Labor)</v>
      </c>
      <c r="C2025" s="464" t="s">
        <v>157</v>
      </c>
      <c r="D2025" s="166">
        <f>PubMachineryTables!$AL$50</f>
        <v>4.7161002178649252</v>
      </c>
      <c r="E2025" s="166">
        <f>TillageOperations!$O$8*$C$1971</f>
        <v>0</v>
      </c>
      <c r="F2025" s="166">
        <f t="shared" si="169"/>
        <v>0</v>
      </c>
      <c r="G2025" s="163" t="e">
        <f t="shared" si="166"/>
        <v>#DIV/0!</v>
      </c>
    </row>
    <row r="2026" spans="2:7">
      <c r="B2026" s="463" t="str">
        <f>TillageOperations!$B$9&amp;" (Repairs, maint., fuel &amp; lube)"</f>
        <v>Drag (Repairs, maint., fuel &amp; lube)</v>
      </c>
      <c r="C2026" s="464" t="s">
        <v>157</v>
      </c>
      <c r="D2026" s="166">
        <f>PubMachineryTables!$AN$51+PubMachineryTables!$AM$51</f>
        <v>2.4803921568627447</v>
      </c>
      <c r="E2026" s="166">
        <f>TillageOperations!$O$9*$C$1971</f>
        <v>0</v>
      </c>
      <c r="F2026" s="166">
        <f t="shared" si="169"/>
        <v>0</v>
      </c>
      <c r="G2026" s="163" t="e">
        <f t="shared" si="166"/>
        <v>#DIV/0!</v>
      </c>
    </row>
    <row r="2027" spans="2:7">
      <c r="B2027" s="463" t="str">
        <f>TillageOperations!$B$9&amp;" (Labor)"</f>
        <v>Drag (Labor)</v>
      </c>
      <c r="C2027" s="464" t="s">
        <v>157</v>
      </c>
      <c r="D2027" s="166">
        <f>PubMachineryTables!$AL$51</f>
        <v>2.1222450980392158</v>
      </c>
      <c r="E2027" s="166">
        <f>TillageOperations!$O$9*$C$1971</f>
        <v>0</v>
      </c>
      <c r="F2027" s="166">
        <f t="shared" si="169"/>
        <v>0</v>
      </c>
      <c r="G2027" s="163" t="e">
        <f t="shared" si="166"/>
        <v>#DIV/0!</v>
      </c>
    </row>
    <row r="2028" spans="2:7">
      <c r="B2028" s="463" t="str">
        <f>TillageOperations!$B$10&amp;" (Repairs, maint., fuel &amp; lube)"</f>
        <v>Chisel (Repairs, maint., fuel &amp; lube)</v>
      </c>
      <c r="C2028" s="464" t="s">
        <v>157</v>
      </c>
      <c r="D2028" s="166">
        <f>PubMachineryTables!$AN$52+PubMachineryTables!$AM$52</f>
        <v>8.5884820270019766</v>
      </c>
      <c r="E2028" s="166">
        <f>TillageOperations!$O$10*$C$1971</f>
        <v>0</v>
      </c>
      <c r="F2028" s="166">
        <f t="shared" si="169"/>
        <v>0</v>
      </c>
      <c r="G2028" s="163" t="e">
        <f t="shared" si="166"/>
        <v>#DIV/0!</v>
      </c>
    </row>
    <row r="2029" spans="2:7">
      <c r="B2029" s="463" t="str">
        <f>TillageOperations!$B$10&amp;" (Labor)"</f>
        <v>Chisel (Labor)</v>
      </c>
      <c r="C2029" s="464" t="s">
        <v>157</v>
      </c>
      <c r="D2029" s="166">
        <f>PubMachineryTables!$AL$52</f>
        <v>3.9792095588235301</v>
      </c>
      <c r="E2029" s="166">
        <f>TillageOperations!$O$10*$C$1971</f>
        <v>0</v>
      </c>
      <c r="F2029" s="166">
        <f t="shared" si="169"/>
        <v>0</v>
      </c>
      <c r="G2029" s="163" t="e">
        <f t="shared" si="166"/>
        <v>#DIV/0!</v>
      </c>
    </row>
    <row r="2030" spans="2:7">
      <c r="B2030" s="463" t="str">
        <f>TillageOperations!$B$11&amp;" (Repairs, maint., fuel &amp; lube)"</f>
        <v>Moldboard Plow (Repairs, maint., fuel &amp; lube)</v>
      </c>
      <c r="C2030" s="464" t="s">
        <v>157</v>
      </c>
      <c r="D2030" s="166">
        <f>PubMachineryTables!$AN$53+PubMachineryTables!$AM$53</f>
        <v>14.457142857142856</v>
      </c>
      <c r="E2030" s="166">
        <f>TillageOperations!$O$11*$C$1971</f>
        <v>0</v>
      </c>
      <c r="F2030" s="166">
        <f t="shared" si="169"/>
        <v>0</v>
      </c>
      <c r="G2030" s="163" t="e">
        <f t="shared" si="166"/>
        <v>#DIV/0!</v>
      </c>
    </row>
    <row r="2031" spans="2:7">
      <c r="B2031" s="463" t="str">
        <f>TillageOperations!$B$11&amp;" (Labor)"</f>
        <v>Moldboard Plow (Labor)</v>
      </c>
      <c r="C2031" s="464" t="s">
        <v>157</v>
      </c>
      <c r="D2031" s="166">
        <f>PubMachineryTables!$AL$53</f>
        <v>7.7310357142857153</v>
      </c>
      <c r="E2031" s="166">
        <f>TillageOperations!$O$11*$C$1971</f>
        <v>0</v>
      </c>
      <c r="F2031" s="166">
        <f t="shared" si="169"/>
        <v>0</v>
      </c>
      <c r="G2031" s="163" t="e">
        <f t="shared" si="166"/>
        <v>#DIV/0!</v>
      </c>
    </row>
    <row r="2032" spans="2:7">
      <c r="B2032" s="463" t="str">
        <f>TillageOperations!$B$12&amp;" (Repairs, maint., fuel &amp; lube)"</f>
        <v>Cultivator (Repairs, maint., fuel &amp; lube)</v>
      </c>
      <c r="C2032" s="464" t="s">
        <v>157</v>
      </c>
      <c r="D2032" s="166">
        <f>PubMachineryTables!$AN$54+PubMachineryTables!$AM$54</f>
        <v>5.7828571428571429</v>
      </c>
      <c r="E2032" s="166">
        <f>TillageOperations!$O$12*$C$1971</f>
        <v>0</v>
      </c>
      <c r="F2032" s="166">
        <f t="shared" si="169"/>
        <v>0</v>
      </c>
      <c r="G2032" s="163" t="e">
        <f t="shared" si="166"/>
        <v>#DIV/0!</v>
      </c>
    </row>
    <row r="2033" spans="2:7">
      <c r="B2033" s="463" t="str">
        <f>TillageOperations!$B$12&amp;" (Labor)"</f>
        <v>Cultivator (Labor)</v>
      </c>
      <c r="C2033" s="464" t="s">
        <v>157</v>
      </c>
      <c r="D2033" s="166">
        <f>PubMachineryTables!$AL$54</f>
        <v>3.0924142857142862</v>
      </c>
      <c r="E2033" s="166">
        <f>TillageOperations!$O$12*$C$1971</f>
        <v>0</v>
      </c>
      <c r="F2033" s="166">
        <f t="shared" si="169"/>
        <v>0</v>
      </c>
      <c r="G2033" s="163" t="e">
        <f t="shared" si="166"/>
        <v>#DIV/0!</v>
      </c>
    </row>
    <row r="2034" spans="2:7">
      <c r="B2034" s="463" t="str">
        <f>TillageOperations!$B$13&amp;" (Repairs, maint., fuel &amp; lube)"</f>
        <v>Landplane (Repairs, maint., fuel &amp; lube)</v>
      </c>
      <c r="C2034" s="464" t="s">
        <v>157</v>
      </c>
      <c r="D2034" s="166">
        <f>PubMachineryTables!$AN$55+PubMachineryTables!$AM$55</f>
        <v>8.0445253976590632</v>
      </c>
      <c r="E2034" s="166">
        <f>TillageOperations!$O$13*$C$1971</f>
        <v>0</v>
      </c>
      <c r="F2034" s="166">
        <f t="shared" si="169"/>
        <v>0</v>
      </c>
      <c r="G2034" s="163" t="e">
        <f t="shared" si="166"/>
        <v>#DIV/0!</v>
      </c>
    </row>
    <row r="2035" spans="2:7">
      <c r="B2035" s="463" t="str">
        <f>TillageOperations!$B$13&amp;" (Labor)"</f>
        <v>Landplane (Labor)</v>
      </c>
      <c r="C2035" s="464" t="s">
        <v>157</v>
      </c>
      <c r="D2035" s="166">
        <f>PubMachineryTables!$AL$55</f>
        <v>3.8655178571428577</v>
      </c>
      <c r="E2035" s="166">
        <f>TillageOperations!$O$13*$C$1971</f>
        <v>0</v>
      </c>
      <c r="F2035" s="166">
        <f t="shared" si="169"/>
        <v>0</v>
      </c>
      <c r="G2035" s="163" t="e">
        <f t="shared" si="166"/>
        <v>#DIV/0!</v>
      </c>
    </row>
    <row r="2036" spans="2:7">
      <c r="B2036" s="463" t="str">
        <f>TillageOperations!$B$14&amp;" (Repairs, maint., fuel &amp; lube)"</f>
        <v>Float (Repairs, maint., fuel &amp; lube)</v>
      </c>
      <c r="C2036" s="464" t="s">
        <v>157</v>
      </c>
      <c r="D2036" s="166">
        <f>PubMachineryTables!$AN$56+PubMachineryTables!$AM$56</f>
        <v>5.1632653061224492</v>
      </c>
      <c r="E2036" s="166">
        <f>TillageOperations!$O$14*$C$1971</f>
        <v>0</v>
      </c>
      <c r="F2036" s="166">
        <f t="shared" si="169"/>
        <v>0</v>
      </c>
      <c r="G2036" s="163" t="e">
        <f t="shared" si="166"/>
        <v>#DIV/0!</v>
      </c>
    </row>
    <row r="2037" spans="2:7">
      <c r="B2037" s="463" t="str">
        <f>TillageOperations!$B$14&amp;" (Labor)"</f>
        <v>Float (Labor)</v>
      </c>
      <c r="C2037" s="464" t="s">
        <v>157</v>
      </c>
      <c r="D2037" s="166">
        <f>PubMachineryTables!$AL$56</f>
        <v>4.4177346938775521</v>
      </c>
      <c r="E2037" s="166">
        <f>TillageOperations!$O$14*$C$1971</f>
        <v>0</v>
      </c>
      <c r="F2037" s="166">
        <f t="shared" si="169"/>
        <v>0</v>
      </c>
      <c r="G2037" s="163" t="e">
        <f t="shared" si="166"/>
        <v>#DIV/0!</v>
      </c>
    </row>
    <row r="2038" spans="2:7">
      <c r="B2038" s="463" t="str">
        <f>TillageOperations!$B$15&amp;" (Repairs, maint., fuel &amp; lube)"</f>
        <v>Lister (Repairs, maint., fuel &amp; lube)</v>
      </c>
      <c r="C2038" s="464" t="s">
        <v>157</v>
      </c>
      <c r="D2038" s="166">
        <f>PubMachineryTables!$AN$57+PubMachineryTables!$AM$57</f>
        <v>11.879642797844287</v>
      </c>
      <c r="E2038" s="166">
        <f>TillageOperations!$O$15*$C$1971</f>
        <v>0</v>
      </c>
      <c r="F2038" s="166">
        <f t="shared" si="169"/>
        <v>0</v>
      </c>
      <c r="G2038" s="163" t="e">
        <f t="shared" si="166"/>
        <v>#DIV/0!</v>
      </c>
    </row>
    <row r="2039" spans="2:7">
      <c r="B2039" s="463" t="str">
        <f>TillageOperations!$B$15&amp;" (Labor)"</f>
        <v>Lister (Labor)</v>
      </c>
      <c r="C2039" s="464" t="s">
        <v>157</v>
      </c>
      <c r="D2039" s="166">
        <f>PubMachineryTables!$AL$57</f>
        <v>6.1848285714285725</v>
      </c>
      <c r="E2039" s="166">
        <f>TillageOperations!$O$15*$C$1971</f>
        <v>0</v>
      </c>
      <c r="F2039" s="166">
        <f t="shared" si="169"/>
        <v>0</v>
      </c>
      <c r="G2039" s="163" t="e">
        <f t="shared" si="166"/>
        <v>#DIV/0!</v>
      </c>
    </row>
    <row r="2040" spans="2:7">
      <c r="B2040" s="463" t="str">
        <f>TillageOperations!$B$16&amp;" (Repairs, maint., fuel &amp; lube)"</f>
        <v>Bed Shaper (Repairs, maint., fuel &amp; lube)</v>
      </c>
      <c r="C2040" s="464" t="s">
        <v>157</v>
      </c>
      <c r="D2040" s="166">
        <f>PubMachineryTables!$AN$58+PubMachineryTables!$AM$58</f>
        <v>5.9574634784635725</v>
      </c>
      <c r="E2040" s="166">
        <f>TillageOperations!$O$16*$C$1971</f>
        <v>0</v>
      </c>
      <c r="F2040" s="166">
        <f t="shared" si="169"/>
        <v>0</v>
      </c>
      <c r="G2040" s="163" t="e">
        <f t="shared" si="166"/>
        <v>#DIV/0!</v>
      </c>
    </row>
    <row r="2041" spans="2:7">
      <c r="B2041" s="463" t="str">
        <f>TillageOperations!$B$16&amp;" (Labor)"</f>
        <v>Bed Shaper (Labor)</v>
      </c>
      <c r="C2041" s="464" t="s">
        <v>157</v>
      </c>
      <c r="D2041" s="166">
        <f>PubMachineryTables!$AL$58</f>
        <v>3.0924142857142862</v>
      </c>
      <c r="E2041" s="166">
        <f>TillageOperations!$O$16*$C$1971</f>
        <v>0</v>
      </c>
      <c r="F2041" s="166">
        <f t="shared" si="169"/>
        <v>0</v>
      </c>
      <c r="G2041" s="163" t="e">
        <f t="shared" ref="G2041:G2104" si="170">F2041/C$1971</f>
        <v>#DIV/0!</v>
      </c>
    </row>
    <row r="2042" spans="2:7">
      <c r="B2042" s="463" t="str">
        <f>TillageOperations!$B$19&amp;" (Repairs, maint., fuel &amp; lube)"</f>
        <v>Row Planter (Repairs, maint., fuel &amp; lube)</v>
      </c>
      <c r="C2042" s="464" t="s">
        <v>157</v>
      </c>
      <c r="D2042" s="166">
        <f>PubMachineryTables!$AN$60+PubMachineryTables!$AM$60</f>
        <v>8.8400048303091552</v>
      </c>
      <c r="E2042" s="166">
        <f>TillageOperations!$O$19*$C$1971</f>
        <v>0</v>
      </c>
      <c r="F2042" s="166">
        <f t="shared" si="169"/>
        <v>0</v>
      </c>
      <c r="G2042" s="163" t="e">
        <f t="shared" si="170"/>
        <v>#DIV/0!</v>
      </c>
    </row>
    <row r="2043" spans="2:7">
      <c r="B2043" s="463" t="str">
        <f>TillageOperations!$B$19&amp;" (Labor)"</f>
        <v>Row Planter (Labor)</v>
      </c>
      <c r="C2043" s="464" t="s">
        <v>157</v>
      </c>
      <c r="D2043" s="166">
        <f>PubMachineryTables!$AL$60</f>
        <v>4.5097708333333344</v>
      </c>
      <c r="E2043" s="166">
        <f>TillageOperations!$O$19*$C$1971</f>
        <v>0</v>
      </c>
      <c r="F2043" s="166">
        <f t="shared" si="169"/>
        <v>0</v>
      </c>
      <c r="G2043" s="163" t="e">
        <f t="shared" si="170"/>
        <v>#DIV/0!</v>
      </c>
    </row>
    <row r="2044" spans="2:7">
      <c r="B2044" s="463" t="str">
        <f>TillageOperations!$B$20&amp;" (Repairs, maint., fuel &amp; lube)"</f>
        <v>Row Cultivator (Repairs, maint., fuel &amp; lube)</v>
      </c>
      <c r="C2044" s="464" t="s">
        <v>157</v>
      </c>
      <c r="D2044" s="166">
        <f>PubMachineryTables!$AN$61+PubMachineryTables!$AM$61</f>
        <v>3.5823141032725374</v>
      </c>
      <c r="E2044" s="166">
        <f>TillageOperations!$O$20*$C$1971</f>
        <v>0</v>
      </c>
      <c r="F2044" s="166">
        <f>D2044*E2044</f>
        <v>0</v>
      </c>
      <c r="G2044" s="163" t="e">
        <f t="shared" si="170"/>
        <v>#DIV/0!</v>
      </c>
    </row>
    <row r="2045" spans="2:7">
      <c r="B2045" s="463" t="str">
        <f>TillageOperations!$B$20&amp;" (Labor)"</f>
        <v>Row Cultivator (Labor)</v>
      </c>
      <c r="C2045" s="464" t="s">
        <v>157</v>
      </c>
      <c r="D2045" s="166">
        <f>PubMachineryTables!$AL$61</f>
        <v>3.0065138888888892</v>
      </c>
      <c r="E2045" s="166">
        <f>TillageOperations!$O$20*$C$1971</f>
        <v>0</v>
      </c>
      <c r="F2045" s="166">
        <f>D2045*E2045</f>
        <v>0</v>
      </c>
      <c r="G2045" s="163" t="e">
        <f t="shared" si="170"/>
        <v>#DIV/0!</v>
      </c>
    </row>
    <row r="2046" spans="2:7">
      <c r="B2046" s="463" t="str">
        <f>TillageOperations!$B$21&amp;" (Repairs, maint., fuel &amp; lube)"</f>
        <v>Drill (Repairs, maint., fuel &amp; lube)</v>
      </c>
      <c r="C2046" s="464" t="s">
        <v>157</v>
      </c>
      <c r="D2046" s="166">
        <f>PubMachineryTables!$AN$62+PubMachineryTables!$AM$62</f>
        <v>7.6986395922631168</v>
      </c>
      <c r="E2046" s="166">
        <f>TillageOperations!$O$21*$C$1971</f>
        <v>0</v>
      </c>
      <c r="F2046" s="166">
        <f>D2046*E2046</f>
        <v>0</v>
      </c>
      <c r="G2046" s="163" t="e">
        <f t="shared" si="170"/>
        <v>#DIV/0!</v>
      </c>
    </row>
    <row r="2047" spans="2:7">
      <c r="B2047" s="463" t="str">
        <f>TillageOperations!$B$21&amp;" (Labor)"</f>
        <v>Drill (Labor)</v>
      </c>
      <c r="C2047" s="464" t="s">
        <v>157</v>
      </c>
      <c r="D2047" s="166">
        <f>PubMachineryTables!$AL$62</f>
        <v>5.4117250000000006</v>
      </c>
      <c r="E2047" s="166">
        <f>TillageOperations!$O$21*$C$1971</f>
        <v>0</v>
      </c>
      <c r="F2047" s="166">
        <f>D2047*E2047</f>
        <v>0</v>
      </c>
      <c r="G2047" s="163" t="e">
        <f t="shared" si="170"/>
        <v>#DIV/0!</v>
      </c>
    </row>
    <row r="2048" spans="2:7">
      <c r="B2048" s="75" t="str">
        <f>TillageOperations!$B$27&amp;" (Repairs, maint., fuel &amp; lube)"</f>
        <v>Cotton Picker (Repairs, maint., fuel &amp; lube)</v>
      </c>
      <c r="C2048" s="464" t="s">
        <v>157</v>
      </c>
      <c r="D2048" s="166">
        <f>PubMachineryTables!$AN$67+PubMachineryTables!$AM$67</f>
        <v>20.587703435804702</v>
      </c>
      <c r="E2048" s="166">
        <f>TillageOperations!$O$27*$C$1971</f>
        <v>0</v>
      </c>
      <c r="F2048" s="166">
        <f t="shared" ref="F2048:F2055" si="171">D2048*E2048</f>
        <v>0</v>
      </c>
      <c r="G2048" s="163" t="e">
        <f t="shared" si="170"/>
        <v>#DIV/0!</v>
      </c>
    </row>
    <row r="2049" spans="2:7">
      <c r="B2049" t="str">
        <f>TillageOperations!$B$27&amp;" (Labor)"</f>
        <v>Cotton Picker (Labor)</v>
      </c>
      <c r="C2049" s="464" t="s">
        <v>157</v>
      </c>
      <c r="D2049" s="166">
        <f>PubMachineryTables!$AL$67</f>
        <v>7.3395908679927677</v>
      </c>
      <c r="E2049" s="166">
        <f>TillageOperations!$O$27*$C$1971</f>
        <v>0</v>
      </c>
      <c r="F2049" s="166">
        <f t="shared" si="171"/>
        <v>0</v>
      </c>
      <c r="G2049" s="163" t="e">
        <f t="shared" si="170"/>
        <v>#DIV/0!</v>
      </c>
    </row>
    <row r="2050" spans="2:7">
      <c r="B2050" s="75" t="str">
        <f>TillageOperations!$B$28&amp;" (Repairs, maint., fuel &amp; lube)"</f>
        <v>Module Unit (Repairs, maint., fuel &amp; lube)</v>
      </c>
      <c r="C2050" s="464" t="s">
        <v>157</v>
      </c>
      <c r="D2050" s="166">
        <f>PubMachineryTables!$AN$68+PubMachineryTables!$AM$68</f>
        <v>7.0644080416976918</v>
      </c>
      <c r="E2050" s="166">
        <f>TillageOperations!$O$28*$C$1971</f>
        <v>0</v>
      </c>
      <c r="F2050" s="166">
        <f t="shared" si="171"/>
        <v>0</v>
      </c>
      <c r="G2050" s="163" t="e">
        <f t="shared" si="170"/>
        <v>#DIV/0!</v>
      </c>
    </row>
    <row r="2051" spans="2:7">
      <c r="B2051" t="str">
        <f>TillageOperations!$B$28&amp;" (Labor)"</f>
        <v>Module Unit (Labor)</v>
      </c>
      <c r="C2051" s="464" t="s">
        <v>157</v>
      </c>
      <c r="D2051" s="166">
        <f>PubMachineryTables!$AL$68</f>
        <v>6.0443689501116911</v>
      </c>
      <c r="E2051" s="166">
        <f>TillageOperations!$O$28*$C$1971</f>
        <v>0</v>
      </c>
      <c r="F2051" s="166">
        <f t="shared" si="171"/>
        <v>0</v>
      </c>
      <c r="G2051" s="163" t="e">
        <f t="shared" si="170"/>
        <v>#DIV/0!</v>
      </c>
    </row>
    <row r="2052" spans="2:7">
      <c r="B2052" t="str">
        <f>TillageOperations!$B$29&amp;" (Repairs, maint., fuel &amp; lube)"</f>
        <v>Haul Cotton (Repairs, maint., fuel &amp; lube)</v>
      </c>
      <c r="C2052" s="464" t="s">
        <v>157</v>
      </c>
      <c r="D2052" s="166">
        <f>PubMachineryTables!$AN$69+PubMachineryTables!$AM$69</f>
        <v>7.0644080416976918</v>
      </c>
      <c r="E2052" s="166">
        <f>TillageOperations!$O$29*$C$1971</f>
        <v>0</v>
      </c>
      <c r="F2052" s="166">
        <f t="shared" si="171"/>
        <v>0</v>
      </c>
      <c r="G2052" s="163" t="e">
        <f t="shared" si="170"/>
        <v>#DIV/0!</v>
      </c>
    </row>
    <row r="2053" spans="2:7">
      <c r="B2053" t="str">
        <f>TillageOperations!$B$29&amp;" (Labor)"</f>
        <v>Haul Cotton (Labor)</v>
      </c>
      <c r="C2053" s="464" t="s">
        <v>157</v>
      </c>
      <c r="D2053" s="166">
        <f>PubMachineryTables!$AL$69</f>
        <v>6.0443689501116911</v>
      </c>
      <c r="E2053" s="166">
        <f>TillageOperations!$O$29*$C$1971</f>
        <v>0</v>
      </c>
      <c r="F2053" s="166">
        <f t="shared" si="171"/>
        <v>0</v>
      </c>
      <c r="G2053" s="163" t="e">
        <f t="shared" si="170"/>
        <v>#DIV/0!</v>
      </c>
    </row>
    <row r="2054" spans="2:7">
      <c r="B2054" t="str">
        <f>TillageOperations!$B$17&amp;" (Repairs, maint., fuel &amp; lube)"</f>
        <v>Cotton Shredder/Root Puller (Repairs, maint., fuel &amp; lube)</v>
      </c>
      <c r="C2054" s="464" t="s">
        <v>157</v>
      </c>
      <c r="D2054" s="166">
        <f>PubMachineryTables!$AN$59+PubMachineryTables!$AM$59</f>
        <v>3.4657534246575339</v>
      </c>
      <c r="E2054" s="166">
        <f>TillageOperations!$O$17*$C$1971</f>
        <v>0</v>
      </c>
      <c r="F2054" s="166">
        <f t="shared" si="171"/>
        <v>0</v>
      </c>
      <c r="G2054" s="163" t="e">
        <f t="shared" si="170"/>
        <v>#DIV/0!</v>
      </c>
    </row>
    <row r="2055" spans="2:7">
      <c r="B2055" t="str">
        <f>TillageOperations!$B$17&amp;" (Labor)"</f>
        <v>Cotton Shredder/Root Puller (Labor)</v>
      </c>
      <c r="C2055" s="464" t="s">
        <v>157</v>
      </c>
      <c r="D2055" s="166">
        <f>PubMachineryTables!$AL$59</f>
        <v>2.965328767123288</v>
      </c>
      <c r="E2055" s="166">
        <f>TillageOperations!$O$17*$C$1971</f>
        <v>0</v>
      </c>
      <c r="F2055" s="166">
        <f t="shared" si="171"/>
        <v>0</v>
      </c>
      <c r="G2055" s="163" t="e">
        <f t="shared" si="170"/>
        <v>#DIV/0!</v>
      </c>
    </row>
    <row r="2056" spans="2:7">
      <c r="B2056" t="str">
        <f>TillageOperations!$B$30&amp;" (Repairs, maint., fuel &amp; lube)"</f>
        <v>Combine (Repairs, maint., fuel &amp; lube)</v>
      </c>
      <c r="C2056" s="464" t="s">
        <v>157</v>
      </c>
      <c r="D2056" s="166">
        <f>PubMachineryTables!$AN$70+PubMachineryTables!$AM$70</f>
        <v>4.8939818019913757</v>
      </c>
      <c r="E2056" s="166">
        <f>TillageOperations!$O$30*$C$1971</f>
        <v>0</v>
      </c>
      <c r="F2056" s="166">
        <f>D2056*E2056</f>
        <v>0</v>
      </c>
      <c r="G2056" s="163" t="e">
        <f t="shared" si="170"/>
        <v>#DIV/0!</v>
      </c>
    </row>
    <row r="2057" spans="2:7">
      <c r="B2057" t="str">
        <f>TillageOperations!$B$30&amp;" (Labor)"</f>
        <v>Combine (Labor)</v>
      </c>
      <c r="C2057" s="464" t="s">
        <v>157</v>
      </c>
      <c r="D2057" s="166">
        <f>PubMachineryTables!$AL$70</f>
        <v>1.591683823529412</v>
      </c>
      <c r="E2057" s="166">
        <f>TillageOperations!$O$30*$C$1971</f>
        <v>0</v>
      </c>
      <c r="F2057" s="166">
        <f>D2057*E2057</f>
        <v>0</v>
      </c>
      <c r="G2057" s="163" t="e">
        <f t="shared" si="170"/>
        <v>#DIV/0!</v>
      </c>
    </row>
    <row r="2058" spans="2:7">
      <c r="B2058" t="str">
        <f>TillageOperations!$B$31&amp;" (Repairs, maint., fuel &amp; lube)"</f>
        <v>Grain Cart (Repairs, maint., fuel &amp; lube)</v>
      </c>
      <c r="C2058" s="464" t="s">
        <v>157</v>
      </c>
      <c r="D2058" s="166">
        <f>PubMachineryTables!$AN$71+PubMachineryTables!$AM$71</f>
        <v>3.2163097667975675</v>
      </c>
      <c r="E2058" s="166">
        <f>TillageOperations!$O$31*$C$1971</f>
        <v>0</v>
      </c>
      <c r="F2058" s="166">
        <f>D2058*E2058</f>
        <v>0</v>
      </c>
      <c r="G2058" s="163" t="e">
        <f t="shared" si="170"/>
        <v>#DIV/0!</v>
      </c>
    </row>
    <row r="2059" spans="2:7">
      <c r="B2059" t="str">
        <f>TillageOperations!$B$31&amp;" (Labor)"</f>
        <v>Grain Cart (Labor)</v>
      </c>
      <c r="C2059" s="464" t="s">
        <v>157</v>
      </c>
      <c r="D2059" s="166">
        <f>PubMachineryTables!$AL$71</f>
        <v>1.591683823529412</v>
      </c>
      <c r="E2059" s="166">
        <f>TillageOperations!$O$31*$C$1971</f>
        <v>0</v>
      </c>
      <c r="F2059" s="166">
        <f>D2059*E2059</f>
        <v>0</v>
      </c>
      <c r="G2059" s="163" t="e">
        <f t="shared" si="170"/>
        <v>#DIV/0!</v>
      </c>
    </row>
    <row r="2060" spans="2:7">
      <c r="B2060" t="str">
        <f>TillageOperations!$B$32&amp;" (Repairs, maint., fuel &amp; lube)"</f>
        <v>Swather (Repairs, maint., fuel &amp; lube)</v>
      </c>
      <c r="C2060" s="464" t="s">
        <v>157</v>
      </c>
      <c r="D2060" s="166">
        <f>PubMachineryTables!$AN$72+PubMachineryTables!$AM$72</f>
        <v>2.0239999999999996</v>
      </c>
      <c r="E2060" s="166">
        <f>TillageOperations!$O$32*$C$1971</f>
        <v>0</v>
      </c>
      <c r="F2060" s="166">
        <f t="shared" ref="F2060:F2084" si="172">D2060*E2060</f>
        <v>0</v>
      </c>
      <c r="G2060" s="163" t="e">
        <f t="shared" si="170"/>
        <v>#DIV/0!</v>
      </c>
    </row>
    <row r="2061" spans="2:7">
      <c r="B2061" t="str">
        <f>TillageOperations!$B$32&amp;" (Labor)"</f>
        <v>Swather (Labor)</v>
      </c>
      <c r="C2061" s="464" t="s">
        <v>157</v>
      </c>
      <c r="D2061" s="166">
        <f>PubMachineryTables!$AL$72</f>
        <v>2.1646900000000002</v>
      </c>
      <c r="E2061" s="166">
        <f>TillageOperations!$O$32*$C$1971</f>
        <v>0</v>
      </c>
      <c r="F2061" s="166">
        <f t="shared" si="172"/>
        <v>0</v>
      </c>
      <c r="G2061" s="163" t="e">
        <f t="shared" si="170"/>
        <v>#DIV/0!</v>
      </c>
    </row>
    <row r="2062" spans="2:7">
      <c r="B2062" t="str">
        <f>TillageOperations!$B$33&amp;" (Repairs, maint., fuel &amp; lube)"</f>
        <v>Baler (Repairs, maint., fuel &amp; lube)</v>
      </c>
      <c r="C2062" s="464" t="s">
        <v>157</v>
      </c>
      <c r="D2062" s="166">
        <f>PubMachineryTables!$AN$73+PubMachineryTables!$AM$73</f>
        <v>3.953125</v>
      </c>
      <c r="E2062" s="166">
        <f>TillageOperations!$O$33*$C$1971</f>
        <v>0</v>
      </c>
      <c r="F2062" s="166">
        <f t="shared" si="172"/>
        <v>0</v>
      </c>
      <c r="G2062" s="163" t="e">
        <f t="shared" si="170"/>
        <v>#DIV/0!</v>
      </c>
    </row>
    <row r="2063" spans="2:7">
      <c r="B2063" t="str">
        <f>TillageOperations!$B$33&amp;" (Labor)"</f>
        <v>Baler (Labor)</v>
      </c>
      <c r="C2063" s="464" t="s">
        <v>157</v>
      </c>
      <c r="D2063" s="166">
        <f>PubMachineryTables!$AL$73</f>
        <v>3.3823281250000004</v>
      </c>
      <c r="E2063" s="166">
        <f>TillageOperations!$O$33*$C$1971</f>
        <v>0</v>
      </c>
      <c r="F2063" s="166">
        <f t="shared" si="172"/>
        <v>0</v>
      </c>
      <c r="G2063" s="163" t="e">
        <f t="shared" si="170"/>
        <v>#DIV/0!</v>
      </c>
    </row>
    <row r="2064" spans="2:7">
      <c r="B2064" t="str">
        <f>TillageOperations!$B$34&amp;" (Repairs, maint., fuel &amp; lube)"</f>
        <v>Swather (Repairs, maint., fuel &amp; lube)</v>
      </c>
      <c r="C2064" s="464" t="s">
        <v>157</v>
      </c>
      <c r="D2064" s="166">
        <f>PubMachineryTables!$AN$74+PubMachineryTables!$AM$74</f>
        <v>19.46153846153846</v>
      </c>
      <c r="E2064" s="166">
        <f>TillageOperations!$O$34*$C$1971</f>
        <v>0</v>
      </c>
      <c r="F2064" s="166">
        <f t="shared" si="172"/>
        <v>0</v>
      </c>
      <c r="G2064" s="163" t="e">
        <f t="shared" si="170"/>
        <v>#DIV/0!</v>
      </c>
    </row>
    <row r="2065" spans="2:7">
      <c r="B2065" t="str">
        <f>TillageOperations!$B$34&amp;" (Labor)"</f>
        <v>Swather (Labor)</v>
      </c>
      <c r="C2065" s="464" t="s">
        <v>157</v>
      </c>
      <c r="D2065" s="166">
        <f>PubMachineryTables!$AL$74</f>
        <v>20.814326923076923</v>
      </c>
      <c r="E2065" s="166">
        <f>TillageOperations!$O$34*$C$1971</f>
        <v>0</v>
      </c>
      <c r="F2065" s="166">
        <f t="shared" si="172"/>
        <v>0</v>
      </c>
      <c r="G2065" s="163" t="e">
        <f t="shared" si="170"/>
        <v>#DIV/0!</v>
      </c>
    </row>
    <row r="2066" spans="2:7">
      <c r="B2066" t="str">
        <f>TillageOperations!$B$35&amp;" (Repairs, maint., fuel &amp; lube)"</f>
        <v>Baler (Repairs, maint., fuel &amp; lube)</v>
      </c>
      <c r="C2066" s="464" t="s">
        <v>157</v>
      </c>
      <c r="D2066" s="166">
        <f>PubMachineryTables!$AN$75+PubMachineryTables!$AM$75</f>
        <v>24.326923076923073</v>
      </c>
      <c r="E2066" s="166">
        <f>TillageOperations!$O$35*$C$1971</f>
        <v>0</v>
      </c>
      <c r="F2066" s="166">
        <f t="shared" si="172"/>
        <v>0</v>
      </c>
      <c r="G2066" s="163" t="e">
        <f t="shared" si="170"/>
        <v>#DIV/0!</v>
      </c>
    </row>
    <row r="2067" spans="2:7">
      <c r="B2067" t="str">
        <f>TillageOperations!$B$35&amp;" (Labor)"</f>
        <v>Baler (Labor)</v>
      </c>
      <c r="C2067" s="464" t="s">
        <v>157</v>
      </c>
      <c r="D2067" s="166">
        <f>PubMachineryTables!$AL$75</f>
        <v>20.814326923076923</v>
      </c>
      <c r="E2067" s="166">
        <f>TillageOperations!$O$35*$C$1971</f>
        <v>0</v>
      </c>
      <c r="F2067" s="166">
        <f t="shared" si="172"/>
        <v>0</v>
      </c>
      <c r="G2067" s="163" t="e">
        <f t="shared" si="170"/>
        <v>#DIV/0!</v>
      </c>
    </row>
    <row r="2068" spans="2:7">
      <c r="B2068" t="str">
        <f>'Inputs&amp;PricesbyCrop'!$B$31</f>
        <v xml:space="preserve">   - Baling Twine</v>
      </c>
      <c r="C2068" s="137" t="str">
        <f>'Inputs&amp;PricesbyCrop'!$C$31</f>
        <v>acre</v>
      </c>
      <c r="D2068" s="166">
        <f>'Inputs&amp;PricesbyCrop'!$P$31</f>
        <v>0</v>
      </c>
      <c r="E2068" s="166">
        <f>$C$1971</f>
        <v>0</v>
      </c>
      <c r="F2068" s="166">
        <f t="shared" si="172"/>
        <v>0</v>
      </c>
      <c r="G2068" s="163" t="e">
        <f t="shared" si="170"/>
        <v>#DIV/0!</v>
      </c>
    </row>
    <row r="2069" spans="2:7">
      <c r="B2069" t="str">
        <f>TillageOperations!$B$36&amp;" (Repairs, maint., fuel &amp; lube)"</f>
        <v>Bale Wagon (Repairs, maint., fuel &amp; lube)</v>
      </c>
      <c r="C2069" s="464" t="s">
        <v>157</v>
      </c>
      <c r="D2069" s="166">
        <f>PubMachineryTables!$AN$76+PubMachineryTables!$AM$76</f>
        <v>3.1624999999999996</v>
      </c>
      <c r="E2069" s="166">
        <f>TillageOperations!$O$36*$C$1971</f>
        <v>0</v>
      </c>
      <c r="F2069" s="166">
        <f t="shared" si="172"/>
        <v>0</v>
      </c>
      <c r="G2069" s="163" t="e">
        <f t="shared" si="170"/>
        <v>#DIV/0!</v>
      </c>
    </row>
    <row r="2070" spans="2:7">
      <c r="B2070" t="str">
        <f>TillageOperations!$B$36&amp;" (Labor)"</f>
        <v>Bale Wagon (Labor)</v>
      </c>
      <c r="C2070" s="464" t="s">
        <v>157</v>
      </c>
      <c r="D2070" s="166">
        <f>PubMachineryTables!$AL$76</f>
        <v>3.3823281250000004</v>
      </c>
      <c r="E2070" s="166">
        <f>TillageOperations!$O$36*$C$1971</f>
        <v>0</v>
      </c>
      <c r="F2070" s="166">
        <f t="shared" si="172"/>
        <v>0</v>
      </c>
      <c r="G2070" s="163" t="e">
        <f t="shared" si="170"/>
        <v>#DIV/0!</v>
      </c>
    </row>
    <row r="2071" spans="2:7">
      <c r="B2071" t="str">
        <f>TillageOperations!$B$23&amp;" (Repairs, maint., fuel &amp; lube)"</f>
        <v>Fertilizer Spreader (Repairs, maint., fuel &amp; lube)</v>
      </c>
      <c r="C2071" s="464" t="s">
        <v>157</v>
      </c>
      <c r="D2071" s="166">
        <f>PubMachineryTables!$AM$64+PubMachineryTables!$AN$64</f>
        <v>2.6573732562743069</v>
      </c>
      <c r="E2071" s="166">
        <f>TillageOperations!$O$23*$C$1971</f>
        <v>0</v>
      </c>
      <c r="F2071" s="168">
        <f t="shared" si="172"/>
        <v>0</v>
      </c>
      <c r="G2071" s="163" t="e">
        <f t="shared" si="170"/>
        <v>#DIV/0!</v>
      </c>
    </row>
    <row r="2072" spans="2:7">
      <c r="B2072" t="str">
        <f>TillageOperations!$B$23&amp;" (Labor)"</f>
        <v>Fertilizer Spreader (Labor)</v>
      </c>
      <c r="C2072" s="464" t="s">
        <v>157</v>
      </c>
      <c r="D2072" s="166">
        <f>PubMachineryTables!$AL$64</f>
        <v>1.879071180555556</v>
      </c>
      <c r="E2072" s="166">
        <f>TillageOperations!$O$23*$C$1971</f>
        <v>0</v>
      </c>
      <c r="F2072" s="168">
        <f t="shared" si="172"/>
        <v>0</v>
      </c>
      <c r="G2072" s="163" t="e">
        <f t="shared" si="170"/>
        <v>#DIV/0!</v>
      </c>
    </row>
    <row r="2073" spans="2:7">
      <c r="B2073" t="str">
        <f>TillageOperations!$B$24&amp;" (Repairs, maint., fuel &amp; lube)"</f>
        <v>Fertilizer Injection System (Repairs, maint., fuel &amp; lube)</v>
      </c>
      <c r="C2073" s="464" t="s">
        <v>157</v>
      </c>
      <c r="D2073" s="166">
        <f>PubMachineryTables!$AM$65+PubMachineryTables!$AN$65</f>
        <v>8.4333333333333336</v>
      </c>
      <c r="E2073" s="166">
        <f>TillageOperations!$O$24*$C$1971</f>
        <v>0</v>
      </c>
      <c r="F2073" s="168">
        <f t="shared" si="172"/>
        <v>0</v>
      </c>
      <c r="G2073" s="163" t="e">
        <f t="shared" si="170"/>
        <v>#DIV/0!</v>
      </c>
    </row>
    <row r="2074" spans="2:7">
      <c r="B2074" t="str">
        <f>TillageOperations!$B$24&amp;" (Labor)"</f>
        <v>Fertilizer Injection System (Labor)</v>
      </c>
      <c r="C2074" s="464" t="s">
        <v>157</v>
      </c>
      <c r="D2074" s="166">
        <f>PubMachineryTables!$AL$65</f>
        <v>4.5097708333333344</v>
      </c>
      <c r="E2074" s="166">
        <f>TillageOperations!$O$24*$C$1971</f>
        <v>0</v>
      </c>
      <c r="F2074" s="168">
        <f t="shared" si="172"/>
        <v>0</v>
      </c>
      <c r="G2074" s="163" t="e">
        <f t="shared" si="170"/>
        <v>#DIV/0!</v>
      </c>
    </row>
    <row r="2075" spans="2:7">
      <c r="B2075" t="str">
        <f>TillageOperations!$B$25&amp;" (Repairs, maint., fuel &amp; lube)"</f>
        <v>Boom Sprayer (Repairs, maint., fuel &amp; lube)</v>
      </c>
      <c r="C2075" s="464" t="s">
        <v>157</v>
      </c>
      <c r="D2075" s="166">
        <f>PubMachineryTables!AN$66+PubMachineryTables!$AM$66</f>
        <v>1.5996307048468115</v>
      </c>
      <c r="E2075" s="166">
        <f>TillageOperations!$O$25*$C$1971</f>
        <v>0</v>
      </c>
      <c r="F2075" s="166">
        <f t="shared" si="172"/>
        <v>0</v>
      </c>
      <c r="G2075" s="163" t="e">
        <f t="shared" si="170"/>
        <v>#DIV/0!</v>
      </c>
    </row>
    <row r="2076" spans="2:7">
      <c r="B2076" t="str">
        <f>TillageOperations!$B$25&amp;" (Labor)"</f>
        <v>Boom Sprayer (Labor)</v>
      </c>
      <c r="C2076" s="464" t="s">
        <v>157</v>
      </c>
      <c r="D2076" s="166">
        <f>PubMachineryTables!$AL$66</f>
        <v>1.1893901098901098</v>
      </c>
      <c r="E2076" s="166">
        <f>TillageOperations!$O$25*$C$1971</f>
        <v>0</v>
      </c>
      <c r="F2076" s="166">
        <f t="shared" si="172"/>
        <v>0</v>
      </c>
      <c r="G2076" s="163" t="e">
        <f t="shared" si="170"/>
        <v>#DIV/0!</v>
      </c>
    </row>
    <row r="2077" spans="2:7">
      <c r="B2077" t="str">
        <f>TillageOperations!$B$22&amp;" (Repairs, maint., fuel &amp; lube)"</f>
        <v>Transplanter (Repairs, maint., fuel &amp; lube)</v>
      </c>
      <c r="C2077" s="464" t="s">
        <v>157</v>
      </c>
      <c r="D2077" s="166">
        <f>PubMachineryTables!AN$63+PubMachineryTables!$AM$63</f>
        <v>61.668749999999996</v>
      </c>
      <c r="E2077" s="166">
        <f>TillageOperations!$O$22*$C$1971</f>
        <v>0</v>
      </c>
      <c r="F2077" s="166">
        <f>D2077*E2077</f>
        <v>0</v>
      </c>
      <c r="G2077" s="163" t="e">
        <f t="shared" si="170"/>
        <v>#DIV/0!</v>
      </c>
    </row>
    <row r="2078" spans="2:7">
      <c r="B2078" t="str">
        <f>TillageOperations!$B$22&amp;" (Labor)"</f>
        <v>Transplanter (Labor)</v>
      </c>
      <c r="C2078" s="464" t="s">
        <v>157</v>
      </c>
      <c r="D2078" s="166">
        <f>PubMachineryTables!$AL$63</f>
        <v>20.293968750000001</v>
      </c>
      <c r="E2078" s="166">
        <f>TillageOperations!$O$22*$C$1971</f>
        <v>0</v>
      </c>
      <c r="F2078" s="166">
        <f t="shared" si="172"/>
        <v>0</v>
      </c>
      <c r="G2078" s="163" t="e">
        <f t="shared" si="170"/>
        <v>#DIV/0!</v>
      </c>
    </row>
    <row r="2079" spans="2:7">
      <c r="B2079" t="str">
        <f>'Inputs&amp;PricesbyCrop'!$B$14</f>
        <v>Additional Land Prep. Labor</v>
      </c>
      <c r="C2079" s="137" t="str">
        <f>'Inputs&amp;PricesbyCrop'!$C$14</f>
        <v>hour</v>
      </c>
      <c r="D2079" s="166">
        <f>GeneralInputPrices!$D$30</f>
        <v>14.55</v>
      </c>
      <c r="E2079" s="166">
        <f>'Inputs&amp;PricesbyCrop'!$P$14*BASEBUDGETS!$C1971</f>
        <v>0</v>
      </c>
      <c r="F2079" s="166">
        <f t="shared" si="172"/>
        <v>0</v>
      </c>
      <c r="G2079" s="163" t="e">
        <f t="shared" si="170"/>
        <v>#DIV/0!</v>
      </c>
    </row>
    <row r="2080" spans="2:7">
      <c r="B2080" t="str">
        <f>'Inputs&amp;PricesbyCrop'!$B$15</f>
        <v>Additional Land Prep. Labor</v>
      </c>
      <c r="C2080" s="137" t="str">
        <f>'Inputs&amp;PricesbyCrop'!$C$15</f>
        <v>hour</v>
      </c>
      <c r="D2080" s="166">
        <f>GeneralInputPrices!$D$30</f>
        <v>14.55</v>
      </c>
      <c r="E2080" s="166">
        <f>'Inputs&amp;PricesbyCrop'!$P$15*BASEBUDGETS!$C1971</f>
        <v>0</v>
      </c>
      <c r="F2080" s="166">
        <f t="shared" si="172"/>
        <v>0</v>
      </c>
      <c r="G2080" s="163" t="e">
        <f t="shared" si="170"/>
        <v>#DIV/0!</v>
      </c>
    </row>
    <row r="2081" spans="2:7">
      <c r="B2081" t="str">
        <f>'Inputs&amp;PricesbyCrop'!$B$17</f>
        <v>Additional Crop Prod. Labor</v>
      </c>
      <c r="C2081" s="137" t="str">
        <f>'Inputs&amp;PricesbyCrop'!$C$17</f>
        <v>hour</v>
      </c>
      <c r="D2081" s="166">
        <f>GeneralInputPrices!$D$31</f>
        <v>14.55</v>
      </c>
      <c r="E2081" s="166">
        <f>'Inputs&amp;PricesbyCrop'!$P$17*BASEBUDGETS!$C1971</f>
        <v>0</v>
      </c>
      <c r="F2081" s="166">
        <f t="shared" si="172"/>
        <v>0</v>
      </c>
      <c r="G2081" s="163" t="e">
        <f t="shared" si="170"/>
        <v>#DIV/0!</v>
      </c>
    </row>
    <row r="2082" spans="2:7">
      <c r="B2082" t="str">
        <f>'Inputs&amp;PricesbyCrop'!$B$18</f>
        <v>Additional Crop Prod. Labor</v>
      </c>
      <c r="C2082" s="137" t="str">
        <f>'Inputs&amp;PricesbyCrop'!$C$18</f>
        <v>hour</v>
      </c>
      <c r="D2082" s="166">
        <f>GeneralInputPrices!$D$31</f>
        <v>14.55</v>
      </c>
      <c r="E2082" s="166">
        <f>'Inputs&amp;PricesbyCrop'!$P$18*BASEBUDGETS!$C1971</f>
        <v>0</v>
      </c>
      <c r="F2082" s="166">
        <f t="shared" si="172"/>
        <v>0</v>
      </c>
      <c r="G2082" s="163" t="e">
        <f t="shared" si="170"/>
        <v>#DIV/0!</v>
      </c>
    </row>
    <row r="2083" spans="2:7">
      <c r="B2083" t="str">
        <f>'Inputs&amp;PricesbyCrop'!$B$20</f>
        <v>Additional Harvest Labor</v>
      </c>
      <c r="C2083" s="137" t="str">
        <f>'Inputs&amp;PricesbyCrop'!$C$20</f>
        <v>hour</v>
      </c>
      <c r="D2083" s="166">
        <f>GeneralInputPrices!$D$32</f>
        <v>17.89</v>
      </c>
      <c r="E2083" s="166">
        <f>'Inputs&amp;PricesbyCrop'!$P$20*BASEBUDGETS!$C1971</f>
        <v>0</v>
      </c>
      <c r="F2083" s="166">
        <f t="shared" si="172"/>
        <v>0</v>
      </c>
      <c r="G2083" s="163" t="e">
        <f t="shared" si="170"/>
        <v>#DIV/0!</v>
      </c>
    </row>
    <row r="2084" spans="2:7">
      <c r="B2084" t="str">
        <f>'Inputs&amp;PricesbyCrop'!$B$21</f>
        <v>Additional Harvest Labor</v>
      </c>
      <c r="C2084" s="137" t="str">
        <f>'Inputs&amp;PricesbyCrop'!$C$21</f>
        <v>hour</v>
      </c>
      <c r="D2084" s="166">
        <f>GeneralInputPrices!$D$32</f>
        <v>17.89</v>
      </c>
      <c r="E2084" s="166">
        <f>'Inputs&amp;PricesbyCrop'!$P$21*BASEBUDGETS!$C1971</f>
        <v>0</v>
      </c>
      <c r="F2084" s="166">
        <f t="shared" si="172"/>
        <v>0</v>
      </c>
      <c r="G2084" s="163" t="e">
        <f t="shared" si="170"/>
        <v>#DIV/0!</v>
      </c>
    </row>
    <row r="2085" spans="2:7">
      <c r="B2085" t="s">
        <v>59</v>
      </c>
      <c r="C2085" s="137" t="str">
        <f>GeneralInputPrices!$C$34</f>
        <v>percent</v>
      </c>
      <c r="D2085" s="138">
        <f>GeneralInputPrices!$D$34</f>
        <v>0.05</v>
      </c>
      <c r="E2085" s="75" t="s">
        <v>10</v>
      </c>
      <c r="F2085" s="37">
        <f>SUM(F1979:F2084)*D2085</f>
        <v>0</v>
      </c>
      <c r="G2085" s="163" t="e">
        <f t="shared" si="170"/>
        <v>#DIV/0!</v>
      </c>
    </row>
    <row r="2086" spans="2:7">
      <c r="B2086" t="s">
        <v>60</v>
      </c>
      <c r="C2086" s="137" t="str">
        <f>GeneralInputPrices!$C$34</f>
        <v>percent</v>
      </c>
      <c r="D2086" s="138">
        <f>GeneralInputPrices!$D$35</f>
        <v>0.06</v>
      </c>
      <c r="F2086" s="139">
        <f>SUM(F1979:F2085)*((D2086/12)*GeneralInputPrices!$D$39)</f>
        <v>0</v>
      </c>
      <c r="G2086" s="163" t="e">
        <f t="shared" si="170"/>
        <v>#DIV/0!</v>
      </c>
    </row>
    <row r="2087" spans="2:7">
      <c r="B2087" t="s">
        <v>61</v>
      </c>
      <c r="D2087" s="454"/>
      <c r="F2087" s="37">
        <f>SUM(F1979:F2086)</f>
        <v>0</v>
      </c>
      <c r="G2087" s="163" t="e">
        <f t="shared" si="170"/>
        <v>#DIV/0!</v>
      </c>
    </row>
    <row r="2088" spans="2:7">
      <c r="D2088" s="454"/>
      <c r="G2088" s="163" t="e">
        <f t="shared" si="170"/>
        <v>#DIV/0!</v>
      </c>
    </row>
    <row r="2089" spans="2:7">
      <c r="B2089" s="140" t="s">
        <v>129</v>
      </c>
      <c r="C2089" s="458" t="s">
        <v>1</v>
      </c>
      <c r="D2089" s="459" t="s">
        <v>24</v>
      </c>
      <c r="E2089" s="460" t="s">
        <v>25</v>
      </c>
      <c r="F2089" s="460" t="s">
        <v>0</v>
      </c>
      <c r="G2089" s="163" t="e">
        <f t="shared" si="170"/>
        <v>#VALUE!</v>
      </c>
    </row>
    <row r="2090" spans="2:7">
      <c r="B2090" t="str">
        <f>GeneralInputPrices!$B$15&amp;" - Upfront Costs for New System"</f>
        <v>Flood - Upfront Costs for New System</v>
      </c>
      <c r="C2090" s="453" t="str">
        <f>GeneralInputPrices!$C$16</f>
        <v>acre</v>
      </c>
      <c r="D2090" s="166">
        <f>IF('BreakevenInputs&amp;Resources'!T$16=0,0,(('BreakevenInputs&amp;Resources'!T$16/GeneralInputPrices!$D$17)*('AcresYieldsPrices&amp;Water'!$Q$20/'AcresYieldsPrices&amp;Water'!$Q$31))/$C1971)</f>
        <v>0</v>
      </c>
      <c r="E2090" s="166">
        <f>$C1971</f>
        <v>0</v>
      </c>
      <c r="F2090" s="166">
        <f>D2090*E2090</f>
        <v>0</v>
      </c>
      <c r="G2090" s="163" t="e">
        <f t="shared" si="170"/>
        <v>#DIV/0!</v>
      </c>
    </row>
    <row r="2091" spans="2:7">
      <c r="B2091" t="str">
        <f>GeneralInputPrices!$B$19&amp;" - Upfront Costs for New System"</f>
        <v>Drip-tape - Upfront Costs for New System</v>
      </c>
      <c r="C2091" s="453" t="str">
        <f>GeneralInputPrices!$C$20</f>
        <v>acre</v>
      </c>
      <c r="D2091" s="166">
        <f>IF('BreakevenInputs&amp;Resources'!T$17=0,0,(('BreakevenInputs&amp;Resources'!T$17/GeneralInputPrices!$D$21)*('AcresYieldsPrices&amp;Water'!$Q$20/'AcresYieldsPrices&amp;Water'!$Q$31))/$C1971)</f>
        <v>0</v>
      </c>
      <c r="E2091" s="166">
        <f>$C1971</f>
        <v>0</v>
      </c>
      <c r="F2091" s="166">
        <f>D2091*E2091</f>
        <v>0</v>
      </c>
      <c r="G2091" s="163" t="e">
        <f t="shared" si="170"/>
        <v>#DIV/0!</v>
      </c>
    </row>
    <row r="2092" spans="2:7">
      <c r="B2092" t="str">
        <f>GeneralInputPrices!$B$23&amp;" - Upfront Costs for New System"</f>
        <v>Sprinkler - Upfront Costs for New System</v>
      </c>
      <c r="C2092" s="453" t="str">
        <f>GeneralInputPrices!$C$24</f>
        <v>acre</v>
      </c>
      <c r="D2092" s="166">
        <f>IF('BreakevenInputs&amp;Resources'!T$18=0,0,(('BreakevenInputs&amp;Resources'!T$18/GeneralInputPrices!$D$25)*('AcresYieldsPrices&amp;Water'!$Q$20/'AcresYieldsPrices&amp;Water'!$Q$31))/$C1971)</f>
        <v>0</v>
      </c>
      <c r="E2092" s="166">
        <f>$C1971</f>
        <v>0</v>
      </c>
      <c r="F2092" s="166">
        <f>D2092*E2092</f>
        <v>0</v>
      </c>
      <c r="G2092" s="163" t="e">
        <f t="shared" si="170"/>
        <v>#DIV/0!</v>
      </c>
    </row>
    <row r="2093" spans="2:7">
      <c r="B2093" s="463" t="str">
        <f>TillageOperations!$B$7</f>
        <v>V-Ripper</v>
      </c>
      <c r="C2093" s="464" t="s">
        <v>157</v>
      </c>
      <c r="D2093" s="166">
        <f>PubMachineryTables!$AO$49</f>
        <v>209.18701372031111</v>
      </c>
      <c r="E2093" s="166">
        <f>E2022</f>
        <v>0</v>
      </c>
      <c r="F2093" s="168">
        <f t="shared" ref="F2093:F2104" si="173">D2093*E2093</f>
        <v>0</v>
      </c>
      <c r="G2093" s="163" t="e">
        <f t="shared" si="170"/>
        <v>#DIV/0!</v>
      </c>
    </row>
    <row r="2094" spans="2:7">
      <c r="B2094" s="463" t="str">
        <f>TillageOperations!$B$8</f>
        <v>Offset Disk</v>
      </c>
      <c r="C2094" s="464" t="s">
        <v>157</v>
      </c>
      <c r="D2094" s="166">
        <f>PubMachineryTables!$AO$50</f>
        <v>42.467441655558019</v>
      </c>
      <c r="E2094" s="166">
        <f>E2024</f>
        <v>0</v>
      </c>
      <c r="F2094" s="166">
        <f t="shared" si="173"/>
        <v>0</v>
      </c>
      <c r="G2094" s="163" t="e">
        <f t="shared" si="170"/>
        <v>#DIV/0!</v>
      </c>
    </row>
    <row r="2095" spans="2:7">
      <c r="B2095" s="463" t="str">
        <f>TillageOperations!$B$9</f>
        <v>Drag</v>
      </c>
      <c r="C2095" s="464" t="s">
        <v>157</v>
      </c>
      <c r="D2095" s="166">
        <f>PubMachineryTables!$AO$51</f>
        <v>0</v>
      </c>
      <c r="E2095" s="166">
        <f>E2026</f>
        <v>0</v>
      </c>
      <c r="F2095" s="166">
        <f t="shared" si="173"/>
        <v>0</v>
      </c>
      <c r="G2095" s="163" t="e">
        <f t="shared" si="170"/>
        <v>#DIV/0!</v>
      </c>
    </row>
    <row r="2096" spans="2:7">
      <c r="B2096" s="463" t="str">
        <f>TillageOperations!$B$10</f>
        <v>Chisel</v>
      </c>
      <c r="C2096" s="464" t="s">
        <v>157</v>
      </c>
      <c r="D2096" s="166">
        <f>PubMachineryTables!$AO$52</f>
        <v>40.724752902248241</v>
      </c>
      <c r="E2096" s="166">
        <f>E2028</f>
        <v>0</v>
      </c>
      <c r="F2096" s="166">
        <f t="shared" si="173"/>
        <v>0</v>
      </c>
      <c r="G2096" s="163" t="e">
        <f t="shared" si="170"/>
        <v>#DIV/0!</v>
      </c>
    </row>
    <row r="2097" spans="2:7">
      <c r="B2097" s="463" t="str">
        <f>TillageOperations!$B$11</f>
        <v>Moldboard Plow</v>
      </c>
      <c r="C2097" s="464" t="s">
        <v>157</v>
      </c>
      <c r="D2097" s="166">
        <f>PubMachineryTables!$AO$53</f>
        <v>0</v>
      </c>
      <c r="E2097" s="166">
        <f>E2030</f>
        <v>0</v>
      </c>
      <c r="F2097" s="166">
        <f t="shared" si="173"/>
        <v>0</v>
      </c>
      <c r="G2097" s="163" t="e">
        <f t="shared" si="170"/>
        <v>#DIV/0!</v>
      </c>
    </row>
    <row r="2098" spans="2:7">
      <c r="B2098" s="463" t="str">
        <f>TillageOperations!$B$12</f>
        <v>Cultivator</v>
      </c>
      <c r="C2098" s="464" t="s">
        <v>157</v>
      </c>
      <c r="D2098" s="166">
        <f>PubMachineryTables!$AO$54</f>
        <v>0</v>
      </c>
      <c r="E2098" s="166">
        <f>E2032</f>
        <v>0</v>
      </c>
      <c r="F2098" s="166">
        <f t="shared" si="173"/>
        <v>0</v>
      </c>
      <c r="G2098" s="163" t="e">
        <f t="shared" si="170"/>
        <v>#DIV/0!</v>
      </c>
    </row>
    <row r="2099" spans="2:7">
      <c r="B2099" s="463" t="str">
        <f>TillageOperations!$B$13</f>
        <v>Landplane</v>
      </c>
      <c r="C2099" s="464" t="s">
        <v>157</v>
      </c>
      <c r="D2099" s="166">
        <f>PubMachineryTables!$AO$55</f>
        <v>107.77752986339607</v>
      </c>
      <c r="E2099" s="166">
        <f>E2034</f>
        <v>0</v>
      </c>
      <c r="F2099" s="166">
        <f t="shared" si="173"/>
        <v>0</v>
      </c>
      <c r="G2099" s="163" t="e">
        <f t="shared" si="170"/>
        <v>#DIV/0!</v>
      </c>
    </row>
    <row r="2100" spans="2:7">
      <c r="B2100" s="463" t="str">
        <f>TillageOperations!$B$14</f>
        <v>Float</v>
      </c>
      <c r="C2100" s="464" t="s">
        <v>157</v>
      </c>
      <c r="D2100" s="166">
        <f>PubMachineryTables!$AO$56</f>
        <v>0</v>
      </c>
      <c r="E2100" s="166">
        <f>E2036</f>
        <v>0</v>
      </c>
      <c r="F2100" s="166">
        <f t="shared" si="173"/>
        <v>0</v>
      </c>
      <c r="G2100" s="163" t="e">
        <f t="shared" si="170"/>
        <v>#DIV/0!</v>
      </c>
    </row>
    <row r="2101" spans="2:7">
      <c r="B2101" s="463" t="str">
        <f>TillageOperations!$B$15</f>
        <v>Lister</v>
      </c>
      <c r="C2101" s="464" t="s">
        <v>157</v>
      </c>
      <c r="D2101" s="166">
        <f>PubMachineryTables!$AO$57</f>
        <v>72.676050764764099</v>
      </c>
      <c r="E2101" s="166">
        <f>E2038</f>
        <v>0</v>
      </c>
      <c r="F2101" s="166">
        <f t="shared" si="173"/>
        <v>0</v>
      </c>
      <c r="G2101" s="163" t="e">
        <f t="shared" si="170"/>
        <v>#DIV/0!</v>
      </c>
    </row>
    <row r="2102" spans="2:7">
      <c r="B2102" s="463" t="str">
        <f>TillageOperations!$B$16</f>
        <v>Bed Shaper</v>
      </c>
      <c r="C2102" s="464" t="s">
        <v>157</v>
      </c>
      <c r="D2102" s="166">
        <f>PubMachineryTables!$AO$58</f>
        <v>50.420091551988918</v>
      </c>
      <c r="E2102" s="166">
        <f>E2040</f>
        <v>0</v>
      </c>
      <c r="F2102" s="166">
        <f t="shared" si="173"/>
        <v>0</v>
      </c>
      <c r="G2102" s="163" t="e">
        <f t="shared" si="170"/>
        <v>#DIV/0!</v>
      </c>
    </row>
    <row r="2103" spans="2:7">
      <c r="B2103" s="463" t="str">
        <f>TillageOperations!$B$19</f>
        <v>Row Planter</v>
      </c>
      <c r="C2103" s="464" t="s">
        <v>157</v>
      </c>
      <c r="D2103" s="166">
        <f>PubMachineryTables!$AO$60</f>
        <v>218.60367298033367</v>
      </c>
      <c r="E2103" s="166">
        <f>E2042</f>
        <v>0</v>
      </c>
      <c r="F2103" s="166">
        <f t="shared" si="173"/>
        <v>0</v>
      </c>
      <c r="G2103" s="163" t="e">
        <f t="shared" si="170"/>
        <v>#DIV/0!</v>
      </c>
    </row>
    <row r="2104" spans="2:7">
      <c r="B2104" s="463" t="str">
        <f>TillageOperations!$B$20</f>
        <v>Row Cultivator</v>
      </c>
      <c r="C2104" s="464" t="s">
        <v>157</v>
      </c>
      <c r="D2104" s="166">
        <f>PubMachineryTables!$AO$61</f>
        <v>74.064902712939798</v>
      </c>
      <c r="E2104" s="166">
        <f>E2044</f>
        <v>0</v>
      </c>
      <c r="F2104" s="166">
        <f t="shared" si="173"/>
        <v>0</v>
      </c>
      <c r="G2104" s="163" t="e">
        <f t="shared" si="170"/>
        <v>#DIV/0!</v>
      </c>
    </row>
    <row r="2105" spans="2:7">
      <c r="B2105" s="465" t="str">
        <f>TillageOperations!$B$21</f>
        <v>Drill</v>
      </c>
      <c r="C2105" s="464" t="s">
        <v>157</v>
      </c>
      <c r="D2105" s="166">
        <f>PubMachineryTables!$AO$62</f>
        <v>51.837941761576523</v>
      </c>
      <c r="E2105" s="166">
        <f>E2046</f>
        <v>0</v>
      </c>
      <c r="F2105" s="166">
        <f t="shared" ref="F2105:F2109" si="174">D2105*E2105</f>
        <v>0</v>
      </c>
      <c r="G2105" s="163" t="e">
        <f t="shared" ref="G2105:G2130" si="175">F2105/C$1971</f>
        <v>#DIV/0!</v>
      </c>
    </row>
    <row r="2106" spans="2:7">
      <c r="B2106" s="463" t="str">
        <f>TillageOperations!$B$27</f>
        <v>Cotton Picker</v>
      </c>
      <c r="C2106" s="464" t="s">
        <v>157</v>
      </c>
      <c r="D2106" s="166">
        <f>PubMachineryTables!$AO$67</f>
        <v>0</v>
      </c>
      <c r="E2106" s="166">
        <f>E2048</f>
        <v>0</v>
      </c>
      <c r="F2106" s="166">
        <f t="shared" si="174"/>
        <v>0</v>
      </c>
      <c r="G2106" s="163" t="e">
        <f t="shared" si="175"/>
        <v>#DIV/0!</v>
      </c>
    </row>
    <row r="2107" spans="2:7">
      <c r="B2107" s="463" t="str">
        <f>TillageOperations!$B$28</f>
        <v>Module Unit</v>
      </c>
      <c r="C2107" s="464" t="s">
        <v>157</v>
      </c>
      <c r="D2107" s="166">
        <f>PubMachineryTables!$AO$68</f>
        <v>0</v>
      </c>
      <c r="E2107" s="166">
        <f>E2050</f>
        <v>0</v>
      </c>
      <c r="F2107" s="166">
        <f t="shared" si="174"/>
        <v>0</v>
      </c>
      <c r="G2107" s="163" t="e">
        <f t="shared" si="175"/>
        <v>#DIV/0!</v>
      </c>
    </row>
    <row r="2108" spans="2:7">
      <c r="B2108" s="463" t="str">
        <f>TillageOperations!$B$29</f>
        <v>Haul Cotton</v>
      </c>
      <c r="C2108" s="464" t="s">
        <v>157</v>
      </c>
      <c r="D2108" s="166">
        <f>PubMachineryTables!$AO$69</f>
        <v>0</v>
      </c>
      <c r="E2108" s="166">
        <f>E2052</f>
        <v>0</v>
      </c>
      <c r="F2108" s="166">
        <f t="shared" si="174"/>
        <v>0</v>
      </c>
      <c r="G2108" s="163" t="e">
        <f t="shared" si="175"/>
        <v>#DIV/0!</v>
      </c>
    </row>
    <row r="2109" spans="2:7">
      <c r="B2109" s="465" t="str">
        <f>TillageOperations!$B$17</f>
        <v>Cotton Shredder/Root Puller</v>
      </c>
      <c r="C2109" s="464" t="s">
        <v>157</v>
      </c>
      <c r="D2109" s="166">
        <f>PubMachineryTables!$AO$59</f>
        <v>0</v>
      </c>
      <c r="E2109" s="166">
        <f>E2054</f>
        <v>0</v>
      </c>
      <c r="F2109" s="166">
        <f t="shared" si="174"/>
        <v>0</v>
      </c>
      <c r="G2109" s="163" t="e">
        <f t="shared" si="175"/>
        <v>#DIV/0!</v>
      </c>
    </row>
    <row r="2110" spans="2:7">
      <c r="B2110" s="102" t="str">
        <f>TillageOperations!$B$30</f>
        <v>Combine</v>
      </c>
      <c r="C2110" s="464" t="s">
        <v>157</v>
      </c>
      <c r="D2110" s="166">
        <f>PubMachineryTables!$AO$70</f>
        <v>154.43457969840463</v>
      </c>
      <c r="E2110" s="166">
        <f>E2056</f>
        <v>0</v>
      </c>
      <c r="F2110" s="166">
        <f>D2110*E2110</f>
        <v>0</v>
      </c>
      <c r="G2110" s="163" t="e">
        <f t="shared" si="175"/>
        <v>#DIV/0!</v>
      </c>
    </row>
    <row r="2111" spans="2:7">
      <c r="B2111" s="102" t="str">
        <f>TillageOperations!$B$31</f>
        <v>Grain Cart</v>
      </c>
      <c r="C2111" s="464" t="s">
        <v>157</v>
      </c>
      <c r="D2111" s="166">
        <f>PubMachineryTables!$AO$71</f>
        <v>25.28843211678571</v>
      </c>
      <c r="E2111" s="166">
        <f>E2058</f>
        <v>0</v>
      </c>
      <c r="F2111" s="166">
        <f>D2111*E2111</f>
        <v>0</v>
      </c>
      <c r="G2111" s="163" t="e">
        <f t="shared" si="175"/>
        <v>#DIV/0!</v>
      </c>
    </row>
    <row r="2112" spans="2:7">
      <c r="B2112" s="102" t="str">
        <f>TillageOperations!$B$32</f>
        <v>Swather</v>
      </c>
      <c r="C2112" s="464" t="s">
        <v>157</v>
      </c>
      <c r="D2112" s="166">
        <f>PubMachineryTables!$AO$72</f>
        <v>0</v>
      </c>
      <c r="E2112" s="166">
        <f>E2060</f>
        <v>0</v>
      </c>
      <c r="F2112" s="166">
        <f t="shared" ref="F2112:F2120" si="176">D2112*E2112</f>
        <v>0</v>
      </c>
      <c r="G2112" s="163" t="e">
        <f t="shared" si="175"/>
        <v>#DIV/0!</v>
      </c>
    </row>
    <row r="2113" spans="2:7">
      <c r="B2113" s="102" t="str">
        <f>TillageOperations!$B$33</f>
        <v>Baler</v>
      </c>
      <c r="C2113" s="464" t="s">
        <v>157</v>
      </c>
      <c r="D2113" s="166">
        <f>PubMachineryTables!$AO$73</f>
        <v>0</v>
      </c>
      <c r="E2113" s="166">
        <f>E2062</f>
        <v>0</v>
      </c>
      <c r="F2113" s="166">
        <f t="shared" si="176"/>
        <v>0</v>
      </c>
      <c r="G2113" s="163" t="e">
        <f t="shared" si="175"/>
        <v>#DIV/0!</v>
      </c>
    </row>
    <row r="2114" spans="2:7">
      <c r="B2114" s="102" t="str">
        <f>TillageOperations!$B$34</f>
        <v>Swather</v>
      </c>
      <c r="C2114" s="464" t="s">
        <v>157</v>
      </c>
      <c r="D2114" s="166">
        <f>PubMachineryTables!$AO$74</f>
        <v>0</v>
      </c>
      <c r="E2114" s="166">
        <f>E2064</f>
        <v>0</v>
      </c>
      <c r="F2114" s="166">
        <f t="shared" si="176"/>
        <v>0</v>
      </c>
      <c r="G2114" s="163" t="e">
        <f t="shared" si="175"/>
        <v>#DIV/0!</v>
      </c>
    </row>
    <row r="2115" spans="2:7">
      <c r="B2115" s="102" t="str">
        <f>TillageOperations!$B$35</f>
        <v>Baler</v>
      </c>
      <c r="C2115" s="464" t="s">
        <v>157</v>
      </c>
      <c r="D2115" s="166">
        <f>PubMachineryTables!$AO$75</f>
        <v>0</v>
      </c>
      <c r="E2115" s="166">
        <f>E2066</f>
        <v>0</v>
      </c>
      <c r="F2115" s="166">
        <f t="shared" si="176"/>
        <v>0</v>
      </c>
      <c r="G2115" s="163" t="e">
        <f t="shared" si="175"/>
        <v>#DIV/0!</v>
      </c>
    </row>
    <row r="2116" spans="2:7">
      <c r="B2116" s="102" t="str">
        <f>TillageOperations!$B$36</f>
        <v>Bale Wagon</v>
      </c>
      <c r="C2116" s="464" t="s">
        <v>157</v>
      </c>
      <c r="D2116" s="166">
        <f>PubMachineryTables!$AO$76</f>
        <v>0</v>
      </c>
      <c r="E2116" s="166">
        <f>E2069</f>
        <v>0</v>
      </c>
      <c r="F2116" s="166">
        <f t="shared" si="176"/>
        <v>0</v>
      </c>
      <c r="G2116" s="163" t="e">
        <f t="shared" si="175"/>
        <v>#DIV/0!</v>
      </c>
    </row>
    <row r="2117" spans="2:7">
      <c r="B2117" s="102" t="str">
        <f>TillageOperations!$B$23</f>
        <v>Fertilizer Spreader</v>
      </c>
      <c r="C2117" s="464" t="s">
        <v>157</v>
      </c>
      <c r="D2117" s="166">
        <f>PubMachineryTables!$AO$64</f>
        <v>93.913865291400512</v>
      </c>
      <c r="E2117" s="166">
        <f>E2071</f>
        <v>0</v>
      </c>
      <c r="F2117" s="166">
        <f t="shared" si="176"/>
        <v>0</v>
      </c>
      <c r="G2117" s="163" t="e">
        <f t="shared" si="175"/>
        <v>#DIV/0!</v>
      </c>
    </row>
    <row r="2118" spans="2:7">
      <c r="B2118" s="102" t="str">
        <f>TillageOperations!$B$24</f>
        <v>Fertilizer Injection System</v>
      </c>
      <c r="C2118" s="464" t="s">
        <v>157</v>
      </c>
      <c r="D2118" s="166">
        <f>PubMachineryTables!$AO$65</f>
        <v>0</v>
      </c>
      <c r="E2118" s="166">
        <f>E2073</f>
        <v>0</v>
      </c>
      <c r="F2118" s="166">
        <f t="shared" si="176"/>
        <v>0</v>
      </c>
      <c r="G2118" s="163" t="e">
        <f t="shared" si="175"/>
        <v>#DIV/0!</v>
      </c>
    </row>
    <row r="2119" spans="2:7">
      <c r="B2119" s="102" t="str">
        <f>TillageOperations!$B$25</f>
        <v>Boom Sprayer</v>
      </c>
      <c r="C2119" s="464" t="s">
        <v>157</v>
      </c>
      <c r="D2119" s="166">
        <f>PubMachineryTables!$AO$66</f>
        <v>9.6826493425933542</v>
      </c>
      <c r="E2119" s="166">
        <f>E2075</f>
        <v>0</v>
      </c>
      <c r="F2119" s="166">
        <f t="shared" si="176"/>
        <v>0</v>
      </c>
      <c r="G2119" s="163" t="e">
        <f t="shared" si="175"/>
        <v>#DIV/0!</v>
      </c>
    </row>
    <row r="2120" spans="2:7">
      <c r="B2120" s="102" t="str">
        <f>TillageOperations!$B$22</f>
        <v>Transplanter</v>
      </c>
      <c r="C2120" s="464" t="s">
        <v>157</v>
      </c>
      <c r="D2120" s="166">
        <f>PubMachineryTables!$AO$63</f>
        <v>0</v>
      </c>
      <c r="E2120" s="166">
        <f>E2077</f>
        <v>0</v>
      </c>
      <c r="F2120" s="166">
        <f t="shared" si="176"/>
        <v>0</v>
      </c>
      <c r="G2120" s="163" t="e">
        <f t="shared" si="175"/>
        <v>#DIV/0!</v>
      </c>
    </row>
    <row r="2121" spans="2:7">
      <c r="B2121" t="str">
        <f>'Inputs&amp;PricesbyCrop'!$B$39</f>
        <v>Crop Insurance</v>
      </c>
      <c r="C2121" s="464" t="s">
        <v>157</v>
      </c>
      <c r="D2121" s="166">
        <f>'Inputs&amp;PricesbyCrop'!$P$39</f>
        <v>0</v>
      </c>
      <c r="E2121" s="169">
        <f t="shared" ref="E2121:E2126" si="177">$C$1971</f>
        <v>0</v>
      </c>
      <c r="F2121" s="166">
        <f>D2121*E2121</f>
        <v>0</v>
      </c>
      <c r="G2121" s="163" t="e">
        <f t="shared" si="175"/>
        <v>#DIV/0!</v>
      </c>
    </row>
    <row r="2122" spans="2:7">
      <c r="B2122" t="str">
        <f>'Inputs&amp;PricesbyCrop'!$B$40</f>
        <v>Property Insurance</v>
      </c>
      <c r="C2122" s="464" t="s">
        <v>157</v>
      </c>
      <c r="D2122" s="166">
        <f>'Inputs&amp;PricesbyCrop'!$P$40</f>
        <v>0</v>
      </c>
      <c r="E2122" s="169">
        <f t="shared" si="177"/>
        <v>0</v>
      </c>
      <c r="F2122" s="166">
        <f>D2122*E2122</f>
        <v>0</v>
      </c>
      <c r="G2122" s="163" t="e">
        <f t="shared" si="175"/>
        <v>#DIV/0!</v>
      </c>
    </row>
    <row r="2123" spans="2:7">
      <c r="B2123" t="str">
        <f>'Inputs&amp;PricesbyCrop'!$B$41</f>
        <v>Property Taxes</v>
      </c>
      <c r="C2123" s="464" t="s">
        <v>157</v>
      </c>
      <c r="D2123" s="166">
        <f>'Inputs&amp;PricesbyCrop'!$P$41</f>
        <v>0</v>
      </c>
      <c r="E2123" s="169">
        <f t="shared" si="177"/>
        <v>0</v>
      </c>
      <c r="F2123" s="166">
        <f t="shared" ref="F2123:F2126" si="178">D2123*E2123</f>
        <v>0</v>
      </c>
      <c r="G2123" s="163" t="e">
        <f t="shared" si="175"/>
        <v>#DIV/0!</v>
      </c>
    </row>
    <row r="2124" spans="2:7">
      <c r="B2124" t="str">
        <f>'Inputs&amp;PricesbyCrop'!$B$42</f>
        <v>Annual Cash Rent Payment</v>
      </c>
      <c r="C2124" s="464" t="s">
        <v>157</v>
      </c>
      <c r="D2124" s="166">
        <f>'Inputs&amp;PricesbyCrop'!$P$42</f>
        <v>170</v>
      </c>
      <c r="E2124" s="169">
        <f t="shared" si="177"/>
        <v>0</v>
      </c>
      <c r="F2124" s="166">
        <f t="shared" si="178"/>
        <v>0</v>
      </c>
      <c r="G2124" s="163" t="e">
        <f t="shared" si="175"/>
        <v>#DIV/0!</v>
      </c>
    </row>
    <row r="2125" spans="2:7">
      <c r="B2125" t="s">
        <v>484</v>
      </c>
      <c r="C2125" s="464" t="s">
        <v>157</v>
      </c>
      <c r="D2125" s="166">
        <f>'Sheet #13'!I103</f>
        <v>0</v>
      </c>
      <c r="E2125" s="169">
        <f t="shared" si="177"/>
        <v>0</v>
      </c>
      <c r="F2125" s="166">
        <f t="shared" ref="F2125" si="179">D2125*E2125</f>
        <v>0</v>
      </c>
      <c r="G2125" s="163" t="e">
        <f t="shared" si="175"/>
        <v>#DIV/0!</v>
      </c>
    </row>
    <row r="2126" spans="2:7">
      <c r="B2126" t="str">
        <f>'Inputs&amp;PricesbyCrop'!$B$49</f>
        <v>Licenses and Fees</v>
      </c>
      <c r="C2126" s="464" t="s">
        <v>157</v>
      </c>
      <c r="D2126" s="166">
        <f>'Inputs&amp;PricesbyCrop'!$P$49</f>
        <v>0</v>
      </c>
      <c r="E2126" s="169">
        <f t="shared" si="177"/>
        <v>0</v>
      </c>
      <c r="F2126" s="170">
        <f t="shared" si="178"/>
        <v>0</v>
      </c>
      <c r="G2126" s="163" t="e">
        <f t="shared" si="175"/>
        <v>#DIV/0!</v>
      </c>
    </row>
    <row r="2127" spans="2:7">
      <c r="B2127" t="s">
        <v>131</v>
      </c>
      <c r="D2127" s="454"/>
      <c r="F2127" s="37">
        <f>SUM(F2090:F2126)</f>
        <v>0</v>
      </c>
      <c r="G2127" s="163" t="e">
        <f t="shared" si="175"/>
        <v>#DIV/0!</v>
      </c>
    </row>
    <row r="2128" spans="2:7">
      <c r="D2128" s="454"/>
      <c r="G2128" s="163" t="e">
        <f t="shared" si="175"/>
        <v>#DIV/0!</v>
      </c>
    </row>
    <row r="2129" spans="2:8">
      <c r="B2129" t="s">
        <v>63</v>
      </c>
      <c r="D2129" s="454"/>
      <c r="F2129" s="37">
        <f>F2127+F2087</f>
        <v>0</v>
      </c>
      <c r="G2129" s="163" t="e">
        <f t="shared" si="175"/>
        <v>#DIV/0!</v>
      </c>
    </row>
    <row r="2130" spans="2:8">
      <c r="B2130" t="s">
        <v>64</v>
      </c>
      <c r="D2130" s="454"/>
      <c r="F2130" s="37">
        <f>F1976-F2129</f>
        <v>0</v>
      </c>
      <c r="G2130" s="163" t="e">
        <f t="shared" si="175"/>
        <v>#DIV/0!</v>
      </c>
    </row>
    <row r="2131" spans="2:8">
      <c r="B2131" s="249" t="s">
        <v>276</v>
      </c>
      <c r="C2131" s="249" t="s">
        <v>4</v>
      </c>
      <c r="D2131" s="250" t="s">
        <v>277</v>
      </c>
      <c r="E2131" s="249" t="s">
        <v>278</v>
      </c>
      <c r="F2131" s="249" t="s">
        <v>279</v>
      </c>
      <c r="G2131" s="249"/>
    </row>
    <row r="2132" spans="2:8">
      <c r="B2132" s="135" t="str">
        <f>B2137</f>
        <v>Alt Crop #1</v>
      </c>
      <c r="D2132" s="454"/>
    </row>
    <row r="2133" spans="2:8">
      <c r="B2133" t="s">
        <v>16</v>
      </c>
      <c r="C2133" s="457">
        <f>IF('AcresYieldsPrices&amp;Water'!D15=0,0,'AcresYieldsPrices&amp;Water'!D15)</f>
        <v>0</v>
      </c>
      <c r="D2133" s="454" t="s">
        <v>17</v>
      </c>
    </row>
    <row r="2134" spans="2:8">
      <c r="D2134" s="454"/>
    </row>
    <row r="2135" spans="2:8">
      <c r="B2135" t="s">
        <v>22</v>
      </c>
      <c r="D2135" s="454"/>
    </row>
    <row r="2136" spans="2:8">
      <c r="B2136" s="455" t="s">
        <v>23</v>
      </c>
      <c r="C2136" s="458" t="s">
        <v>1</v>
      </c>
      <c r="D2136" s="459" t="s">
        <v>24</v>
      </c>
      <c r="E2136" s="460" t="s">
        <v>25</v>
      </c>
      <c r="F2136" s="460" t="s">
        <v>0</v>
      </c>
      <c r="G2136" s="277"/>
    </row>
    <row r="2137" spans="2:8">
      <c r="B2137" t="str">
        <f>'AcresYieldsPrices&amp;Water'!J17</f>
        <v>Alt Crop #1</v>
      </c>
      <c r="C2137" s="137" t="str">
        <f>'AcresYieldsPrices&amp;Water'!L17</f>
        <v>bushel</v>
      </c>
      <c r="D2137" s="454">
        <f>'AcresYieldsPrices&amp;Water'!M17</f>
        <v>0</v>
      </c>
      <c r="E2137" s="462">
        <f>'AcresYieldsPrices&amp;Water'!N17*$C$2133</f>
        <v>0</v>
      </c>
      <c r="F2137" s="136">
        <f>D2137*E2137</f>
        <v>0</v>
      </c>
      <c r="G2137" s="136"/>
    </row>
    <row r="2138" spans="2:8">
      <c r="B2138" t="s">
        <v>27</v>
      </c>
      <c r="D2138" s="454"/>
      <c r="F2138" s="37">
        <f>SUM(F2137:F2137)</f>
        <v>0</v>
      </c>
      <c r="G2138" s="163" t="e">
        <f>F2138/C$2133</f>
        <v>#DIV/0!</v>
      </c>
    </row>
    <row r="2139" spans="2:8">
      <c r="D2139" s="454"/>
      <c r="G2139" s="163" t="e">
        <f t="shared" ref="G2139:G2202" si="180">F2139/C$2133</f>
        <v>#DIV/0!</v>
      </c>
    </row>
    <row r="2140" spans="2:8">
      <c r="B2140" s="455" t="s">
        <v>62</v>
      </c>
      <c r="C2140" s="458" t="s">
        <v>1</v>
      </c>
      <c r="D2140" s="459" t="s">
        <v>24</v>
      </c>
      <c r="E2140" s="460" t="s">
        <v>25</v>
      </c>
      <c r="F2140" s="460" t="s">
        <v>0</v>
      </c>
      <c r="G2140" s="163" t="e">
        <f t="shared" si="180"/>
        <v>#VALUE!</v>
      </c>
    </row>
    <row r="2141" spans="2:8">
      <c r="B2141" t="str">
        <f>'Inputs&amp;PricesbyCrop'!B$82</f>
        <v xml:space="preserve">   - Seed</v>
      </c>
      <c r="C2141" s="137" t="str">
        <f>'Inputs&amp;PricesbyCrop'!C$91</f>
        <v>pounds</v>
      </c>
      <c r="D2141" s="454">
        <f>'Inputs&amp;PricesbyCrop'!$Q$5</f>
        <v>0</v>
      </c>
      <c r="E2141" s="462">
        <f>'Inputs&amp;PricesbyCrop'!$Q$6*$C$2133</f>
        <v>0</v>
      </c>
      <c r="F2141" s="37">
        <f t="shared" ref="F2141:F2180" si="181">D2141*E2141</f>
        <v>0</v>
      </c>
      <c r="G2141" s="163" t="e">
        <f t="shared" si="180"/>
        <v>#DIV/0!</v>
      </c>
    </row>
    <row r="2142" spans="2:8">
      <c r="B2142" t="str">
        <f>GeneralInputPrices!$B$3</f>
        <v xml:space="preserve">   - Inoculant</v>
      </c>
      <c r="C2142" s="137" t="str">
        <f>GeneralInputPrices!$C$3</f>
        <v>pounds</v>
      </c>
      <c r="D2142" s="166">
        <f>GeneralInputPrices!$D$3</f>
        <v>3</v>
      </c>
      <c r="E2142" s="166">
        <f>'Inputs&amp;PricesbyCrop'!$Q$22*$C$2133</f>
        <v>0</v>
      </c>
      <c r="F2142" s="166">
        <f t="shared" si="181"/>
        <v>0</v>
      </c>
      <c r="G2142" s="163" t="e">
        <f t="shared" si="180"/>
        <v>#DIV/0!</v>
      </c>
    </row>
    <row r="2143" spans="2:8">
      <c r="B2143" t="str">
        <f>GeneralInputPrices!B$5</f>
        <v xml:space="preserve">   - Nitrogen</v>
      </c>
      <c r="C2143" s="137" t="str">
        <f>GeneralInputPrices!$C$5</f>
        <v>pounds</v>
      </c>
      <c r="D2143" s="166">
        <f>GeneralInputPrices!$D$5</f>
        <v>0.46</v>
      </c>
      <c r="E2143" s="166">
        <f>'Inputs&amp;PricesbyCrop'!$Q$23*$C$2133</f>
        <v>0</v>
      </c>
      <c r="F2143" s="166">
        <f t="shared" si="181"/>
        <v>0</v>
      </c>
      <c r="G2143" s="163" t="e">
        <f t="shared" si="180"/>
        <v>#DIV/0!</v>
      </c>
      <c r="H2143" s="37" t="e">
        <f>G2143+G2144</f>
        <v>#DIV/0!</v>
      </c>
    </row>
    <row r="2144" spans="2:8">
      <c r="B2144" t="str">
        <f>GeneralInputPrices!B$6</f>
        <v xml:space="preserve">   - Phosphorus</v>
      </c>
      <c r="C2144" s="137" t="str">
        <f>GeneralInputPrices!$C$6</f>
        <v>pounds</v>
      </c>
      <c r="D2144" s="166">
        <f>GeneralInputPrices!$D$6</f>
        <v>0.36</v>
      </c>
      <c r="E2144" s="166">
        <f>'Inputs&amp;PricesbyCrop'!$Q$24*$C$2133</f>
        <v>0</v>
      </c>
      <c r="F2144" s="166">
        <f t="shared" si="181"/>
        <v>0</v>
      </c>
      <c r="G2144" s="163" t="e">
        <f t="shared" si="180"/>
        <v>#DIV/0!</v>
      </c>
    </row>
    <row r="2145" spans="2:7">
      <c r="B2145" t="str">
        <f>GeneralInputPrices!B$7</f>
        <v xml:space="preserve">   - Anhydrous Ammonia</v>
      </c>
      <c r="C2145" s="137" t="str">
        <f>GeneralInputPrices!$C$7</f>
        <v>pounds</v>
      </c>
      <c r="D2145" s="166">
        <f>GeneralInputPrices!$D$7</f>
        <v>0.21</v>
      </c>
      <c r="E2145" s="166">
        <f>'Inputs&amp;PricesbyCrop'!$Q$25*$C$2133</f>
        <v>0</v>
      </c>
      <c r="F2145" s="166">
        <f t="shared" si="181"/>
        <v>0</v>
      </c>
      <c r="G2145" s="163" t="e">
        <f t="shared" si="180"/>
        <v>#DIV/0!</v>
      </c>
    </row>
    <row r="2146" spans="2:7">
      <c r="B2146" t="str">
        <f>GeneralInputPrices!$B$8</f>
        <v xml:space="preserve">   - Trace Elements</v>
      </c>
      <c r="C2146" s="137" t="str">
        <f>GeneralInputPrices!$C$8</f>
        <v>pounds</v>
      </c>
      <c r="D2146" s="166">
        <f>GeneralInputPrices!$D$8</f>
        <v>0.24</v>
      </c>
      <c r="E2146" s="166">
        <f>'Inputs&amp;PricesbyCrop'!$Q$26*$C$2133</f>
        <v>0</v>
      </c>
      <c r="F2146" s="166">
        <f t="shared" si="181"/>
        <v>0</v>
      </c>
      <c r="G2146" s="163" t="e">
        <f t="shared" si="180"/>
        <v>#DIV/0!</v>
      </c>
    </row>
    <row r="2147" spans="2:7">
      <c r="B2147" t="str">
        <f>'Inputs&amp;PricesbyCrop'!$B$32</f>
        <v xml:space="preserve">   - Nitrogen</v>
      </c>
      <c r="C2147" s="137" t="str">
        <f>'Inputs&amp;PricesbyCrop'!$C$32</f>
        <v>acre</v>
      </c>
      <c r="D2147" s="166">
        <f>'Inputs&amp;PricesbyCrop'!$Q$32</f>
        <v>0</v>
      </c>
      <c r="E2147" s="166">
        <f>$C$2133</f>
        <v>0</v>
      </c>
      <c r="F2147" s="166">
        <f t="shared" si="181"/>
        <v>0</v>
      </c>
      <c r="G2147" s="163" t="e">
        <f t="shared" si="180"/>
        <v>#DIV/0!</v>
      </c>
    </row>
    <row r="2148" spans="2:7">
      <c r="B2148" t="str">
        <f>'Inputs&amp;PricesbyCrop'!$B$33</f>
        <v xml:space="preserve">   - Phosphorus</v>
      </c>
      <c r="C2148" s="137" t="str">
        <f>'Inputs&amp;PricesbyCrop'!$C$33</f>
        <v>acre</v>
      </c>
      <c r="D2148" s="166">
        <f>'Inputs&amp;PricesbyCrop'!$Q$33</f>
        <v>0</v>
      </c>
      <c r="E2148" s="166">
        <f>$C$2133</f>
        <v>0</v>
      </c>
      <c r="F2148" s="166">
        <f t="shared" si="181"/>
        <v>0</v>
      </c>
      <c r="G2148" s="163" t="e">
        <f t="shared" si="180"/>
        <v>#DIV/0!</v>
      </c>
    </row>
    <row r="2149" spans="2:7">
      <c r="B2149" t="str">
        <f>'Inputs&amp;PricesbyCrop'!$B$34</f>
        <v xml:space="preserve">   - Fertilizer - Anhydrous Applicator</v>
      </c>
      <c r="C2149" s="137" t="str">
        <f>'Inputs&amp;PricesbyCrop'!$C$34</f>
        <v>acre</v>
      </c>
      <c r="D2149" s="166">
        <f>'Inputs&amp;PricesbyCrop'!$Q$34</f>
        <v>0</v>
      </c>
      <c r="E2149" s="166">
        <f>$C$2133</f>
        <v>0</v>
      </c>
      <c r="F2149" s="166">
        <f t="shared" si="181"/>
        <v>0</v>
      </c>
      <c r="G2149" s="163" t="e">
        <f t="shared" si="180"/>
        <v>#DIV/0!</v>
      </c>
    </row>
    <row r="2150" spans="2:7">
      <c r="B2150" t="str">
        <f>GeneralInputPrices!$B$10</f>
        <v xml:space="preserve">   - Prowl</v>
      </c>
      <c r="C2150" s="137" t="str">
        <f>GeneralInputPrices!$C$10</f>
        <v>pints</v>
      </c>
      <c r="D2150" s="166">
        <f>GeneralInputPrices!$D$10</f>
        <v>6.0625</v>
      </c>
      <c r="E2150" s="166">
        <f>'Inputs&amp;PricesbyCrop'!$Q$27*$C$2133</f>
        <v>0</v>
      </c>
      <c r="F2150" s="166">
        <f t="shared" si="181"/>
        <v>0</v>
      </c>
      <c r="G2150" s="163" t="e">
        <f t="shared" si="180"/>
        <v>#DIV/0!</v>
      </c>
    </row>
    <row r="2151" spans="2:7">
      <c r="B2151" t="str">
        <f>GeneralInputPrices!$B$11</f>
        <v xml:space="preserve">   - Aim</v>
      </c>
      <c r="C2151" s="137" t="str">
        <f>GeneralInputPrices!$C$11</f>
        <v>ounces</v>
      </c>
      <c r="D2151" s="166">
        <f>GeneralInputPrices!$D$11</f>
        <v>5.9375</v>
      </c>
      <c r="E2151" s="166">
        <f>'Inputs&amp;PricesbyCrop'!$Q$28*$C$2133</f>
        <v>0</v>
      </c>
      <c r="F2151" s="166">
        <f t="shared" si="181"/>
        <v>0</v>
      </c>
      <c r="G2151" s="163" t="e">
        <f t="shared" si="180"/>
        <v>#DIV/0!</v>
      </c>
    </row>
    <row r="2152" spans="2:7">
      <c r="B2152" t="str">
        <f>GeneralInputPrices!$B$12</f>
        <v xml:space="preserve">   - Fusilade</v>
      </c>
      <c r="C2152" s="137" t="str">
        <f>GeneralInputPrices!$C$12</f>
        <v>ounces</v>
      </c>
      <c r="D2152" s="166">
        <f>GeneralInputPrices!$D$12</f>
        <v>1.25</v>
      </c>
      <c r="E2152" s="166">
        <f>'Inputs&amp;PricesbyCrop'!$Q$29*$C$2133</f>
        <v>0</v>
      </c>
      <c r="F2152" s="166">
        <f t="shared" si="181"/>
        <v>0</v>
      </c>
      <c r="G2152" s="163" t="e">
        <f t="shared" si="180"/>
        <v>#DIV/0!</v>
      </c>
    </row>
    <row r="2153" spans="2:7">
      <c r="B2153" t="str">
        <f>'Inputs&amp;PricesbyCrop'!$B$35</f>
        <v xml:space="preserve">   - Herbicides</v>
      </c>
      <c r="C2153" s="137" t="str">
        <f>'Inputs&amp;PricesbyCrop'!$C$35</f>
        <v>acre</v>
      </c>
      <c r="D2153" s="166">
        <f>'Inputs&amp;PricesbyCrop'!$Q$35</f>
        <v>0</v>
      </c>
      <c r="E2153" s="166">
        <f>$C$2133</f>
        <v>0</v>
      </c>
      <c r="F2153" s="166">
        <f t="shared" si="181"/>
        <v>0</v>
      </c>
      <c r="G2153" s="163" t="e">
        <f t="shared" si="180"/>
        <v>#DIV/0!</v>
      </c>
    </row>
    <row r="2154" spans="2:7">
      <c r="B2154" t="str">
        <f>'Inputs&amp;PricesbyCrop'!$B$36</f>
        <v xml:space="preserve">   - Herbicide - #2</v>
      </c>
      <c r="C2154" s="137" t="str">
        <f>'Inputs&amp;PricesbyCrop'!$C$36</f>
        <v>acre</v>
      </c>
      <c r="D2154" s="166">
        <f>'Inputs&amp;PricesbyCrop'!$Q$36</f>
        <v>0</v>
      </c>
      <c r="E2154" s="166">
        <f>$C$2133</f>
        <v>0</v>
      </c>
      <c r="F2154" s="166">
        <f t="shared" si="181"/>
        <v>0</v>
      </c>
      <c r="G2154" s="163" t="e">
        <f t="shared" si="180"/>
        <v>#DIV/0!</v>
      </c>
    </row>
    <row r="2155" spans="2:7">
      <c r="B2155" t="str">
        <f>'Inputs&amp;PricesbyCrop'!$B$37</f>
        <v xml:space="preserve">   - Insecticides</v>
      </c>
      <c r="C2155" s="137" t="str">
        <f>'Inputs&amp;PricesbyCrop'!$C$37</f>
        <v>acre</v>
      </c>
      <c r="D2155" s="166">
        <f>'Inputs&amp;PricesbyCrop'!$Q$37</f>
        <v>0</v>
      </c>
      <c r="E2155" s="166">
        <f>$C$2133</f>
        <v>0</v>
      </c>
      <c r="F2155" s="166">
        <f t="shared" si="181"/>
        <v>0</v>
      </c>
      <c r="G2155" s="163" t="e">
        <f t="shared" si="180"/>
        <v>#DIV/0!</v>
      </c>
    </row>
    <row r="2156" spans="2:7">
      <c r="B2156" t="str">
        <f>'Inputs&amp;PricesbyCrop'!$B$38</f>
        <v xml:space="preserve">   - Insecticide - #2</v>
      </c>
      <c r="C2156" s="137" t="str">
        <f>'Inputs&amp;PricesbyCrop'!$C$38</f>
        <v>acre</v>
      </c>
      <c r="D2156" s="166">
        <f>'Inputs&amp;PricesbyCrop'!$Q$38</f>
        <v>0</v>
      </c>
      <c r="E2156" s="166">
        <f>$C$2133</f>
        <v>0</v>
      </c>
      <c r="F2156" s="166">
        <f t="shared" si="181"/>
        <v>0</v>
      </c>
      <c r="G2156" s="163" t="e">
        <f t="shared" si="180"/>
        <v>#DIV/0!</v>
      </c>
    </row>
    <row r="2157" spans="2:7">
      <c r="B2157" t="str">
        <f>'Inputs&amp;PricesbyCrop'!$B$7</f>
        <v>Flood - Irrigation Water</v>
      </c>
      <c r="C2157" s="137" t="str">
        <f>'Inputs&amp;PricesbyCrop'!$C$7</f>
        <v>ac ft</v>
      </c>
      <c r="D2157" s="166">
        <f>GeneralInputPrices!$D$13</f>
        <v>55</v>
      </c>
      <c r="E2157" s="102">
        <f>('AcresYieldsPrices&amp;Water'!$E$15*'Inputs&amp;PricesbyCrop'!$Q$7)*$C2133</f>
        <v>0</v>
      </c>
      <c r="F2157" s="166">
        <f t="shared" si="181"/>
        <v>0</v>
      </c>
      <c r="G2157" s="163" t="e">
        <f t="shared" si="180"/>
        <v>#DIV/0!</v>
      </c>
    </row>
    <row r="2158" spans="2:7">
      <c r="B2158" t="str">
        <f>'Inputs&amp;PricesbyCrop'!$B$8</f>
        <v>Flood - Irrigation Labor</v>
      </c>
      <c r="C2158" s="137" t="str">
        <f>'Inputs&amp;PricesbyCrop'!$C$8</f>
        <v>hour</v>
      </c>
      <c r="D2158" s="166">
        <f>GeneralInputPrices!$D$28</f>
        <v>14.55</v>
      </c>
      <c r="E2158" s="166">
        <f>('AcresYieldsPrices&amp;Water'!$E$15*'Inputs&amp;PricesbyCrop'!$Q$8)*$C2133</f>
        <v>0</v>
      </c>
      <c r="F2158" s="166">
        <f t="shared" si="181"/>
        <v>0</v>
      </c>
      <c r="G2158" s="163" t="e">
        <f t="shared" si="180"/>
        <v>#DIV/0!</v>
      </c>
    </row>
    <row r="2159" spans="2:7">
      <c r="B2159" t="str">
        <f>GeneralInputPrices!$B$18</f>
        <v xml:space="preserve">   - Annual Repairs &amp; Maintenance</v>
      </c>
      <c r="C2159" s="453" t="str">
        <f>GeneralInputPrices!$C$18</f>
        <v>acre</v>
      </c>
      <c r="D2159" s="166">
        <f>GeneralInputPrices!$D$18</f>
        <v>3</v>
      </c>
      <c r="E2159" s="166">
        <f>'AcresYieldsPrices&amp;Water'!$E$15*$C2133</f>
        <v>0</v>
      </c>
      <c r="F2159" s="166">
        <f t="shared" si="181"/>
        <v>0</v>
      </c>
      <c r="G2159" s="163" t="e">
        <f t="shared" si="180"/>
        <v>#DIV/0!</v>
      </c>
    </row>
    <row r="2160" spans="2:7">
      <c r="B2160" t="str">
        <f>'Inputs&amp;PricesbyCrop'!$B$9</f>
        <v>Drip-tape - Irrigation Water</v>
      </c>
      <c r="C2160" s="137" t="str">
        <f>'Inputs&amp;PricesbyCrop'!$C$9</f>
        <v>ac ft</v>
      </c>
      <c r="D2160" s="166">
        <f>GeneralInputPrices!$D$13</f>
        <v>55</v>
      </c>
      <c r="E2160" s="166">
        <f>('AcresYieldsPrices&amp;Water'!$F$15*'Inputs&amp;PricesbyCrop'!$Q$9)*$C2133</f>
        <v>0</v>
      </c>
      <c r="F2160" s="166">
        <f t="shared" si="181"/>
        <v>0</v>
      </c>
      <c r="G2160" s="163" t="e">
        <f t="shared" si="180"/>
        <v>#DIV/0!</v>
      </c>
    </row>
    <row r="2161" spans="2:7">
      <c r="B2161" t="str">
        <f>'Inputs&amp;PricesbyCrop'!$B$10</f>
        <v>Drip-tape - Irrigation Labor</v>
      </c>
      <c r="C2161" s="137" t="str">
        <f>'Inputs&amp;PricesbyCrop'!$C$10</f>
        <v>hour</v>
      </c>
      <c r="D2161" s="166">
        <f>GeneralInputPrices!$D$28</f>
        <v>14.55</v>
      </c>
      <c r="E2161" s="166">
        <f>('AcresYieldsPrices&amp;Water'!$F$15*'Inputs&amp;PricesbyCrop'!$Q$10)*$C2133</f>
        <v>0</v>
      </c>
      <c r="F2161" s="166">
        <f t="shared" si="181"/>
        <v>0</v>
      </c>
      <c r="G2161" s="163" t="e">
        <f t="shared" si="180"/>
        <v>#DIV/0!</v>
      </c>
    </row>
    <row r="2162" spans="2:7">
      <c r="B2162" t="str">
        <f>GeneralInputPrices!$B$22</f>
        <v xml:space="preserve">   - Annual Repairs &amp; Maintenance</v>
      </c>
      <c r="C2162" s="453" t="str">
        <f>GeneralInputPrices!$C$22</f>
        <v>acre</v>
      </c>
      <c r="D2162" s="166">
        <f>GeneralInputPrices!$D$22</f>
        <v>7.5</v>
      </c>
      <c r="E2162" s="166">
        <f>'AcresYieldsPrices&amp;Water'!$F$15*C2133</f>
        <v>0</v>
      </c>
      <c r="F2162" s="166">
        <f t="shared" si="181"/>
        <v>0</v>
      </c>
      <c r="G2162" s="163" t="e">
        <f t="shared" si="180"/>
        <v>#DIV/0!</v>
      </c>
    </row>
    <row r="2163" spans="2:7">
      <c r="B2163" t="str">
        <f>'Inputs&amp;PricesbyCrop'!$B$11</f>
        <v>Sprinkler - Irrigation Water</v>
      </c>
      <c r="C2163" s="137" t="str">
        <f>'Inputs&amp;PricesbyCrop'!$C$11</f>
        <v>ac ft</v>
      </c>
      <c r="D2163" s="166">
        <f>GeneralInputPrices!$D$13</f>
        <v>55</v>
      </c>
      <c r="E2163" s="166">
        <f>('AcresYieldsPrices&amp;Water'!$G$15*'Inputs&amp;PricesbyCrop'!$Q$11)*$C2133</f>
        <v>0</v>
      </c>
      <c r="F2163" s="166">
        <f t="shared" si="181"/>
        <v>0</v>
      </c>
      <c r="G2163" s="163" t="e">
        <f t="shared" si="180"/>
        <v>#DIV/0!</v>
      </c>
    </row>
    <row r="2164" spans="2:7">
      <c r="B2164" t="str">
        <f>'Inputs&amp;PricesbyCrop'!$B$12</f>
        <v>Sprinkler - Irrigation Labor</v>
      </c>
      <c r="C2164" s="137" t="str">
        <f>'Inputs&amp;PricesbyCrop'!$C$12</f>
        <v>hour</v>
      </c>
      <c r="D2164" s="166">
        <f>GeneralInputPrices!$D$28</f>
        <v>14.55</v>
      </c>
      <c r="E2164" s="166">
        <f>('AcresYieldsPrices&amp;Water'!$G$15*'Inputs&amp;PricesbyCrop'!$Q$12)*$C2133</f>
        <v>0</v>
      </c>
      <c r="F2164" s="166">
        <f t="shared" si="181"/>
        <v>0</v>
      </c>
      <c r="G2164" s="163" t="e">
        <f t="shared" si="180"/>
        <v>#DIV/0!</v>
      </c>
    </row>
    <row r="2165" spans="2:7">
      <c r="B2165" t="str">
        <f>GeneralInputPrices!$B$26</f>
        <v xml:space="preserve">   - Annual Repairs &amp; Maintenance</v>
      </c>
      <c r="C2165" s="453" t="str">
        <f>GeneralInputPrices!$C$26</f>
        <v>acre</v>
      </c>
      <c r="D2165" s="166">
        <f>GeneralInputPrices!$D$26</f>
        <v>15</v>
      </c>
      <c r="E2165" s="166">
        <f>'AcresYieldsPrices&amp;Water'!$G$15*$C2133</f>
        <v>0</v>
      </c>
      <c r="F2165" s="166">
        <f t="shared" si="181"/>
        <v>0</v>
      </c>
      <c r="G2165" s="163" t="e">
        <f t="shared" si="180"/>
        <v>#DIV/0!</v>
      </c>
    </row>
    <row r="2166" spans="2:7">
      <c r="B2166" t="str">
        <f>CustomOperations!$B$37</f>
        <v>Harvest, Custom</v>
      </c>
      <c r="C2166" s="137" t="str">
        <f>CustomOperations!$C$37</f>
        <v>acre</v>
      </c>
      <c r="D2166" s="166">
        <f>CustomOperations!$Q$37</f>
        <v>25</v>
      </c>
      <c r="E2166" s="166">
        <f>CustomOperations!$Q$38*$C$2133</f>
        <v>0</v>
      </c>
      <c r="F2166" s="166">
        <f t="shared" si="181"/>
        <v>0</v>
      </c>
      <c r="G2166" s="163" t="e">
        <f t="shared" si="180"/>
        <v>#DIV/0!</v>
      </c>
    </row>
    <row r="2167" spans="2:7">
      <c r="B2167" t="str">
        <f>CustomOperations!$B$39</f>
        <v>Hauling, Custom</v>
      </c>
      <c r="C2167" s="137" t="str">
        <f>CustomOperations!$C$39</f>
        <v>mile</v>
      </c>
      <c r="D2167" s="166">
        <f>CustomOperations!$Q$39</f>
        <v>0</v>
      </c>
      <c r="E2167" s="166">
        <f>CustomOperations!$Q$40*$C$2133</f>
        <v>0</v>
      </c>
      <c r="F2167" s="166">
        <f t="shared" si="181"/>
        <v>0</v>
      </c>
      <c r="G2167" s="163" t="e">
        <f t="shared" si="180"/>
        <v>#DIV/0!</v>
      </c>
    </row>
    <row r="2168" spans="2:7">
      <c r="B2168" t="str">
        <f>CustomOperations!$B$41</f>
        <v>Gin Cotton/Drying/Swathing, Custom</v>
      </c>
      <c r="C2168" s="137" t="str">
        <f>CustomOperations!$C$41</f>
        <v>bale</v>
      </c>
      <c r="D2168" s="166">
        <f>CustomOperations!$Q$41</f>
        <v>0</v>
      </c>
      <c r="E2168" s="166">
        <f>CustomOperations!$Q$42*$C$2133</f>
        <v>0</v>
      </c>
      <c r="F2168" s="166">
        <f t="shared" si="181"/>
        <v>0</v>
      </c>
      <c r="G2168" s="163" t="e">
        <f t="shared" si="180"/>
        <v>#DIV/0!</v>
      </c>
    </row>
    <row r="2169" spans="2:7">
      <c r="B2169" t="str">
        <f>CustomOperations!$B$24</f>
        <v>Drill, Custom</v>
      </c>
      <c r="C2169" s="137" t="str">
        <f>CustomOperations!$C$24</f>
        <v>acre</v>
      </c>
      <c r="D2169" s="166">
        <f>CustomOperations!$Q$24</f>
        <v>0</v>
      </c>
      <c r="E2169" s="166">
        <f>CustomOperations!$Q$25*$C$2133</f>
        <v>0</v>
      </c>
      <c r="F2169" s="166">
        <f t="shared" si="181"/>
        <v>0</v>
      </c>
      <c r="G2169" s="163" t="e">
        <f t="shared" si="180"/>
        <v>#DIV/0!</v>
      </c>
    </row>
    <row r="2170" spans="2:7">
      <c r="B2170" t="str">
        <f>CustomOperations!$B$26</f>
        <v>Row Planter, Custom</v>
      </c>
      <c r="C2170" s="137" t="str">
        <f>CustomOperations!$C$26</f>
        <v>acre</v>
      </c>
      <c r="D2170" s="166">
        <f>CustomOperations!$Q$26</f>
        <v>0</v>
      </c>
      <c r="E2170" s="166">
        <f>CustomOperations!$Q$27*$C$2133</f>
        <v>0</v>
      </c>
      <c r="F2170" s="166">
        <f t="shared" si="181"/>
        <v>0</v>
      </c>
      <c r="G2170" s="163" t="e">
        <f t="shared" si="180"/>
        <v>#DIV/0!</v>
      </c>
    </row>
    <row r="2171" spans="2:7">
      <c r="B2171" t="str">
        <f>CustomOperations!$B$28</f>
        <v>Row Cultivator, Custom</v>
      </c>
      <c r="C2171" s="137" t="str">
        <f>CustomOperations!$C$28</f>
        <v>acre</v>
      </c>
      <c r="D2171" s="166">
        <f>CustomOperations!$Q$28</f>
        <v>0</v>
      </c>
      <c r="E2171" s="166">
        <f>CustomOperations!$Q$29*$C$2133</f>
        <v>0</v>
      </c>
      <c r="F2171" s="166">
        <f t="shared" si="181"/>
        <v>0</v>
      </c>
      <c r="G2171" s="163" t="e">
        <f t="shared" si="180"/>
        <v>#DIV/0!</v>
      </c>
    </row>
    <row r="2172" spans="2:7">
      <c r="B2172" t="str">
        <f>CustomOperations!$B$5</f>
        <v>V Ripper, Custom</v>
      </c>
      <c r="C2172" s="137" t="str">
        <f>CustomOperations!$C$5</f>
        <v>acre</v>
      </c>
      <c r="D2172" s="166">
        <f>CustomOperations!$Q$5</f>
        <v>44.25</v>
      </c>
      <c r="E2172" s="166">
        <f>CustomOperations!$Q$6*$C$2133</f>
        <v>0</v>
      </c>
      <c r="F2172" s="166">
        <f t="shared" si="181"/>
        <v>0</v>
      </c>
      <c r="G2172" s="163" t="e">
        <f t="shared" si="180"/>
        <v>#DIV/0!</v>
      </c>
    </row>
    <row r="2173" spans="2:7">
      <c r="B2173" t="str">
        <f>CustomOperations!$B$7</f>
        <v>Disk, Custom</v>
      </c>
      <c r="C2173" s="137" t="str">
        <f>CustomOperations!$C$7</f>
        <v>acre</v>
      </c>
      <c r="D2173" s="166">
        <f>CustomOperations!$Q$7</f>
        <v>0</v>
      </c>
      <c r="E2173" s="166">
        <f>CustomOperations!$Q$8*$C$2133</f>
        <v>0</v>
      </c>
      <c r="F2173" s="166">
        <f t="shared" si="181"/>
        <v>0</v>
      </c>
      <c r="G2173" s="163" t="e">
        <f t="shared" si="180"/>
        <v>#DIV/0!</v>
      </c>
    </row>
    <row r="2174" spans="2:7">
      <c r="B2174" t="str">
        <f>CustomOperations!$B$9</f>
        <v>Drag, Custom</v>
      </c>
      <c r="C2174" s="137" t="str">
        <f>CustomOperations!$C$9</f>
        <v>acre</v>
      </c>
      <c r="D2174" s="166">
        <f>CustomOperations!$Q$9</f>
        <v>0</v>
      </c>
      <c r="E2174" s="166">
        <f>CustomOperations!$Q$10*$C$2133</f>
        <v>0</v>
      </c>
      <c r="F2174" s="166">
        <f t="shared" si="181"/>
        <v>0</v>
      </c>
      <c r="G2174" s="163" t="e">
        <f t="shared" si="180"/>
        <v>#DIV/0!</v>
      </c>
    </row>
    <row r="2175" spans="2:7">
      <c r="B2175" t="str">
        <f>CustomOperations!$B$11</f>
        <v>Chisel, Custom</v>
      </c>
      <c r="C2175" s="137" t="str">
        <f>CustomOperations!$C$11</f>
        <v>acre</v>
      </c>
      <c r="D2175" s="166">
        <f>CustomOperations!$Q$11</f>
        <v>0</v>
      </c>
      <c r="E2175" s="166">
        <f>CustomOperations!$Q$12*$C$2133</f>
        <v>0</v>
      </c>
      <c r="F2175" s="166">
        <f t="shared" si="181"/>
        <v>0</v>
      </c>
      <c r="G2175" s="163" t="e">
        <f t="shared" si="180"/>
        <v>#DIV/0!</v>
      </c>
    </row>
    <row r="2176" spans="2:7">
      <c r="B2176" t="str">
        <f>CustomOperations!$B$13</f>
        <v>Moldboard Plow, Custom</v>
      </c>
      <c r="C2176" s="137" t="str">
        <f>CustomOperations!$C$13</f>
        <v>acre</v>
      </c>
      <c r="D2176" s="166">
        <f>CustomOperations!$Q$13</f>
        <v>0</v>
      </c>
      <c r="E2176" s="166">
        <f>CustomOperations!$Q$14*$C$2133</f>
        <v>0</v>
      </c>
      <c r="F2176" s="166">
        <f t="shared" si="181"/>
        <v>0</v>
      </c>
      <c r="G2176" s="163" t="e">
        <f t="shared" si="180"/>
        <v>#DIV/0!</v>
      </c>
    </row>
    <row r="2177" spans="2:7">
      <c r="B2177" t="str">
        <f>CustomOperations!$B$15</f>
        <v>Landplane, Custom</v>
      </c>
      <c r="C2177" s="137" t="str">
        <f>CustomOperations!$C$15</f>
        <v>acre</v>
      </c>
      <c r="D2177" s="166">
        <f>CustomOperations!$Q$15</f>
        <v>17.940000000000001</v>
      </c>
      <c r="E2177" s="166">
        <f>CustomOperations!$Q$16*$C$2133</f>
        <v>0</v>
      </c>
      <c r="F2177" s="166">
        <f t="shared" si="181"/>
        <v>0</v>
      </c>
      <c r="G2177" s="163" t="e">
        <f t="shared" si="180"/>
        <v>#DIV/0!</v>
      </c>
    </row>
    <row r="2178" spans="2:7">
      <c r="B2178" t="str">
        <f>CustomOperations!$B$17</f>
        <v>Float, Custom</v>
      </c>
      <c r="C2178" s="137" t="str">
        <f>CustomOperations!$C$17</f>
        <v>acre</v>
      </c>
      <c r="D2178" s="166">
        <f>CustomOperations!$Q$17</f>
        <v>17.940000000000001</v>
      </c>
      <c r="E2178" s="166">
        <f>CustomOperations!$Q$18*$C$2133</f>
        <v>0</v>
      </c>
      <c r="F2178" s="166">
        <f t="shared" si="181"/>
        <v>0</v>
      </c>
      <c r="G2178" s="163" t="e">
        <f t="shared" si="180"/>
        <v>#DIV/0!</v>
      </c>
    </row>
    <row r="2179" spans="2:7">
      <c r="B2179" t="str">
        <f>CustomOperations!$B$19</f>
        <v>Lister, Custom</v>
      </c>
      <c r="C2179" s="137" t="str">
        <f>CustomOperations!$C$19</f>
        <v>acre</v>
      </c>
      <c r="D2179" s="166">
        <f>CustomOperations!$Q$19</f>
        <v>20.38</v>
      </c>
      <c r="E2179" s="166">
        <f>CustomOperations!$Q$20*$C$2133</f>
        <v>0</v>
      </c>
      <c r="F2179" s="166">
        <f t="shared" si="181"/>
        <v>0</v>
      </c>
      <c r="G2179" s="163" t="e">
        <f t="shared" si="180"/>
        <v>#DIV/0!</v>
      </c>
    </row>
    <row r="2180" spans="2:7">
      <c r="B2180" t="str">
        <f>CustomOperations!$B$21</f>
        <v>Bed Shape, Custom</v>
      </c>
      <c r="C2180" s="137" t="str">
        <f>CustomOperations!$C$21</f>
        <v>acre</v>
      </c>
      <c r="D2180" s="166">
        <f>CustomOperations!$Q$21</f>
        <v>13.69</v>
      </c>
      <c r="E2180" s="166">
        <f>CustomOperations!$Q$22*$C$2133</f>
        <v>0</v>
      </c>
      <c r="F2180" s="166">
        <f t="shared" si="181"/>
        <v>0</v>
      </c>
      <c r="G2180" s="163" t="e">
        <f t="shared" si="180"/>
        <v>#DIV/0!</v>
      </c>
    </row>
    <row r="2181" spans="2:7">
      <c r="B2181" t="str">
        <f>CustomOperations!$B$32</f>
        <v>Fertilizer Spreader, Custom</v>
      </c>
      <c r="C2181" s="137" t="str">
        <f>CustomOperations!$C$32</f>
        <v>acre</v>
      </c>
      <c r="D2181" s="166">
        <f>CustomOperations!$Q$32</f>
        <v>10.08</v>
      </c>
      <c r="E2181" s="166">
        <f>CustomOperations!$Q$33*$C$2133</f>
        <v>0</v>
      </c>
      <c r="F2181" s="166">
        <f>D2181*E2181</f>
        <v>0</v>
      </c>
      <c r="G2181" s="163" t="e">
        <f t="shared" si="180"/>
        <v>#DIV/0!</v>
      </c>
    </row>
    <row r="2182" spans="2:7">
      <c r="B2182" t="str">
        <f>CustomOperations!$B$34</f>
        <v>Laser Landplaning, Custom</v>
      </c>
      <c r="C2182" s="137" t="str">
        <f>CustomOperations!$C$34</f>
        <v>acre</v>
      </c>
      <c r="D2182" s="166">
        <f>CustomOperations!$Q$34</f>
        <v>0</v>
      </c>
      <c r="E2182" s="166">
        <f>CustomOperations!$Q$35*$C$2133</f>
        <v>0</v>
      </c>
      <c r="F2182" s="166">
        <f>D2182*E2182</f>
        <v>0</v>
      </c>
      <c r="G2182" s="163" t="e">
        <f t="shared" si="180"/>
        <v>#DIV/0!</v>
      </c>
    </row>
    <row r="2183" spans="2:7">
      <c r="B2183" t="str">
        <f>CustomOperations!$B$30</f>
        <v>Boom Sprayer, Custom</v>
      </c>
      <c r="C2183" s="137" t="str">
        <f>CustomOperations!$C$30</f>
        <v>acre</v>
      </c>
      <c r="D2183" s="166">
        <f>CustomOperations!$Q$30</f>
        <v>10.050000000000001</v>
      </c>
      <c r="E2183" s="166">
        <f>CustomOperations!$Q$31*$C$2133</f>
        <v>0</v>
      </c>
      <c r="F2183" s="166">
        <f t="shared" ref="F2183:F2205" si="182">D2183*E2183</f>
        <v>0</v>
      </c>
      <c r="G2183" s="163" t="e">
        <f t="shared" si="180"/>
        <v>#DIV/0!</v>
      </c>
    </row>
    <row r="2184" spans="2:7">
      <c r="B2184" s="463" t="str">
        <f>TillageOperations!$B$7&amp;" (Repairs, maint., fuel &amp; lube)"</f>
        <v>V-Ripper (Repairs, maint., fuel &amp; lube)</v>
      </c>
      <c r="C2184" s="464" t="s">
        <v>157</v>
      </c>
      <c r="D2184" s="166">
        <f>PubMachineryTables!$AM$49+PubMachineryTables!$AN$49</f>
        <v>30.16333889180672</v>
      </c>
      <c r="E2184" s="166">
        <f>TillageOperations!$P$7*$C$2133</f>
        <v>0</v>
      </c>
      <c r="F2184" s="166">
        <f t="shared" si="182"/>
        <v>0</v>
      </c>
      <c r="G2184" s="163" t="e">
        <f t="shared" si="180"/>
        <v>#DIV/0!</v>
      </c>
    </row>
    <row r="2185" spans="2:7">
      <c r="B2185" s="463" t="str">
        <f>TillageOperations!$B$7&amp;" (Labor)"</f>
        <v>V-Ripper (Labor)</v>
      </c>
      <c r="C2185" s="464" t="s">
        <v>157</v>
      </c>
      <c r="D2185" s="166">
        <f>PubMachineryTables!$AL$49</f>
        <v>13.529312500000001</v>
      </c>
      <c r="E2185" s="166">
        <f>TillageOperations!$P$7*$C$2133</f>
        <v>0</v>
      </c>
      <c r="F2185" s="166">
        <f t="shared" si="182"/>
        <v>0</v>
      </c>
      <c r="G2185" s="163" t="e">
        <f t="shared" si="180"/>
        <v>#DIV/0!</v>
      </c>
    </row>
    <row r="2186" spans="2:7">
      <c r="B2186" s="463" t="str">
        <f>TillageOperations!$B$8&amp;" (Repairs, maint., fuel &amp; lube)"</f>
        <v>Offset Disk (Repairs, maint., fuel &amp; lube)</v>
      </c>
      <c r="C2186" s="464" t="s">
        <v>157</v>
      </c>
      <c r="D2186" s="166">
        <f>PubMachineryTables!$AN$50+PubMachineryTables!$AM$50</f>
        <v>10.332318567950058</v>
      </c>
      <c r="E2186" s="166">
        <f>TillageOperations!$P$8*$C$2133</f>
        <v>0</v>
      </c>
      <c r="F2186" s="166">
        <f t="shared" si="182"/>
        <v>0</v>
      </c>
      <c r="G2186" s="163" t="e">
        <f t="shared" si="180"/>
        <v>#DIV/0!</v>
      </c>
    </row>
    <row r="2187" spans="2:7">
      <c r="B2187" s="463" t="str">
        <f>TillageOperations!$B$8&amp;" (Labor)"</f>
        <v>Offset Disk (Labor)</v>
      </c>
      <c r="C2187" s="464" t="s">
        <v>157</v>
      </c>
      <c r="D2187" s="166">
        <f>PubMachineryTables!$AL$50</f>
        <v>4.7161002178649252</v>
      </c>
      <c r="E2187" s="166">
        <f>TillageOperations!$P$8*$C$2133</f>
        <v>0</v>
      </c>
      <c r="F2187" s="166">
        <f t="shared" si="182"/>
        <v>0</v>
      </c>
      <c r="G2187" s="163" t="e">
        <f t="shared" si="180"/>
        <v>#DIV/0!</v>
      </c>
    </row>
    <row r="2188" spans="2:7">
      <c r="B2188" s="463" t="str">
        <f>TillageOperations!$B$9&amp;" (Repairs, maint., fuel &amp; lube)"</f>
        <v>Drag (Repairs, maint., fuel &amp; lube)</v>
      </c>
      <c r="C2188" s="464" t="s">
        <v>157</v>
      </c>
      <c r="D2188" s="166">
        <f>PubMachineryTables!$AN$51+PubMachineryTables!$AM$51</f>
        <v>2.4803921568627447</v>
      </c>
      <c r="E2188" s="166">
        <f>TillageOperations!$P$9*$C$2133</f>
        <v>0</v>
      </c>
      <c r="F2188" s="166">
        <f t="shared" si="182"/>
        <v>0</v>
      </c>
      <c r="G2188" s="163" t="e">
        <f t="shared" si="180"/>
        <v>#DIV/0!</v>
      </c>
    </row>
    <row r="2189" spans="2:7">
      <c r="B2189" s="463" t="str">
        <f>TillageOperations!$B$9&amp;" (Labor)"</f>
        <v>Drag (Labor)</v>
      </c>
      <c r="C2189" s="464" t="s">
        <v>157</v>
      </c>
      <c r="D2189" s="166">
        <f>PubMachineryTables!$AL$51</f>
        <v>2.1222450980392158</v>
      </c>
      <c r="E2189" s="166">
        <f>TillageOperations!$P$9*$C$2133</f>
        <v>0</v>
      </c>
      <c r="F2189" s="166">
        <f t="shared" si="182"/>
        <v>0</v>
      </c>
      <c r="G2189" s="163" t="e">
        <f t="shared" si="180"/>
        <v>#DIV/0!</v>
      </c>
    </row>
    <row r="2190" spans="2:7">
      <c r="B2190" s="463" t="str">
        <f>TillageOperations!$B$10&amp;" (Repairs, maint., fuel &amp; lube)"</f>
        <v>Chisel (Repairs, maint., fuel &amp; lube)</v>
      </c>
      <c r="C2190" s="464" t="s">
        <v>157</v>
      </c>
      <c r="D2190" s="166">
        <f>PubMachineryTables!$AN$52+PubMachineryTables!$AM$52</f>
        <v>8.5884820270019766</v>
      </c>
      <c r="E2190" s="166">
        <f>TillageOperations!$P$10*$C$2133</f>
        <v>0</v>
      </c>
      <c r="F2190" s="166">
        <f t="shared" si="182"/>
        <v>0</v>
      </c>
      <c r="G2190" s="163" t="e">
        <f t="shared" si="180"/>
        <v>#DIV/0!</v>
      </c>
    </row>
    <row r="2191" spans="2:7">
      <c r="B2191" s="463" t="str">
        <f>TillageOperations!$B$10&amp;" (Labor)"</f>
        <v>Chisel (Labor)</v>
      </c>
      <c r="C2191" s="464" t="s">
        <v>157</v>
      </c>
      <c r="D2191" s="166">
        <f>PubMachineryTables!$AL$52</f>
        <v>3.9792095588235301</v>
      </c>
      <c r="E2191" s="166">
        <f>TillageOperations!$P$10*$C$2133</f>
        <v>0</v>
      </c>
      <c r="F2191" s="166">
        <f t="shared" si="182"/>
        <v>0</v>
      </c>
      <c r="G2191" s="163" t="e">
        <f t="shared" si="180"/>
        <v>#DIV/0!</v>
      </c>
    </row>
    <row r="2192" spans="2:7">
      <c r="B2192" s="463" t="str">
        <f>TillageOperations!$B$11&amp;" (Repairs, maint., fuel &amp; lube)"</f>
        <v>Moldboard Plow (Repairs, maint., fuel &amp; lube)</v>
      </c>
      <c r="C2192" s="464" t="s">
        <v>157</v>
      </c>
      <c r="D2192" s="166">
        <f>PubMachineryTables!$AN$53+PubMachineryTables!$AM$53</f>
        <v>14.457142857142856</v>
      </c>
      <c r="E2192" s="166">
        <f>TillageOperations!$P$11*$C$2133</f>
        <v>0</v>
      </c>
      <c r="F2192" s="166">
        <f t="shared" si="182"/>
        <v>0</v>
      </c>
      <c r="G2192" s="163" t="e">
        <f t="shared" si="180"/>
        <v>#DIV/0!</v>
      </c>
    </row>
    <row r="2193" spans="2:7">
      <c r="B2193" s="463" t="str">
        <f>TillageOperations!$B$11&amp;" (Labor)"</f>
        <v>Moldboard Plow (Labor)</v>
      </c>
      <c r="C2193" s="464" t="s">
        <v>157</v>
      </c>
      <c r="D2193" s="166">
        <f>PubMachineryTables!$AL$53</f>
        <v>7.7310357142857153</v>
      </c>
      <c r="E2193" s="166">
        <f>TillageOperations!$P$11*$C$2133</f>
        <v>0</v>
      </c>
      <c r="F2193" s="166">
        <f t="shared" si="182"/>
        <v>0</v>
      </c>
      <c r="G2193" s="163" t="e">
        <f t="shared" si="180"/>
        <v>#DIV/0!</v>
      </c>
    </row>
    <row r="2194" spans="2:7">
      <c r="B2194" s="463" t="str">
        <f>TillageOperations!$B$12&amp;" (Repairs, maint., fuel &amp; lube)"</f>
        <v>Cultivator (Repairs, maint., fuel &amp; lube)</v>
      </c>
      <c r="C2194" s="464" t="s">
        <v>157</v>
      </c>
      <c r="D2194" s="166">
        <f>PubMachineryTables!$AN$54+PubMachineryTables!$AM$54</f>
        <v>5.7828571428571429</v>
      </c>
      <c r="E2194" s="166">
        <f>TillageOperations!$P$12*$C$2133</f>
        <v>0</v>
      </c>
      <c r="F2194" s="166">
        <f t="shared" si="182"/>
        <v>0</v>
      </c>
      <c r="G2194" s="163" t="e">
        <f t="shared" si="180"/>
        <v>#DIV/0!</v>
      </c>
    </row>
    <row r="2195" spans="2:7">
      <c r="B2195" s="463" t="str">
        <f>TillageOperations!$B$12&amp;" (Labor)"</f>
        <v>Cultivator (Labor)</v>
      </c>
      <c r="C2195" s="464" t="s">
        <v>157</v>
      </c>
      <c r="D2195" s="166">
        <f>PubMachineryTables!$AL$54</f>
        <v>3.0924142857142862</v>
      </c>
      <c r="E2195" s="166">
        <f>TillageOperations!$P$12*$C$2133</f>
        <v>0</v>
      </c>
      <c r="F2195" s="166">
        <f t="shared" si="182"/>
        <v>0</v>
      </c>
      <c r="G2195" s="163" t="e">
        <f t="shared" si="180"/>
        <v>#DIV/0!</v>
      </c>
    </row>
    <row r="2196" spans="2:7">
      <c r="B2196" s="463" t="str">
        <f>TillageOperations!$B$13&amp;" (Repairs, maint., fuel &amp; lube)"</f>
        <v>Landplane (Repairs, maint., fuel &amp; lube)</v>
      </c>
      <c r="C2196" s="464" t="s">
        <v>157</v>
      </c>
      <c r="D2196" s="166">
        <f>PubMachineryTables!$AN$55+PubMachineryTables!$AM$55</f>
        <v>8.0445253976590632</v>
      </c>
      <c r="E2196" s="166">
        <f>TillageOperations!$P$13*$C$2133</f>
        <v>0</v>
      </c>
      <c r="F2196" s="166">
        <f t="shared" si="182"/>
        <v>0</v>
      </c>
      <c r="G2196" s="163" t="e">
        <f t="shared" si="180"/>
        <v>#DIV/0!</v>
      </c>
    </row>
    <row r="2197" spans="2:7">
      <c r="B2197" s="463" t="str">
        <f>TillageOperations!$B$13&amp;" (Labor)"</f>
        <v>Landplane (Labor)</v>
      </c>
      <c r="C2197" s="464" t="s">
        <v>157</v>
      </c>
      <c r="D2197" s="166">
        <f>PubMachineryTables!$AL$55</f>
        <v>3.8655178571428577</v>
      </c>
      <c r="E2197" s="166">
        <f>TillageOperations!$P$13*$C$2133</f>
        <v>0</v>
      </c>
      <c r="F2197" s="166">
        <f t="shared" si="182"/>
        <v>0</v>
      </c>
      <c r="G2197" s="163" t="e">
        <f t="shared" si="180"/>
        <v>#DIV/0!</v>
      </c>
    </row>
    <row r="2198" spans="2:7">
      <c r="B2198" s="463" t="str">
        <f>TillageOperations!$B$14&amp;" (Repairs, maint., fuel &amp; lube)"</f>
        <v>Float (Repairs, maint., fuel &amp; lube)</v>
      </c>
      <c r="C2198" s="464" t="s">
        <v>157</v>
      </c>
      <c r="D2198" s="166">
        <f>PubMachineryTables!$AN$56+PubMachineryTables!$AM$56</f>
        <v>5.1632653061224492</v>
      </c>
      <c r="E2198" s="166">
        <f>TillageOperations!$P$14*$C$2133</f>
        <v>0</v>
      </c>
      <c r="F2198" s="166">
        <f t="shared" si="182"/>
        <v>0</v>
      </c>
      <c r="G2198" s="163" t="e">
        <f t="shared" si="180"/>
        <v>#DIV/0!</v>
      </c>
    </row>
    <row r="2199" spans="2:7">
      <c r="B2199" s="463" t="str">
        <f>TillageOperations!$B$14&amp;" (Labor)"</f>
        <v>Float (Labor)</v>
      </c>
      <c r="C2199" s="464" t="s">
        <v>157</v>
      </c>
      <c r="D2199" s="166">
        <f>PubMachineryTables!$AL$56</f>
        <v>4.4177346938775521</v>
      </c>
      <c r="E2199" s="166">
        <f>TillageOperations!$P$14*$C$2133</f>
        <v>0</v>
      </c>
      <c r="F2199" s="166">
        <f t="shared" si="182"/>
        <v>0</v>
      </c>
      <c r="G2199" s="163" t="e">
        <f t="shared" si="180"/>
        <v>#DIV/0!</v>
      </c>
    </row>
    <row r="2200" spans="2:7">
      <c r="B2200" s="463" t="str">
        <f>TillageOperations!$B$15&amp;" (Repairs, maint., fuel &amp; lube)"</f>
        <v>Lister (Repairs, maint., fuel &amp; lube)</v>
      </c>
      <c r="C2200" s="464" t="s">
        <v>157</v>
      </c>
      <c r="D2200" s="166">
        <f>PubMachineryTables!$AN$57+PubMachineryTables!$AM$57</f>
        <v>11.879642797844287</v>
      </c>
      <c r="E2200" s="166">
        <f>TillageOperations!$P$15*$C$2133</f>
        <v>0</v>
      </c>
      <c r="F2200" s="166">
        <f t="shared" si="182"/>
        <v>0</v>
      </c>
      <c r="G2200" s="163" t="e">
        <f t="shared" si="180"/>
        <v>#DIV/0!</v>
      </c>
    </row>
    <row r="2201" spans="2:7">
      <c r="B2201" s="463" t="str">
        <f>TillageOperations!$B$15&amp;" (Labor)"</f>
        <v>Lister (Labor)</v>
      </c>
      <c r="C2201" s="464" t="s">
        <v>157</v>
      </c>
      <c r="D2201" s="166">
        <f>PubMachineryTables!$AL$57</f>
        <v>6.1848285714285725</v>
      </c>
      <c r="E2201" s="166">
        <f>TillageOperations!$P$15*$C$2133</f>
        <v>0</v>
      </c>
      <c r="F2201" s="166">
        <f t="shared" si="182"/>
        <v>0</v>
      </c>
      <c r="G2201" s="163" t="e">
        <f t="shared" si="180"/>
        <v>#DIV/0!</v>
      </c>
    </row>
    <row r="2202" spans="2:7">
      <c r="B2202" s="463" t="str">
        <f>TillageOperations!$B$16&amp;" (Repairs, maint., fuel &amp; lube)"</f>
        <v>Bed Shaper (Repairs, maint., fuel &amp; lube)</v>
      </c>
      <c r="C2202" s="464" t="s">
        <v>157</v>
      </c>
      <c r="D2202" s="166">
        <f>PubMachineryTables!$AN$58+PubMachineryTables!$AM$58</f>
        <v>5.9574634784635725</v>
      </c>
      <c r="E2202" s="166">
        <f>TillageOperations!$P$16*$C$2133</f>
        <v>0</v>
      </c>
      <c r="F2202" s="166">
        <f t="shared" si="182"/>
        <v>0</v>
      </c>
      <c r="G2202" s="163" t="e">
        <f t="shared" si="180"/>
        <v>#DIV/0!</v>
      </c>
    </row>
    <row r="2203" spans="2:7">
      <c r="B2203" s="463" t="str">
        <f>TillageOperations!$B$16&amp;" (Labor)"</f>
        <v>Bed Shaper (Labor)</v>
      </c>
      <c r="C2203" s="464" t="s">
        <v>157</v>
      </c>
      <c r="D2203" s="166">
        <f>PubMachineryTables!$AL$58</f>
        <v>3.0924142857142862</v>
      </c>
      <c r="E2203" s="166">
        <f>TillageOperations!$P$16*$C$2133</f>
        <v>0</v>
      </c>
      <c r="F2203" s="166">
        <f t="shared" si="182"/>
        <v>0</v>
      </c>
      <c r="G2203" s="163" t="e">
        <f t="shared" ref="G2203:G2266" si="183">F2203/C$2133</f>
        <v>#DIV/0!</v>
      </c>
    </row>
    <row r="2204" spans="2:7">
      <c r="B2204" s="463" t="str">
        <f>TillageOperations!$B$19&amp;" (Repairs, maint., fuel &amp; lube)"</f>
        <v>Row Planter (Repairs, maint., fuel &amp; lube)</v>
      </c>
      <c r="C2204" s="464" t="s">
        <v>157</v>
      </c>
      <c r="D2204" s="166">
        <f>PubMachineryTables!$AN$60+PubMachineryTables!$AM$60</f>
        <v>8.8400048303091552</v>
      </c>
      <c r="E2204" s="166">
        <f>TillageOperations!$P$19*$C$2133</f>
        <v>0</v>
      </c>
      <c r="F2204" s="166">
        <f t="shared" si="182"/>
        <v>0</v>
      </c>
      <c r="G2204" s="163" t="e">
        <f t="shared" si="183"/>
        <v>#DIV/0!</v>
      </c>
    </row>
    <row r="2205" spans="2:7">
      <c r="B2205" s="463" t="str">
        <f>TillageOperations!$B$19&amp;" (Labor)"</f>
        <v>Row Planter (Labor)</v>
      </c>
      <c r="C2205" s="464" t="s">
        <v>157</v>
      </c>
      <c r="D2205" s="166">
        <f>PubMachineryTables!$AL$60</f>
        <v>4.5097708333333344</v>
      </c>
      <c r="E2205" s="166">
        <f>TillageOperations!$P$19*$C$2133</f>
        <v>0</v>
      </c>
      <c r="F2205" s="166">
        <f t="shared" si="182"/>
        <v>0</v>
      </c>
      <c r="G2205" s="163" t="e">
        <f t="shared" si="183"/>
        <v>#DIV/0!</v>
      </c>
    </row>
    <row r="2206" spans="2:7">
      <c r="B2206" s="463" t="str">
        <f>TillageOperations!$B$20&amp;" (Repairs, maint., fuel &amp; lube)"</f>
        <v>Row Cultivator (Repairs, maint., fuel &amp; lube)</v>
      </c>
      <c r="C2206" s="464" t="s">
        <v>157</v>
      </c>
      <c r="D2206" s="166">
        <f>PubMachineryTables!$AN$61+PubMachineryTables!$AM$61</f>
        <v>3.5823141032725374</v>
      </c>
      <c r="E2206" s="166">
        <f>TillageOperations!$P$20*$C$2133</f>
        <v>0</v>
      </c>
      <c r="F2206" s="166">
        <f>D2206*E2206</f>
        <v>0</v>
      </c>
      <c r="G2206" s="163" t="e">
        <f t="shared" si="183"/>
        <v>#DIV/0!</v>
      </c>
    </row>
    <row r="2207" spans="2:7">
      <c r="B2207" s="463" t="str">
        <f>TillageOperations!$B$20&amp;" (Labor)"</f>
        <v>Row Cultivator (Labor)</v>
      </c>
      <c r="C2207" s="464" t="s">
        <v>157</v>
      </c>
      <c r="D2207" s="166">
        <f>PubMachineryTables!$AL$61</f>
        <v>3.0065138888888892</v>
      </c>
      <c r="E2207" s="166">
        <f>TillageOperations!$P$20*$C$2133</f>
        <v>0</v>
      </c>
      <c r="F2207" s="166">
        <f>D2207*E2207</f>
        <v>0</v>
      </c>
      <c r="G2207" s="163" t="e">
        <f t="shared" si="183"/>
        <v>#DIV/0!</v>
      </c>
    </row>
    <row r="2208" spans="2:7">
      <c r="B2208" s="463" t="str">
        <f>TillageOperations!$B$21&amp;" (Repairs, maint., fuel &amp; lube)"</f>
        <v>Drill (Repairs, maint., fuel &amp; lube)</v>
      </c>
      <c r="C2208" s="464" t="s">
        <v>157</v>
      </c>
      <c r="D2208" s="166">
        <f>PubMachineryTables!$AN$62+PubMachineryTables!$AM$62</f>
        <v>7.6986395922631168</v>
      </c>
      <c r="E2208" s="166">
        <f>TillageOperations!$P$21*$C$2133</f>
        <v>0</v>
      </c>
      <c r="F2208" s="166">
        <f>D2208*E2208</f>
        <v>0</v>
      </c>
      <c r="G2208" s="163" t="e">
        <f t="shared" si="183"/>
        <v>#DIV/0!</v>
      </c>
    </row>
    <row r="2209" spans="2:7">
      <c r="B2209" s="463" t="str">
        <f>TillageOperations!$B$21&amp;" (Labor)"</f>
        <v>Drill (Labor)</v>
      </c>
      <c r="C2209" s="464" t="s">
        <v>157</v>
      </c>
      <c r="D2209" s="166">
        <f>PubMachineryTables!$AL$62</f>
        <v>5.4117250000000006</v>
      </c>
      <c r="E2209" s="166">
        <f>TillageOperations!$P$21*$C$2133</f>
        <v>0</v>
      </c>
      <c r="F2209" s="166">
        <f>D2209*E2209</f>
        <v>0</v>
      </c>
      <c r="G2209" s="163" t="e">
        <f t="shared" si="183"/>
        <v>#DIV/0!</v>
      </c>
    </row>
    <row r="2210" spans="2:7">
      <c r="B2210" s="75" t="str">
        <f>TillageOperations!$B$27&amp;" (Repairs, maint., fuel &amp; lube)"</f>
        <v>Cotton Picker (Repairs, maint., fuel &amp; lube)</v>
      </c>
      <c r="C2210" s="464" t="s">
        <v>157</v>
      </c>
      <c r="D2210" s="166">
        <f>PubMachineryTables!$AN$67+PubMachineryTables!$AM$67</f>
        <v>20.587703435804702</v>
      </c>
      <c r="E2210" s="166">
        <f>TillageOperations!$P$27*$C$2133</f>
        <v>0</v>
      </c>
      <c r="F2210" s="166">
        <f t="shared" ref="F2210:F2217" si="184">D2210*E2210</f>
        <v>0</v>
      </c>
      <c r="G2210" s="163" t="e">
        <f t="shared" si="183"/>
        <v>#DIV/0!</v>
      </c>
    </row>
    <row r="2211" spans="2:7">
      <c r="B2211" t="str">
        <f>TillageOperations!$B$27&amp;" (Labor)"</f>
        <v>Cotton Picker (Labor)</v>
      </c>
      <c r="C2211" s="464" t="s">
        <v>157</v>
      </c>
      <c r="D2211" s="166">
        <f>PubMachineryTables!$AL$67</f>
        <v>7.3395908679927677</v>
      </c>
      <c r="E2211" s="166">
        <f>TillageOperations!$P$27*$C$2133</f>
        <v>0</v>
      </c>
      <c r="F2211" s="166">
        <f t="shared" si="184"/>
        <v>0</v>
      </c>
      <c r="G2211" s="163" t="e">
        <f t="shared" si="183"/>
        <v>#DIV/0!</v>
      </c>
    </row>
    <row r="2212" spans="2:7">
      <c r="B2212" s="75" t="str">
        <f>TillageOperations!$B$28&amp;" (Repairs, maint., fuel &amp; lube)"</f>
        <v>Module Unit (Repairs, maint., fuel &amp; lube)</v>
      </c>
      <c r="C2212" s="464" t="s">
        <v>157</v>
      </c>
      <c r="D2212" s="166">
        <f>PubMachineryTables!$AN$68+PubMachineryTables!$AM$68</f>
        <v>7.0644080416976918</v>
      </c>
      <c r="E2212" s="166">
        <f>TillageOperations!$P$28*$C$2133</f>
        <v>0</v>
      </c>
      <c r="F2212" s="166">
        <f t="shared" si="184"/>
        <v>0</v>
      </c>
      <c r="G2212" s="163" t="e">
        <f t="shared" si="183"/>
        <v>#DIV/0!</v>
      </c>
    </row>
    <row r="2213" spans="2:7">
      <c r="B2213" t="str">
        <f>TillageOperations!$B$28&amp;" (Labor)"</f>
        <v>Module Unit (Labor)</v>
      </c>
      <c r="C2213" s="464" t="s">
        <v>157</v>
      </c>
      <c r="D2213" s="166">
        <f>PubMachineryTables!$AL$68</f>
        <v>6.0443689501116911</v>
      </c>
      <c r="E2213" s="166">
        <f>TillageOperations!$P$28*$C$2133</f>
        <v>0</v>
      </c>
      <c r="F2213" s="166">
        <f t="shared" si="184"/>
        <v>0</v>
      </c>
      <c r="G2213" s="163" t="e">
        <f t="shared" si="183"/>
        <v>#DIV/0!</v>
      </c>
    </row>
    <row r="2214" spans="2:7">
      <c r="B2214" t="str">
        <f>TillageOperations!$B$29&amp;" (Repairs, maint., fuel &amp; lube)"</f>
        <v>Haul Cotton (Repairs, maint., fuel &amp; lube)</v>
      </c>
      <c r="C2214" s="464" t="s">
        <v>157</v>
      </c>
      <c r="D2214" s="166">
        <f>PubMachineryTables!$AN$69+PubMachineryTables!$AM$69</f>
        <v>7.0644080416976918</v>
      </c>
      <c r="E2214" s="166">
        <f>TillageOperations!$P$29*$C$2133</f>
        <v>0</v>
      </c>
      <c r="F2214" s="166">
        <f t="shared" si="184"/>
        <v>0</v>
      </c>
      <c r="G2214" s="163" t="e">
        <f t="shared" si="183"/>
        <v>#DIV/0!</v>
      </c>
    </row>
    <row r="2215" spans="2:7">
      <c r="B2215" t="str">
        <f>TillageOperations!$B$29&amp;" (Labor)"</f>
        <v>Haul Cotton (Labor)</v>
      </c>
      <c r="C2215" s="464" t="s">
        <v>157</v>
      </c>
      <c r="D2215" s="166">
        <f>PubMachineryTables!$AL$69</f>
        <v>6.0443689501116911</v>
      </c>
      <c r="E2215" s="166">
        <f>TillageOperations!$P$29*$C$2133</f>
        <v>0</v>
      </c>
      <c r="F2215" s="166">
        <f t="shared" si="184"/>
        <v>0</v>
      </c>
      <c r="G2215" s="163" t="e">
        <f t="shared" si="183"/>
        <v>#DIV/0!</v>
      </c>
    </row>
    <row r="2216" spans="2:7">
      <c r="B2216" t="str">
        <f>TillageOperations!$B$17&amp;" (Repairs, maint., fuel &amp; lube)"</f>
        <v>Cotton Shredder/Root Puller (Repairs, maint., fuel &amp; lube)</v>
      </c>
      <c r="C2216" s="464" t="s">
        <v>157</v>
      </c>
      <c r="D2216" s="166">
        <f>PubMachineryTables!$AN$59+PubMachineryTables!$AM$59</f>
        <v>3.4657534246575339</v>
      </c>
      <c r="E2216" s="166">
        <f>TillageOperations!$P$17*$C$2133</f>
        <v>0</v>
      </c>
      <c r="F2216" s="166">
        <f t="shared" si="184"/>
        <v>0</v>
      </c>
      <c r="G2216" s="163" t="e">
        <f t="shared" si="183"/>
        <v>#DIV/0!</v>
      </c>
    </row>
    <row r="2217" spans="2:7">
      <c r="B2217" t="str">
        <f>TillageOperations!$B$17&amp;" (Labor)"</f>
        <v>Cotton Shredder/Root Puller (Labor)</v>
      </c>
      <c r="C2217" s="464" t="s">
        <v>157</v>
      </c>
      <c r="D2217" s="166">
        <f>PubMachineryTables!$AL$59</f>
        <v>2.965328767123288</v>
      </c>
      <c r="E2217" s="166">
        <f>TillageOperations!$P$17*$C$2133</f>
        <v>0</v>
      </c>
      <c r="F2217" s="166">
        <f t="shared" si="184"/>
        <v>0</v>
      </c>
      <c r="G2217" s="163" t="e">
        <f t="shared" si="183"/>
        <v>#DIV/0!</v>
      </c>
    </row>
    <row r="2218" spans="2:7">
      <c r="B2218" t="str">
        <f>TillageOperations!$B$30&amp;" (Repairs, maint., fuel &amp; lube)"</f>
        <v>Combine (Repairs, maint., fuel &amp; lube)</v>
      </c>
      <c r="C2218" s="464" t="s">
        <v>157</v>
      </c>
      <c r="D2218" s="166">
        <f>PubMachineryTables!$AN$70+PubMachineryTables!$AM$70</f>
        <v>4.8939818019913757</v>
      </c>
      <c r="E2218" s="166">
        <f>TillageOperations!$P$30*$C$2133</f>
        <v>0</v>
      </c>
      <c r="F2218" s="166">
        <f>D2218*E2218</f>
        <v>0</v>
      </c>
      <c r="G2218" s="163" t="e">
        <f t="shared" si="183"/>
        <v>#DIV/0!</v>
      </c>
    </row>
    <row r="2219" spans="2:7">
      <c r="B2219" t="str">
        <f>TillageOperations!$B$30&amp;" (Labor)"</f>
        <v>Combine (Labor)</v>
      </c>
      <c r="C2219" s="464" t="s">
        <v>157</v>
      </c>
      <c r="D2219" s="166">
        <f>PubMachineryTables!$AL$70</f>
        <v>1.591683823529412</v>
      </c>
      <c r="E2219" s="166">
        <f>TillageOperations!$P$30*$C$2133</f>
        <v>0</v>
      </c>
      <c r="F2219" s="166">
        <f>D2219*E2219</f>
        <v>0</v>
      </c>
      <c r="G2219" s="163" t="e">
        <f t="shared" si="183"/>
        <v>#DIV/0!</v>
      </c>
    </row>
    <row r="2220" spans="2:7">
      <c r="B2220" t="str">
        <f>TillageOperations!$B$31&amp;" (Repairs, maint., fuel &amp; lube)"</f>
        <v>Grain Cart (Repairs, maint., fuel &amp; lube)</v>
      </c>
      <c r="C2220" s="464" t="s">
        <v>157</v>
      </c>
      <c r="D2220" s="166">
        <f>PubMachineryTables!$AN$71+PubMachineryTables!$AM$71</f>
        <v>3.2163097667975675</v>
      </c>
      <c r="E2220" s="166">
        <f>TillageOperations!$P$31*$C$2133</f>
        <v>0</v>
      </c>
      <c r="F2220" s="166">
        <f>D2220*E2220</f>
        <v>0</v>
      </c>
      <c r="G2220" s="163" t="e">
        <f t="shared" si="183"/>
        <v>#DIV/0!</v>
      </c>
    </row>
    <row r="2221" spans="2:7">
      <c r="B2221" t="str">
        <f>TillageOperations!$B$31&amp;" (Labor)"</f>
        <v>Grain Cart (Labor)</v>
      </c>
      <c r="C2221" s="464" t="s">
        <v>157</v>
      </c>
      <c r="D2221" s="166">
        <f>PubMachineryTables!$AL$71</f>
        <v>1.591683823529412</v>
      </c>
      <c r="E2221" s="166">
        <f>TillageOperations!$P$31*$C$2133</f>
        <v>0</v>
      </c>
      <c r="F2221" s="166">
        <f>D2221*E2221</f>
        <v>0</v>
      </c>
      <c r="G2221" s="163" t="e">
        <f t="shared" si="183"/>
        <v>#DIV/0!</v>
      </c>
    </row>
    <row r="2222" spans="2:7">
      <c r="B2222" t="str">
        <f>TillageOperations!$B$32&amp;" (Repairs, maint., fuel &amp; lube)"</f>
        <v>Swather (Repairs, maint., fuel &amp; lube)</v>
      </c>
      <c r="C2222" s="464" t="s">
        <v>157</v>
      </c>
      <c r="D2222" s="166">
        <f>PubMachineryTables!$AN$72+PubMachineryTables!$AM$72</f>
        <v>2.0239999999999996</v>
      </c>
      <c r="E2222" s="166">
        <f>TillageOperations!$P$32*$C$2133</f>
        <v>0</v>
      </c>
      <c r="F2222" s="166">
        <f t="shared" ref="F2222:F2238" si="185">D2222*E2222</f>
        <v>0</v>
      </c>
      <c r="G2222" s="163" t="e">
        <f t="shared" si="183"/>
        <v>#DIV/0!</v>
      </c>
    </row>
    <row r="2223" spans="2:7">
      <c r="B2223" t="str">
        <f>TillageOperations!$B$32&amp;" (Labor)"</f>
        <v>Swather (Labor)</v>
      </c>
      <c r="C2223" s="464" t="s">
        <v>157</v>
      </c>
      <c r="D2223" s="166">
        <f>PubMachineryTables!$AL$72</f>
        <v>2.1646900000000002</v>
      </c>
      <c r="E2223" s="166">
        <f>TillageOperations!$P$32*$C$2133</f>
        <v>0</v>
      </c>
      <c r="F2223" s="166">
        <f t="shared" si="185"/>
        <v>0</v>
      </c>
      <c r="G2223" s="163" t="e">
        <f t="shared" si="183"/>
        <v>#DIV/0!</v>
      </c>
    </row>
    <row r="2224" spans="2:7">
      <c r="B2224" t="str">
        <f>TillageOperations!$B$33&amp;" (Repairs, maint., fuel &amp; lube)"</f>
        <v>Baler (Repairs, maint., fuel &amp; lube)</v>
      </c>
      <c r="C2224" s="464" t="s">
        <v>157</v>
      </c>
      <c r="D2224" s="166">
        <f>PubMachineryTables!$AN$73+PubMachineryTables!$AM$73</f>
        <v>3.953125</v>
      </c>
      <c r="E2224" s="166">
        <f>TillageOperations!$P$33*$C$2133</f>
        <v>0</v>
      </c>
      <c r="F2224" s="166">
        <f t="shared" si="185"/>
        <v>0</v>
      </c>
      <c r="G2224" s="163" t="e">
        <f t="shared" si="183"/>
        <v>#DIV/0!</v>
      </c>
    </row>
    <row r="2225" spans="2:7">
      <c r="B2225" t="str">
        <f>TillageOperations!$B$33&amp;" (Labor)"</f>
        <v>Baler (Labor)</v>
      </c>
      <c r="C2225" s="464" t="s">
        <v>157</v>
      </c>
      <c r="D2225" s="166">
        <f>PubMachineryTables!$AL$73</f>
        <v>3.3823281250000004</v>
      </c>
      <c r="E2225" s="166">
        <f>TillageOperations!$P$33*$C$2133</f>
        <v>0</v>
      </c>
      <c r="F2225" s="166">
        <f t="shared" si="185"/>
        <v>0</v>
      </c>
      <c r="G2225" s="163" t="e">
        <f t="shared" si="183"/>
        <v>#DIV/0!</v>
      </c>
    </row>
    <row r="2226" spans="2:7">
      <c r="B2226" t="str">
        <f>TillageOperations!$B$34&amp;" (Repairs, maint., fuel &amp; lube)"</f>
        <v>Swather (Repairs, maint., fuel &amp; lube)</v>
      </c>
      <c r="C2226" s="464" t="s">
        <v>157</v>
      </c>
      <c r="D2226" s="166">
        <f>PubMachineryTables!$AN$74+PubMachineryTables!$AM$74</f>
        <v>19.46153846153846</v>
      </c>
      <c r="E2226" s="166">
        <f>TillageOperations!$P$34*$C$2133</f>
        <v>0</v>
      </c>
      <c r="F2226" s="166">
        <f t="shared" si="185"/>
        <v>0</v>
      </c>
      <c r="G2226" s="163" t="e">
        <f t="shared" si="183"/>
        <v>#DIV/0!</v>
      </c>
    </row>
    <row r="2227" spans="2:7">
      <c r="B2227" t="str">
        <f>TillageOperations!$B$34&amp;" (Labor)"</f>
        <v>Swather (Labor)</v>
      </c>
      <c r="C2227" s="464" t="s">
        <v>157</v>
      </c>
      <c r="D2227" s="166">
        <f>PubMachineryTables!$AL$74</f>
        <v>20.814326923076923</v>
      </c>
      <c r="E2227" s="166">
        <f>TillageOperations!$P$34*$C$2133</f>
        <v>0</v>
      </c>
      <c r="F2227" s="166">
        <f t="shared" si="185"/>
        <v>0</v>
      </c>
      <c r="G2227" s="163" t="e">
        <f t="shared" si="183"/>
        <v>#DIV/0!</v>
      </c>
    </row>
    <row r="2228" spans="2:7">
      <c r="B2228" t="str">
        <f>TillageOperations!$B$35&amp;" (Repairs, maint., fuel &amp; lube)"</f>
        <v>Baler (Repairs, maint., fuel &amp; lube)</v>
      </c>
      <c r="C2228" s="464" t="s">
        <v>157</v>
      </c>
      <c r="D2228" s="166">
        <f>PubMachineryTables!$AN$75+PubMachineryTables!$AM$75</f>
        <v>24.326923076923073</v>
      </c>
      <c r="E2228" s="166">
        <f>TillageOperations!$P$35*$C$2133</f>
        <v>0</v>
      </c>
      <c r="F2228" s="166">
        <f t="shared" si="185"/>
        <v>0</v>
      </c>
      <c r="G2228" s="163" t="e">
        <f t="shared" si="183"/>
        <v>#DIV/0!</v>
      </c>
    </row>
    <row r="2229" spans="2:7">
      <c r="B2229" t="str">
        <f>TillageOperations!$B$35&amp;" (Labor)"</f>
        <v>Baler (Labor)</v>
      </c>
      <c r="C2229" s="464" t="s">
        <v>157</v>
      </c>
      <c r="D2229" s="166">
        <f>PubMachineryTables!$AL$75</f>
        <v>20.814326923076923</v>
      </c>
      <c r="E2229" s="166">
        <f>TillageOperations!$P$35*$C$2133</f>
        <v>0</v>
      </c>
      <c r="F2229" s="166">
        <f t="shared" si="185"/>
        <v>0</v>
      </c>
      <c r="G2229" s="163" t="e">
        <f t="shared" si="183"/>
        <v>#DIV/0!</v>
      </c>
    </row>
    <row r="2230" spans="2:7">
      <c r="B2230" t="str">
        <f>'Inputs&amp;PricesbyCrop'!$B$31</f>
        <v xml:space="preserve">   - Baling Twine</v>
      </c>
      <c r="C2230" s="137" t="str">
        <f>'Inputs&amp;PricesbyCrop'!$C$31</f>
        <v>acre</v>
      </c>
      <c r="D2230" s="166">
        <f>'Inputs&amp;PricesbyCrop'!$Q$31</f>
        <v>0</v>
      </c>
      <c r="E2230" s="166">
        <f>$C$2133</f>
        <v>0</v>
      </c>
      <c r="F2230" s="166">
        <f t="shared" si="185"/>
        <v>0</v>
      </c>
      <c r="G2230" s="163" t="e">
        <f t="shared" si="183"/>
        <v>#DIV/0!</v>
      </c>
    </row>
    <row r="2231" spans="2:7">
      <c r="B2231" t="str">
        <f>TillageOperations!$B$36&amp;" (Repairs, maint., fuel &amp; lube)"</f>
        <v>Bale Wagon (Repairs, maint., fuel &amp; lube)</v>
      </c>
      <c r="C2231" s="464" t="s">
        <v>157</v>
      </c>
      <c r="D2231" s="166">
        <f>PubMachineryTables!$AN$76+PubMachineryTables!$AM$76</f>
        <v>3.1624999999999996</v>
      </c>
      <c r="E2231" s="166">
        <f>TillageOperations!$P$36*$C$2133</f>
        <v>0</v>
      </c>
      <c r="F2231" s="166">
        <f t="shared" si="185"/>
        <v>0</v>
      </c>
      <c r="G2231" s="163" t="e">
        <f t="shared" si="183"/>
        <v>#DIV/0!</v>
      </c>
    </row>
    <row r="2232" spans="2:7">
      <c r="B2232" t="str">
        <f>TillageOperations!$B$36&amp;" (Labor)"</f>
        <v>Bale Wagon (Labor)</v>
      </c>
      <c r="C2232" s="464" t="s">
        <v>157</v>
      </c>
      <c r="D2232" s="166">
        <f>PubMachineryTables!$AL$76</f>
        <v>3.3823281250000004</v>
      </c>
      <c r="E2232" s="166">
        <f>TillageOperations!$P$36*$C$2133</f>
        <v>0</v>
      </c>
      <c r="F2232" s="166">
        <f t="shared" si="185"/>
        <v>0</v>
      </c>
      <c r="G2232" s="163" t="e">
        <f t="shared" si="183"/>
        <v>#DIV/0!</v>
      </c>
    </row>
    <row r="2233" spans="2:7">
      <c r="B2233" t="str">
        <f>TillageOperations!$B$23&amp;" (Repairs, maint., fuel &amp; lube)"</f>
        <v>Fertilizer Spreader (Repairs, maint., fuel &amp; lube)</v>
      </c>
      <c r="C2233" s="464" t="s">
        <v>157</v>
      </c>
      <c r="D2233" s="166">
        <f>PubMachineryTables!$AM$64+PubMachineryTables!$AN$64</f>
        <v>2.6573732562743069</v>
      </c>
      <c r="E2233" s="166">
        <f>TillageOperations!$P$23*$C$2133</f>
        <v>0</v>
      </c>
      <c r="F2233" s="168">
        <f t="shared" si="185"/>
        <v>0</v>
      </c>
      <c r="G2233" s="163" t="e">
        <f t="shared" si="183"/>
        <v>#DIV/0!</v>
      </c>
    </row>
    <row r="2234" spans="2:7">
      <c r="B2234" t="str">
        <f>TillageOperations!$B$23&amp;" (Labor)"</f>
        <v>Fertilizer Spreader (Labor)</v>
      </c>
      <c r="C2234" s="464" t="s">
        <v>157</v>
      </c>
      <c r="D2234" s="166">
        <f>PubMachineryTables!$AL$64</f>
        <v>1.879071180555556</v>
      </c>
      <c r="E2234" s="166">
        <f>TillageOperations!$P$23*$C$2133</f>
        <v>0</v>
      </c>
      <c r="F2234" s="168">
        <f t="shared" si="185"/>
        <v>0</v>
      </c>
      <c r="G2234" s="163" t="e">
        <f t="shared" si="183"/>
        <v>#DIV/0!</v>
      </c>
    </row>
    <row r="2235" spans="2:7">
      <c r="B2235" t="str">
        <f>TillageOperations!$B$24&amp;" (Repairs, maint., fuel &amp; lube)"</f>
        <v>Fertilizer Injection System (Repairs, maint., fuel &amp; lube)</v>
      </c>
      <c r="C2235" s="464" t="s">
        <v>157</v>
      </c>
      <c r="D2235" s="166">
        <f>PubMachineryTables!$AM$65+PubMachineryTables!$AN$65</f>
        <v>8.4333333333333336</v>
      </c>
      <c r="E2235" s="166">
        <f>TillageOperations!$P$24*$C$2133</f>
        <v>0</v>
      </c>
      <c r="F2235" s="168">
        <f t="shared" si="185"/>
        <v>0</v>
      </c>
      <c r="G2235" s="163" t="e">
        <f t="shared" si="183"/>
        <v>#DIV/0!</v>
      </c>
    </row>
    <row r="2236" spans="2:7">
      <c r="B2236" t="str">
        <f>TillageOperations!$B$24&amp;" (Labor)"</f>
        <v>Fertilizer Injection System (Labor)</v>
      </c>
      <c r="C2236" s="464" t="s">
        <v>157</v>
      </c>
      <c r="D2236" s="166">
        <f>PubMachineryTables!$AL$65</f>
        <v>4.5097708333333344</v>
      </c>
      <c r="E2236" s="166">
        <f>TillageOperations!$P$24*$C$2133</f>
        <v>0</v>
      </c>
      <c r="F2236" s="168">
        <f t="shared" si="185"/>
        <v>0</v>
      </c>
      <c r="G2236" s="163" t="e">
        <f t="shared" si="183"/>
        <v>#DIV/0!</v>
      </c>
    </row>
    <row r="2237" spans="2:7">
      <c r="B2237" t="str">
        <f>TillageOperations!$B$25&amp;" (Repairs, maint., fuel &amp; lube)"</f>
        <v>Boom Sprayer (Repairs, maint., fuel &amp; lube)</v>
      </c>
      <c r="C2237" s="464" t="s">
        <v>157</v>
      </c>
      <c r="D2237" s="166">
        <f>PubMachineryTables!AN$66+PubMachineryTables!$AM$66</f>
        <v>1.5996307048468115</v>
      </c>
      <c r="E2237" s="166">
        <f>TillageOperations!$P$25*$C$2133</f>
        <v>0</v>
      </c>
      <c r="F2237" s="166">
        <f t="shared" si="185"/>
        <v>0</v>
      </c>
      <c r="G2237" s="163" t="e">
        <f t="shared" si="183"/>
        <v>#DIV/0!</v>
      </c>
    </row>
    <row r="2238" spans="2:7">
      <c r="B2238" t="str">
        <f>TillageOperations!$B$25&amp;" (Labor)"</f>
        <v>Boom Sprayer (Labor)</v>
      </c>
      <c r="C2238" s="464" t="s">
        <v>157</v>
      </c>
      <c r="D2238" s="166">
        <f>PubMachineryTables!$AL$66</f>
        <v>1.1893901098901098</v>
      </c>
      <c r="E2238" s="166">
        <f>TillageOperations!$P$25*$C$2133</f>
        <v>0</v>
      </c>
      <c r="F2238" s="166">
        <f t="shared" si="185"/>
        <v>0</v>
      </c>
      <c r="G2238" s="163" t="e">
        <f t="shared" si="183"/>
        <v>#DIV/0!</v>
      </c>
    </row>
    <row r="2239" spans="2:7">
      <c r="B2239" t="str">
        <f>TillageOperations!$B$22&amp;" (Repairs, maint., fuel &amp; lube)"</f>
        <v>Transplanter (Repairs, maint., fuel &amp; lube)</v>
      </c>
      <c r="C2239" s="464" t="s">
        <v>157</v>
      </c>
      <c r="D2239" s="166">
        <f>PubMachineryTables!AN$63+PubMachineryTables!$AM$63</f>
        <v>61.668749999999996</v>
      </c>
      <c r="E2239" s="166">
        <f>TillageOperations!$P$22*$C$2133</f>
        <v>0</v>
      </c>
      <c r="F2239" s="166">
        <f>D2239*E2239</f>
        <v>0</v>
      </c>
      <c r="G2239" s="163" t="e">
        <f t="shared" si="183"/>
        <v>#DIV/0!</v>
      </c>
    </row>
    <row r="2240" spans="2:7">
      <c r="B2240" t="str">
        <f>TillageOperations!$B$22&amp;" (Labor)"</f>
        <v>Transplanter (Labor)</v>
      </c>
      <c r="C2240" s="464" t="s">
        <v>157</v>
      </c>
      <c r="D2240" s="166">
        <f>PubMachineryTables!$AL$63</f>
        <v>20.293968750000001</v>
      </c>
      <c r="E2240" s="166">
        <f>TillageOperations!$P$22*$C$2133</f>
        <v>0</v>
      </c>
      <c r="F2240" s="166">
        <f t="shared" ref="F2240:F2246" si="186">D2240*E2240</f>
        <v>0</v>
      </c>
      <c r="G2240" s="163" t="e">
        <f t="shared" si="183"/>
        <v>#DIV/0!</v>
      </c>
    </row>
    <row r="2241" spans="2:7">
      <c r="B2241" t="str">
        <f>'Inputs&amp;PricesbyCrop'!$B$14</f>
        <v>Additional Land Prep. Labor</v>
      </c>
      <c r="C2241" s="137" t="str">
        <f>'Inputs&amp;PricesbyCrop'!$C$14</f>
        <v>hour</v>
      </c>
      <c r="D2241" s="166">
        <f>GeneralInputPrices!$D$30</f>
        <v>14.55</v>
      </c>
      <c r="E2241" s="166">
        <f>'Inputs&amp;PricesbyCrop'!$Q$14*BASEBUDGETS!$C2133</f>
        <v>0</v>
      </c>
      <c r="F2241" s="166">
        <f t="shared" si="186"/>
        <v>0</v>
      </c>
      <c r="G2241" s="163" t="e">
        <f t="shared" si="183"/>
        <v>#DIV/0!</v>
      </c>
    </row>
    <row r="2242" spans="2:7">
      <c r="B2242" t="str">
        <f>'Inputs&amp;PricesbyCrop'!$B$15</f>
        <v>Additional Land Prep. Labor</v>
      </c>
      <c r="C2242" s="137" t="str">
        <f>'Inputs&amp;PricesbyCrop'!$C$15</f>
        <v>hour</v>
      </c>
      <c r="D2242" s="166">
        <f>GeneralInputPrices!$D$30</f>
        <v>14.55</v>
      </c>
      <c r="E2242" s="166">
        <f>'Inputs&amp;PricesbyCrop'!$Q$15*BASEBUDGETS!$C2133</f>
        <v>0</v>
      </c>
      <c r="F2242" s="166">
        <f t="shared" si="186"/>
        <v>0</v>
      </c>
      <c r="G2242" s="163" t="e">
        <f t="shared" si="183"/>
        <v>#DIV/0!</v>
      </c>
    </row>
    <row r="2243" spans="2:7">
      <c r="B2243" t="str">
        <f>'Inputs&amp;PricesbyCrop'!$B$17</f>
        <v>Additional Crop Prod. Labor</v>
      </c>
      <c r="C2243" s="137" t="str">
        <f>'Inputs&amp;PricesbyCrop'!$C$17</f>
        <v>hour</v>
      </c>
      <c r="D2243" s="166">
        <f>GeneralInputPrices!$D$31</f>
        <v>14.55</v>
      </c>
      <c r="E2243" s="166">
        <f>'Inputs&amp;PricesbyCrop'!$Q$17*BASEBUDGETS!$C2133</f>
        <v>0</v>
      </c>
      <c r="F2243" s="166">
        <f t="shared" si="186"/>
        <v>0</v>
      </c>
      <c r="G2243" s="163" t="e">
        <f t="shared" si="183"/>
        <v>#DIV/0!</v>
      </c>
    </row>
    <row r="2244" spans="2:7">
      <c r="B2244" t="str">
        <f>'Inputs&amp;PricesbyCrop'!$B$18</f>
        <v>Additional Crop Prod. Labor</v>
      </c>
      <c r="C2244" s="137" t="str">
        <f>'Inputs&amp;PricesbyCrop'!$C$18</f>
        <v>hour</v>
      </c>
      <c r="D2244" s="166">
        <f>GeneralInputPrices!$D$31</f>
        <v>14.55</v>
      </c>
      <c r="E2244" s="166">
        <f>'Inputs&amp;PricesbyCrop'!$Q$18*BASEBUDGETS!$C2133</f>
        <v>0</v>
      </c>
      <c r="F2244" s="166">
        <f t="shared" si="186"/>
        <v>0</v>
      </c>
      <c r="G2244" s="163" t="e">
        <f t="shared" si="183"/>
        <v>#DIV/0!</v>
      </c>
    </row>
    <row r="2245" spans="2:7">
      <c r="B2245" t="str">
        <f>'Inputs&amp;PricesbyCrop'!$B$20</f>
        <v>Additional Harvest Labor</v>
      </c>
      <c r="C2245" s="137" t="str">
        <f>'Inputs&amp;PricesbyCrop'!$C$20</f>
        <v>hour</v>
      </c>
      <c r="D2245" s="166">
        <f>GeneralInputPrices!$D$32</f>
        <v>17.89</v>
      </c>
      <c r="E2245" s="166">
        <f>'Inputs&amp;PricesbyCrop'!$Q$20*BASEBUDGETS!$C2133</f>
        <v>0</v>
      </c>
      <c r="F2245" s="166">
        <f t="shared" si="186"/>
        <v>0</v>
      </c>
      <c r="G2245" s="163" t="e">
        <f t="shared" si="183"/>
        <v>#DIV/0!</v>
      </c>
    </row>
    <row r="2246" spans="2:7">
      <c r="B2246" t="str">
        <f>'Inputs&amp;PricesbyCrop'!$B$21</f>
        <v>Additional Harvest Labor</v>
      </c>
      <c r="C2246" s="137" t="str">
        <f>'Inputs&amp;PricesbyCrop'!$C$21</f>
        <v>hour</v>
      </c>
      <c r="D2246" s="166">
        <f>GeneralInputPrices!$D$32</f>
        <v>17.89</v>
      </c>
      <c r="E2246" s="166">
        <f>'Inputs&amp;PricesbyCrop'!$Q$21*BASEBUDGETS!$C2133</f>
        <v>0</v>
      </c>
      <c r="F2246" s="166">
        <f t="shared" si="186"/>
        <v>0</v>
      </c>
      <c r="G2246" s="163" t="e">
        <f t="shared" si="183"/>
        <v>#DIV/0!</v>
      </c>
    </row>
    <row r="2247" spans="2:7">
      <c r="B2247" t="s">
        <v>59</v>
      </c>
      <c r="C2247" s="137" t="str">
        <f>GeneralInputPrices!$C$34</f>
        <v>percent</v>
      </c>
      <c r="D2247" s="138">
        <f>GeneralInputPrices!$D$34</f>
        <v>0.05</v>
      </c>
      <c r="E2247" s="75" t="s">
        <v>10</v>
      </c>
      <c r="F2247" s="37">
        <f>SUM(F2141:F2246)*D2247</f>
        <v>0</v>
      </c>
      <c r="G2247" s="163" t="e">
        <f t="shared" si="183"/>
        <v>#DIV/0!</v>
      </c>
    </row>
    <row r="2248" spans="2:7">
      <c r="B2248" t="s">
        <v>60</v>
      </c>
      <c r="C2248" s="137" t="str">
        <f>GeneralInputPrices!$C$34</f>
        <v>percent</v>
      </c>
      <c r="D2248" s="138">
        <f>GeneralInputPrices!$D$35</f>
        <v>0.06</v>
      </c>
      <c r="F2248" s="139">
        <f>SUM(F2141:F2247)*((D2248/12)*GeneralInputPrices!$D$39)</f>
        <v>0</v>
      </c>
      <c r="G2248" s="163" t="e">
        <f t="shared" si="183"/>
        <v>#DIV/0!</v>
      </c>
    </row>
    <row r="2249" spans="2:7">
      <c r="B2249" t="s">
        <v>61</v>
      </c>
      <c r="D2249" s="454"/>
      <c r="F2249" s="37">
        <f>SUM(F2141:F2248)</f>
        <v>0</v>
      </c>
      <c r="G2249" s="163" t="e">
        <f t="shared" si="183"/>
        <v>#DIV/0!</v>
      </c>
    </row>
    <row r="2250" spans="2:7">
      <c r="D2250" s="454"/>
      <c r="G2250" s="163" t="e">
        <f t="shared" si="183"/>
        <v>#DIV/0!</v>
      </c>
    </row>
    <row r="2251" spans="2:7">
      <c r="B2251" s="140" t="s">
        <v>129</v>
      </c>
      <c r="C2251" s="458" t="s">
        <v>1</v>
      </c>
      <c r="D2251" s="459" t="s">
        <v>24</v>
      </c>
      <c r="E2251" s="460" t="s">
        <v>25</v>
      </c>
      <c r="F2251" s="460" t="s">
        <v>0</v>
      </c>
      <c r="G2251" s="163" t="e">
        <f t="shared" si="183"/>
        <v>#VALUE!</v>
      </c>
    </row>
    <row r="2252" spans="2:7">
      <c r="B2252" t="str">
        <f>GeneralInputPrices!$B$15&amp;" - Upfront Costs for New System"</f>
        <v>Flood - Upfront Costs for New System</v>
      </c>
      <c r="C2252" s="453" t="str">
        <f>GeneralInputPrices!$C$16</f>
        <v>acre</v>
      </c>
      <c r="D2252">
        <f>IF('BreakevenInputs&amp;Resources'!T$16=0,0,(('BreakevenInputs&amp;Resources'!T$16/GeneralInputPrices!$D$17)*('AcresYieldsPrices&amp;Water'!$Q$21/'AcresYieldsPrices&amp;Water'!$Q$31))/$C2133)</f>
        <v>0</v>
      </c>
      <c r="E2252" s="166">
        <f>$C2133</f>
        <v>0</v>
      </c>
      <c r="F2252" s="166">
        <f>D2252*E2252</f>
        <v>0</v>
      </c>
      <c r="G2252" s="163" t="e">
        <f t="shared" si="183"/>
        <v>#DIV/0!</v>
      </c>
    </row>
    <row r="2253" spans="2:7">
      <c r="B2253" t="str">
        <f>GeneralInputPrices!$B$19&amp;" - Upfront Costs for New System"</f>
        <v>Drip-tape - Upfront Costs for New System</v>
      </c>
      <c r="C2253" s="453" t="str">
        <f>GeneralInputPrices!$C$20</f>
        <v>acre</v>
      </c>
      <c r="D2253">
        <f>IF('BreakevenInputs&amp;Resources'!T$17=0,0,(('BreakevenInputs&amp;Resources'!T$17/GeneralInputPrices!$D$21)*('AcresYieldsPrices&amp;Water'!$Q$21/'AcresYieldsPrices&amp;Water'!$Q$31))/$C2133)</f>
        <v>0</v>
      </c>
      <c r="E2253" s="166">
        <f>$C2133</f>
        <v>0</v>
      </c>
      <c r="F2253" s="166">
        <f>D2253*E2253</f>
        <v>0</v>
      </c>
      <c r="G2253" s="163" t="e">
        <f t="shared" si="183"/>
        <v>#DIV/0!</v>
      </c>
    </row>
    <row r="2254" spans="2:7">
      <c r="B2254" t="str">
        <f>GeneralInputPrices!$B$23&amp;" - Upfront Costs for New System"</f>
        <v>Sprinkler - Upfront Costs for New System</v>
      </c>
      <c r="C2254" s="453" t="str">
        <f>GeneralInputPrices!$C$24</f>
        <v>acre</v>
      </c>
      <c r="D2254">
        <f>IF('BreakevenInputs&amp;Resources'!T$18=0,0,(('BreakevenInputs&amp;Resources'!T$18/GeneralInputPrices!$D$25)*('AcresYieldsPrices&amp;Water'!$Q$21/'AcresYieldsPrices&amp;Water'!$Q$31))/$C2133)</f>
        <v>0</v>
      </c>
      <c r="E2254" s="166">
        <f>$C2133</f>
        <v>0</v>
      </c>
      <c r="F2254" s="166">
        <f>D2254*E2254</f>
        <v>0</v>
      </c>
      <c r="G2254" s="163" t="e">
        <f t="shared" si="183"/>
        <v>#DIV/0!</v>
      </c>
    </row>
    <row r="2255" spans="2:7">
      <c r="B2255" s="463" t="str">
        <f>TillageOperations!$B$7</f>
        <v>V-Ripper</v>
      </c>
      <c r="C2255" s="464" t="s">
        <v>157</v>
      </c>
      <c r="D2255" s="166">
        <f>PubMachineryTables!$AO$49</f>
        <v>209.18701372031111</v>
      </c>
      <c r="E2255" s="166">
        <f>E2184</f>
        <v>0</v>
      </c>
      <c r="F2255" s="168">
        <f t="shared" ref="F2255:F2271" si="187">D2255*E2255</f>
        <v>0</v>
      </c>
      <c r="G2255" s="163" t="e">
        <f t="shared" si="183"/>
        <v>#DIV/0!</v>
      </c>
    </row>
    <row r="2256" spans="2:7">
      <c r="B2256" s="463" t="str">
        <f>TillageOperations!$B$8</f>
        <v>Offset Disk</v>
      </c>
      <c r="C2256" s="464" t="s">
        <v>157</v>
      </c>
      <c r="D2256" s="166">
        <f>PubMachineryTables!$AO$50</f>
        <v>42.467441655558019</v>
      </c>
      <c r="E2256" s="166">
        <f>E2186</f>
        <v>0</v>
      </c>
      <c r="F2256" s="166">
        <f t="shared" si="187"/>
        <v>0</v>
      </c>
      <c r="G2256" s="163" t="e">
        <f t="shared" si="183"/>
        <v>#DIV/0!</v>
      </c>
    </row>
    <row r="2257" spans="2:7">
      <c r="B2257" s="463" t="str">
        <f>TillageOperations!$B$9</f>
        <v>Drag</v>
      </c>
      <c r="C2257" s="464" t="s">
        <v>157</v>
      </c>
      <c r="D2257" s="166">
        <f>PubMachineryTables!$AO$51</f>
        <v>0</v>
      </c>
      <c r="E2257" s="166">
        <f>E2188</f>
        <v>0</v>
      </c>
      <c r="F2257" s="166">
        <f t="shared" si="187"/>
        <v>0</v>
      </c>
      <c r="G2257" s="163" t="e">
        <f t="shared" si="183"/>
        <v>#DIV/0!</v>
      </c>
    </row>
    <row r="2258" spans="2:7">
      <c r="B2258" s="463" t="str">
        <f>TillageOperations!$B$10</f>
        <v>Chisel</v>
      </c>
      <c r="C2258" s="464" t="s">
        <v>157</v>
      </c>
      <c r="D2258" s="166">
        <f>PubMachineryTables!$AO$52</f>
        <v>40.724752902248241</v>
      </c>
      <c r="E2258" s="166">
        <f>E2190</f>
        <v>0</v>
      </c>
      <c r="F2258" s="166">
        <f t="shared" si="187"/>
        <v>0</v>
      </c>
      <c r="G2258" s="163" t="e">
        <f t="shared" si="183"/>
        <v>#DIV/0!</v>
      </c>
    </row>
    <row r="2259" spans="2:7">
      <c r="B2259" s="463" t="str">
        <f>TillageOperations!$B$11</f>
        <v>Moldboard Plow</v>
      </c>
      <c r="C2259" s="464" t="s">
        <v>157</v>
      </c>
      <c r="D2259" s="166">
        <f>PubMachineryTables!$AO$53</f>
        <v>0</v>
      </c>
      <c r="E2259" s="166">
        <f>E2192</f>
        <v>0</v>
      </c>
      <c r="F2259" s="166">
        <f t="shared" si="187"/>
        <v>0</v>
      </c>
      <c r="G2259" s="163" t="e">
        <f t="shared" si="183"/>
        <v>#DIV/0!</v>
      </c>
    </row>
    <row r="2260" spans="2:7">
      <c r="B2260" s="463" t="str">
        <f>TillageOperations!$B$12</f>
        <v>Cultivator</v>
      </c>
      <c r="C2260" s="464" t="s">
        <v>157</v>
      </c>
      <c r="D2260" s="166">
        <f>PubMachineryTables!$AO$54</f>
        <v>0</v>
      </c>
      <c r="E2260" s="166">
        <f>E2194</f>
        <v>0</v>
      </c>
      <c r="F2260" s="166">
        <f t="shared" si="187"/>
        <v>0</v>
      </c>
      <c r="G2260" s="163" t="e">
        <f t="shared" si="183"/>
        <v>#DIV/0!</v>
      </c>
    </row>
    <row r="2261" spans="2:7">
      <c r="B2261" s="463" t="str">
        <f>TillageOperations!$B$13</f>
        <v>Landplane</v>
      </c>
      <c r="C2261" s="464" t="s">
        <v>157</v>
      </c>
      <c r="D2261" s="166">
        <f>PubMachineryTables!$AO$55</f>
        <v>107.77752986339607</v>
      </c>
      <c r="E2261" s="166">
        <f>E2196</f>
        <v>0</v>
      </c>
      <c r="F2261" s="166">
        <f t="shared" si="187"/>
        <v>0</v>
      </c>
      <c r="G2261" s="163" t="e">
        <f t="shared" si="183"/>
        <v>#DIV/0!</v>
      </c>
    </row>
    <row r="2262" spans="2:7">
      <c r="B2262" s="463" t="str">
        <f>TillageOperations!$B$14</f>
        <v>Float</v>
      </c>
      <c r="C2262" s="464" t="s">
        <v>157</v>
      </c>
      <c r="D2262" s="166">
        <f>PubMachineryTables!$AO$56</f>
        <v>0</v>
      </c>
      <c r="E2262" s="166">
        <f>E2198</f>
        <v>0</v>
      </c>
      <c r="F2262" s="166">
        <f t="shared" si="187"/>
        <v>0</v>
      </c>
      <c r="G2262" s="163" t="e">
        <f t="shared" si="183"/>
        <v>#DIV/0!</v>
      </c>
    </row>
    <row r="2263" spans="2:7">
      <c r="B2263" s="463" t="str">
        <f>TillageOperations!$B$15</f>
        <v>Lister</v>
      </c>
      <c r="C2263" s="464" t="s">
        <v>157</v>
      </c>
      <c r="D2263" s="166">
        <f>PubMachineryTables!$AO$57</f>
        <v>72.676050764764099</v>
      </c>
      <c r="E2263" s="166">
        <f>E2200</f>
        <v>0</v>
      </c>
      <c r="F2263" s="166">
        <f t="shared" si="187"/>
        <v>0</v>
      </c>
      <c r="G2263" s="163" t="e">
        <f t="shared" si="183"/>
        <v>#DIV/0!</v>
      </c>
    </row>
    <row r="2264" spans="2:7">
      <c r="B2264" s="463" t="str">
        <f>TillageOperations!$B$16</f>
        <v>Bed Shaper</v>
      </c>
      <c r="C2264" s="464" t="s">
        <v>157</v>
      </c>
      <c r="D2264" s="166">
        <f>PubMachineryTables!$AO$58</f>
        <v>50.420091551988918</v>
      </c>
      <c r="E2264" s="166">
        <f>E2202</f>
        <v>0</v>
      </c>
      <c r="F2264" s="166">
        <f t="shared" si="187"/>
        <v>0</v>
      </c>
      <c r="G2264" s="163" t="e">
        <f t="shared" si="183"/>
        <v>#DIV/0!</v>
      </c>
    </row>
    <row r="2265" spans="2:7">
      <c r="B2265" s="463" t="str">
        <f>TillageOperations!$B$19</f>
        <v>Row Planter</v>
      </c>
      <c r="C2265" s="464" t="s">
        <v>157</v>
      </c>
      <c r="D2265" s="166">
        <f>PubMachineryTables!$AO$60</f>
        <v>218.60367298033367</v>
      </c>
      <c r="E2265" s="166">
        <f>E2204</f>
        <v>0</v>
      </c>
      <c r="F2265" s="166">
        <f t="shared" si="187"/>
        <v>0</v>
      </c>
      <c r="G2265" s="163" t="e">
        <f t="shared" si="183"/>
        <v>#DIV/0!</v>
      </c>
    </row>
    <row r="2266" spans="2:7">
      <c r="B2266" s="463" t="str">
        <f>TillageOperations!$B$20</f>
        <v>Row Cultivator</v>
      </c>
      <c r="C2266" s="464" t="s">
        <v>157</v>
      </c>
      <c r="D2266" s="166">
        <f>PubMachineryTables!$AO$61</f>
        <v>74.064902712939798</v>
      </c>
      <c r="E2266" s="166">
        <f>E2206</f>
        <v>0</v>
      </c>
      <c r="F2266" s="166">
        <f t="shared" si="187"/>
        <v>0</v>
      </c>
      <c r="G2266" s="163" t="e">
        <f t="shared" si="183"/>
        <v>#DIV/0!</v>
      </c>
    </row>
    <row r="2267" spans="2:7">
      <c r="B2267" s="465" t="str">
        <f>TillageOperations!$B$21</f>
        <v>Drill</v>
      </c>
      <c r="C2267" s="464" t="s">
        <v>157</v>
      </c>
      <c r="D2267" s="166">
        <f>PubMachineryTables!$AO$62</f>
        <v>51.837941761576523</v>
      </c>
      <c r="E2267" s="166">
        <f>E2208</f>
        <v>0</v>
      </c>
      <c r="F2267" s="166">
        <f t="shared" si="187"/>
        <v>0</v>
      </c>
      <c r="G2267" s="163" t="e">
        <f t="shared" ref="G2267:G2292" si="188">F2267/C$2133</f>
        <v>#DIV/0!</v>
      </c>
    </row>
    <row r="2268" spans="2:7">
      <c r="B2268" s="463" t="str">
        <f>TillageOperations!$B$27</f>
        <v>Cotton Picker</v>
      </c>
      <c r="C2268" s="464" t="s">
        <v>157</v>
      </c>
      <c r="D2268" s="166">
        <f>PubMachineryTables!$AO$67</f>
        <v>0</v>
      </c>
      <c r="E2268" s="166">
        <f>E2210</f>
        <v>0</v>
      </c>
      <c r="F2268" s="166">
        <f t="shared" si="187"/>
        <v>0</v>
      </c>
      <c r="G2268" s="163" t="e">
        <f t="shared" si="188"/>
        <v>#DIV/0!</v>
      </c>
    </row>
    <row r="2269" spans="2:7">
      <c r="B2269" s="463" t="str">
        <f>TillageOperations!$B$28</f>
        <v>Module Unit</v>
      </c>
      <c r="C2269" s="464" t="s">
        <v>157</v>
      </c>
      <c r="D2269" s="166">
        <f>PubMachineryTables!$AO$68</f>
        <v>0</v>
      </c>
      <c r="E2269" s="166">
        <f>E2212</f>
        <v>0</v>
      </c>
      <c r="F2269" s="166">
        <f t="shared" si="187"/>
        <v>0</v>
      </c>
      <c r="G2269" s="163" t="e">
        <f t="shared" si="188"/>
        <v>#DIV/0!</v>
      </c>
    </row>
    <row r="2270" spans="2:7">
      <c r="B2270" s="463" t="str">
        <f>TillageOperations!$B$29</f>
        <v>Haul Cotton</v>
      </c>
      <c r="C2270" s="464" t="s">
        <v>157</v>
      </c>
      <c r="D2270" s="166">
        <f>PubMachineryTables!$AO$69</f>
        <v>0</v>
      </c>
      <c r="E2270" s="166">
        <f>E2214</f>
        <v>0</v>
      </c>
      <c r="F2270" s="166">
        <f t="shared" si="187"/>
        <v>0</v>
      </c>
      <c r="G2270" s="163" t="e">
        <f t="shared" si="188"/>
        <v>#DIV/0!</v>
      </c>
    </row>
    <row r="2271" spans="2:7">
      <c r="B2271" s="465" t="str">
        <f>TillageOperations!$B$17</f>
        <v>Cotton Shredder/Root Puller</v>
      </c>
      <c r="C2271" s="464" t="s">
        <v>157</v>
      </c>
      <c r="D2271" s="166">
        <f>PubMachineryTables!$AO$59</f>
        <v>0</v>
      </c>
      <c r="E2271" s="166">
        <f>E2216</f>
        <v>0</v>
      </c>
      <c r="F2271" s="166">
        <f t="shared" si="187"/>
        <v>0</v>
      </c>
      <c r="G2271" s="163" t="e">
        <f t="shared" si="188"/>
        <v>#DIV/0!</v>
      </c>
    </row>
    <row r="2272" spans="2:7">
      <c r="B2272" s="102" t="str">
        <f>TillageOperations!$B$30</f>
        <v>Combine</v>
      </c>
      <c r="C2272" s="464" t="s">
        <v>157</v>
      </c>
      <c r="D2272" s="166">
        <f>PubMachineryTables!$AO$70</f>
        <v>154.43457969840463</v>
      </c>
      <c r="E2272" s="166">
        <f>E2218</f>
        <v>0</v>
      </c>
      <c r="F2272" s="166">
        <f>D2272*E2272</f>
        <v>0</v>
      </c>
      <c r="G2272" s="163" t="e">
        <f t="shared" si="188"/>
        <v>#DIV/0!</v>
      </c>
    </row>
    <row r="2273" spans="2:7">
      <c r="B2273" s="102" t="str">
        <f>TillageOperations!$B$31</f>
        <v>Grain Cart</v>
      </c>
      <c r="C2273" s="464" t="s">
        <v>157</v>
      </c>
      <c r="D2273" s="166">
        <f>PubMachineryTables!$AO$71</f>
        <v>25.28843211678571</v>
      </c>
      <c r="E2273" s="166">
        <f>E2220</f>
        <v>0</v>
      </c>
      <c r="F2273" s="166">
        <f>D2273*E2273</f>
        <v>0</v>
      </c>
      <c r="G2273" s="163" t="e">
        <f t="shared" si="188"/>
        <v>#DIV/0!</v>
      </c>
    </row>
    <row r="2274" spans="2:7">
      <c r="B2274" s="102" t="str">
        <f>TillageOperations!$B$32</f>
        <v>Swather</v>
      </c>
      <c r="C2274" s="464" t="s">
        <v>157</v>
      </c>
      <c r="D2274" s="166">
        <f>PubMachineryTables!$AO$72</f>
        <v>0</v>
      </c>
      <c r="E2274" s="166">
        <f>E2222</f>
        <v>0</v>
      </c>
      <c r="F2274" s="166">
        <f t="shared" ref="F2274:F2282" si="189">D2274*E2274</f>
        <v>0</v>
      </c>
      <c r="G2274" s="163" t="e">
        <f t="shared" si="188"/>
        <v>#DIV/0!</v>
      </c>
    </row>
    <row r="2275" spans="2:7">
      <c r="B2275" s="102" t="str">
        <f>TillageOperations!$B$33</f>
        <v>Baler</v>
      </c>
      <c r="C2275" s="464" t="s">
        <v>157</v>
      </c>
      <c r="D2275" s="166">
        <f>PubMachineryTables!$AO$73</f>
        <v>0</v>
      </c>
      <c r="E2275" s="166">
        <f>E2224</f>
        <v>0</v>
      </c>
      <c r="F2275" s="166">
        <f t="shared" si="189"/>
        <v>0</v>
      </c>
      <c r="G2275" s="163" t="e">
        <f t="shared" si="188"/>
        <v>#DIV/0!</v>
      </c>
    </row>
    <row r="2276" spans="2:7">
      <c r="B2276" s="102" t="str">
        <f>TillageOperations!$B$34</f>
        <v>Swather</v>
      </c>
      <c r="C2276" s="464" t="s">
        <v>157</v>
      </c>
      <c r="D2276" s="166">
        <f>PubMachineryTables!$AO$74</f>
        <v>0</v>
      </c>
      <c r="E2276" s="166">
        <f>E2226</f>
        <v>0</v>
      </c>
      <c r="F2276" s="166">
        <f t="shared" si="189"/>
        <v>0</v>
      </c>
      <c r="G2276" s="163" t="e">
        <f t="shared" si="188"/>
        <v>#DIV/0!</v>
      </c>
    </row>
    <row r="2277" spans="2:7">
      <c r="B2277" s="102" t="str">
        <f>TillageOperations!$B$35</f>
        <v>Baler</v>
      </c>
      <c r="C2277" s="464" t="s">
        <v>157</v>
      </c>
      <c r="D2277" s="166">
        <f>PubMachineryTables!$AO$75</f>
        <v>0</v>
      </c>
      <c r="E2277" s="166">
        <f>E2228</f>
        <v>0</v>
      </c>
      <c r="F2277" s="166">
        <f t="shared" si="189"/>
        <v>0</v>
      </c>
      <c r="G2277" s="163" t="e">
        <f t="shared" si="188"/>
        <v>#DIV/0!</v>
      </c>
    </row>
    <row r="2278" spans="2:7">
      <c r="B2278" s="102" t="str">
        <f>TillageOperations!$B$36</f>
        <v>Bale Wagon</v>
      </c>
      <c r="C2278" s="464" t="s">
        <v>157</v>
      </c>
      <c r="D2278" s="166">
        <f>PubMachineryTables!$AO$76</f>
        <v>0</v>
      </c>
      <c r="E2278" s="166">
        <f>E2231</f>
        <v>0</v>
      </c>
      <c r="F2278" s="166">
        <f t="shared" si="189"/>
        <v>0</v>
      </c>
      <c r="G2278" s="163" t="e">
        <f t="shared" si="188"/>
        <v>#DIV/0!</v>
      </c>
    </row>
    <row r="2279" spans="2:7">
      <c r="B2279" s="102" t="str">
        <f>TillageOperations!$B$23</f>
        <v>Fertilizer Spreader</v>
      </c>
      <c r="C2279" s="464" t="s">
        <v>157</v>
      </c>
      <c r="D2279" s="166">
        <f>PubMachineryTables!$AO$64</f>
        <v>93.913865291400512</v>
      </c>
      <c r="E2279" s="166">
        <f>E2233</f>
        <v>0</v>
      </c>
      <c r="F2279" s="166">
        <f t="shared" si="189"/>
        <v>0</v>
      </c>
      <c r="G2279" s="163" t="e">
        <f t="shared" si="188"/>
        <v>#DIV/0!</v>
      </c>
    </row>
    <row r="2280" spans="2:7">
      <c r="B2280" s="102" t="str">
        <f>TillageOperations!$B$24</f>
        <v>Fertilizer Injection System</v>
      </c>
      <c r="C2280" s="464" t="s">
        <v>157</v>
      </c>
      <c r="D2280" s="166">
        <f>PubMachineryTables!$AO$65</f>
        <v>0</v>
      </c>
      <c r="E2280" s="166">
        <f>E2235</f>
        <v>0</v>
      </c>
      <c r="F2280" s="166">
        <f t="shared" si="189"/>
        <v>0</v>
      </c>
      <c r="G2280" s="163" t="e">
        <f t="shared" si="188"/>
        <v>#DIV/0!</v>
      </c>
    </row>
    <row r="2281" spans="2:7">
      <c r="B2281" s="102" t="str">
        <f>TillageOperations!$B$25</f>
        <v>Boom Sprayer</v>
      </c>
      <c r="C2281" s="464" t="s">
        <v>157</v>
      </c>
      <c r="D2281" s="166">
        <f>PubMachineryTables!$AO$66</f>
        <v>9.6826493425933542</v>
      </c>
      <c r="E2281" s="166">
        <f>E2237</f>
        <v>0</v>
      </c>
      <c r="F2281" s="166">
        <f t="shared" si="189"/>
        <v>0</v>
      </c>
      <c r="G2281" s="163" t="e">
        <f t="shared" si="188"/>
        <v>#DIV/0!</v>
      </c>
    </row>
    <row r="2282" spans="2:7">
      <c r="B2282" s="102" t="str">
        <f>TillageOperations!$B$22</f>
        <v>Transplanter</v>
      </c>
      <c r="C2282" s="464" t="s">
        <v>157</v>
      </c>
      <c r="D2282" s="166">
        <f>PubMachineryTables!$AO$63</f>
        <v>0</v>
      </c>
      <c r="E2282" s="166">
        <f>E2239</f>
        <v>0</v>
      </c>
      <c r="F2282" s="166">
        <f t="shared" si="189"/>
        <v>0</v>
      </c>
      <c r="G2282" s="163" t="e">
        <f t="shared" si="188"/>
        <v>#DIV/0!</v>
      </c>
    </row>
    <row r="2283" spans="2:7">
      <c r="B2283" t="str">
        <f>'Inputs&amp;PricesbyCrop'!$B$39</f>
        <v>Crop Insurance</v>
      </c>
      <c r="C2283" s="464" t="s">
        <v>157</v>
      </c>
      <c r="D2283" s="166">
        <f>'Inputs&amp;PricesbyCrop'!$Q$39</f>
        <v>0</v>
      </c>
      <c r="E2283" s="169">
        <f t="shared" ref="E2283:E2288" si="190">$C$2133</f>
        <v>0</v>
      </c>
      <c r="F2283" s="166">
        <f>D2283*E2283</f>
        <v>0</v>
      </c>
      <c r="G2283" s="163" t="e">
        <f t="shared" si="188"/>
        <v>#DIV/0!</v>
      </c>
    </row>
    <row r="2284" spans="2:7">
      <c r="B2284" t="str">
        <f>'Inputs&amp;PricesbyCrop'!$B$40</f>
        <v>Property Insurance</v>
      </c>
      <c r="C2284" s="464" t="s">
        <v>157</v>
      </c>
      <c r="D2284" s="166">
        <f>'Inputs&amp;PricesbyCrop'!$Q$40</f>
        <v>0</v>
      </c>
      <c r="E2284" s="169">
        <f t="shared" si="190"/>
        <v>0</v>
      </c>
      <c r="F2284" s="166">
        <f>D2284*E2284</f>
        <v>0</v>
      </c>
      <c r="G2284" s="163" t="e">
        <f t="shared" si="188"/>
        <v>#DIV/0!</v>
      </c>
    </row>
    <row r="2285" spans="2:7">
      <c r="B2285" t="str">
        <f>'Inputs&amp;PricesbyCrop'!$B$41</f>
        <v>Property Taxes</v>
      </c>
      <c r="C2285" s="464" t="s">
        <v>157</v>
      </c>
      <c r="D2285" s="166">
        <f>'Inputs&amp;PricesbyCrop'!$Q$41</f>
        <v>0</v>
      </c>
      <c r="E2285" s="169">
        <f t="shared" si="190"/>
        <v>0</v>
      </c>
      <c r="F2285" s="166">
        <f t="shared" ref="F2285:F2288" si="191">D2285*E2285</f>
        <v>0</v>
      </c>
      <c r="G2285" s="163" t="e">
        <f t="shared" si="188"/>
        <v>#DIV/0!</v>
      </c>
    </row>
    <row r="2286" spans="2:7">
      <c r="B2286" t="str">
        <f>'Inputs&amp;PricesbyCrop'!$B$42</f>
        <v>Annual Cash Rent Payment</v>
      </c>
      <c r="C2286" s="464" t="s">
        <v>157</v>
      </c>
      <c r="D2286" s="166">
        <f>'Inputs&amp;PricesbyCrop'!$Q$42</f>
        <v>170</v>
      </c>
      <c r="E2286" s="169">
        <f t="shared" si="190"/>
        <v>0</v>
      </c>
      <c r="F2286" s="166">
        <f t="shared" si="191"/>
        <v>0</v>
      </c>
      <c r="G2286" s="163" t="e">
        <f t="shared" si="188"/>
        <v>#DIV/0!</v>
      </c>
    </row>
    <row r="2287" spans="2:7">
      <c r="B2287" t="s">
        <v>484</v>
      </c>
      <c r="C2287" s="464" t="s">
        <v>157</v>
      </c>
      <c r="D2287" s="166">
        <f>'Sheet #14'!I105</f>
        <v>0</v>
      </c>
      <c r="E2287" s="169">
        <f t="shared" si="190"/>
        <v>0</v>
      </c>
      <c r="F2287" s="166">
        <f t="shared" ref="F2287" si="192">D2287*E2287</f>
        <v>0</v>
      </c>
      <c r="G2287" s="163" t="e">
        <f t="shared" si="188"/>
        <v>#DIV/0!</v>
      </c>
    </row>
    <row r="2288" spans="2:7">
      <c r="B2288" t="str">
        <f>'Inputs&amp;PricesbyCrop'!$B$49</f>
        <v>Licenses and Fees</v>
      </c>
      <c r="C2288" s="464" t="s">
        <v>157</v>
      </c>
      <c r="D2288" s="166">
        <f>'Inputs&amp;PricesbyCrop'!$Q$49</f>
        <v>0</v>
      </c>
      <c r="E2288" s="169">
        <f t="shared" si="190"/>
        <v>0</v>
      </c>
      <c r="F2288" s="170">
        <f t="shared" si="191"/>
        <v>0</v>
      </c>
      <c r="G2288" s="163" t="e">
        <f t="shared" si="188"/>
        <v>#DIV/0!</v>
      </c>
    </row>
    <row r="2289" spans="2:7">
      <c r="B2289" t="s">
        <v>131</v>
      </c>
      <c r="D2289" s="454"/>
      <c r="F2289" s="37">
        <f>SUM(F2252:F2288)</f>
        <v>0</v>
      </c>
      <c r="G2289" s="163" t="e">
        <f t="shared" si="188"/>
        <v>#DIV/0!</v>
      </c>
    </row>
    <row r="2290" spans="2:7">
      <c r="D2290" s="454"/>
      <c r="G2290" s="163" t="e">
        <f t="shared" si="188"/>
        <v>#DIV/0!</v>
      </c>
    </row>
    <row r="2291" spans="2:7">
      <c r="B2291" t="s">
        <v>63</v>
      </c>
      <c r="D2291" s="454"/>
      <c r="F2291" s="37">
        <f>F2289+F2249</f>
        <v>0</v>
      </c>
      <c r="G2291" s="163" t="e">
        <f t="shared" si="188"/>
        <v>#DIV/0!</v>
      </c>
    </row>
    <row r="2292" spans="2:7">
      <c r="B2292" t="s">
        <v>64</v>
      </c>
      <c r="D2292" s="454"/>
      <c r="F2292" s="37">
        <f>F2138-F2291</f>
        <v>0</v>
      </c>
      <c r="G2292" s="163" t="e">
        <f t="shared" si="188"/>
        <v>#DIV/0!</v>
      </c>
    </row>
    <row r="2293" spans="2:7">
      <c r="B2293" s="249" t="s">
        <v>276</v>
      </c>
      <c r="C2293" s="249" t="s">
        <v>4</v>
      </c>
      <c r="D2293" s="250" t="s">
        <v>277</v>
      </c>
      <c r="E2293" s="249" t="s">
        <v>278</v>
      </c>
      <c r="F2293" s="249" t="s">
        <v>279</v>
      </c>
      <c r="G2293" s="249"/>
    </row>
    <row r="2294" spans="2:7">
      <c r="B2294" s="135" t="str">
        <f>B2299</f>
        <v>Alt Crop #2</v>
      </c>
      <c r="D2294" s="454"/>
    </row>
    <row r="2295" spans="2:7">
      <c r="B2295" t="s">
        <v>16</v>
      </c>
      <c r="C2295" s="457">
        <f>IF('AcresYieldsPrices&amp;Water'!D16=0,0,'AcresYieldsPrices&amp;Water'!D16)</f>
        <v>0</v>
      </c>
      <c r="D2295" s="454" t="s">
        <v>17</v>
      </c>
    </row>
    <row r="2296" spans="2:7">
      <c r="D2296" s="454"/>
    </row>
    <row r="2297" spans="2:7">
      <c r="B2297" t="s">
        <v>22</v>
      </c>
      <c r="D2297" s="454"/>
    </row>
    <row r="2298" spans="2:7">
      <c r="B2298" s="455" t="s">
        <v>23</v>
      </c>
      <c r="C2298" s="458" t="s">
        <v>1</v>
      </c>
      <c r="D2298" s="459" t="s">
        <v>24</v>
      </c>
      <c r="E2298" s="460" t="s">
        <v>25</v>
      </c>
      <c r="F2298" s="460" t="s">
        <v>0</v>
      </c>
      <c r="G2298" s="277"/>
    </row>
    <row r="2299" spans="2:7">
      <c r="B2299" t="str">
        <f>'AcresYieldsPrices&amp;Water'!J18</f>
        <v>Alt Crop #2</v>
      </c>
      <c r="C2299" s="137" t="str">
        <f>'AcresYieldsPrices&amp;Water'!L18</f>
        <v>bushel</v>
      </c>
      <c r="D2299" s="454">
        <f>'AcresYieldsPrices&amp;Water'!M18</f>
        <v>0</v>
      </c>
      <c r="E2299" s="462">
        <f>'AcresYieldsPrices&amp;Water'!N18*$C$2295</f>
        <v>0</v>
      </c>
      <c r="F2299" s="136">
        <f>D2299*E2299</f>
        <v>0</v>
      </c>
      <c r="G2299" s="136"/>
    </row>
    <row r="2300" spans="2:7">
      <c r="B2300" t="s">
        <v>27</v>
      </c>
      <c r="D2300" s="454"/>
      <c r="F2300" s="37">
        <f>SUM(F2299:F2299)</f>
        <v>0</v>
      </c>
      <c r="G2300" s="163" t="e">
        <f>F2300/C$2295</f>
        <v>#DIV/0!</v>
      </c>
    </row>
    <row r="2301" spans="2:7">
      <c r="D2301" s="454"/>
      <c r="G2301" s="163" t="e">
        <f t="shared" ref="G2301:G2364" si="193">F2301/C$2295</f>
        <v>#DIV/0!</v>
      </c>
    </row>
    <row r="2302" spans="2:7">
      <c r="B2302" s="455" t="s">
        <v>62</v>
      </c>
      <c r="C2302" s="458" t="s">
        <v>1</v>
      </c>
      <c r="D2302" s="459" t="s">
        <v>24</v>
      </c>
      <c r="E2302" s="460" t="s">
        <v>25</v>
      </c>
      <c r="F2302" s="460" t="s">
        <v>0</v>
      </c>
      <c r="G2302" s="163" t="e">
        <f t="shared" si="193"/>
        <v>#VALUE!</v>
      </c>
    </row>
    <row r="2303" spans="2:7">
      <c r="B2303" t="str">
        <f>'Inputs&amp;PricesbyCrop'!B$82</f>
        <v xml:space="preserve">   - Seed</v>
      </c>
      <c r="C2303" s="137" t="str">
        <f>'Inputs&amp;PricesbyCrop'!C$91</f>
        <v>pounds</v>
      </c>
      <c r="D2303" s="454">
        <f>'Inputs&amp;PricesbyCrop'!$R$5</f>
        <v>0</v>
      </c>
      <c r="E2303" s="462">
        <f>'Inputs&amp;PricesbyCrop'!$R$6*$C$2295</f>
        <v>0</v>
      </c>
      <c r="F2303" s="37">
        <f t="shared" ref="F2303:F2342" si="194">D2303*E2303</f>
        <v>0</v>
      </c>
      <c r="G2303" s="163" t="e">
        <f t="shared" si="193"/>
        <v>#DIV/0!</v>
      </c>
    </row>
    <row r="2304" spans="2:7">
      <c r="B2304" t="str">
        <f>GeneralInputPrices!$B$3</f>
        <v xml:space="preserve">   - Inoculant</v>
      </c>
      <c r="C2304" s="137" t="str">
        <f>GeneralInputPrices!$C$3</f>
        <v>pounds</v>
      </c>
      <c r="D2304" s="166">
        <f>GeneralInputPrices!$D$3</f>
        <v>3</v>
      </c>
      <c r="E2304" s="166">
        <f>'Inputs&amp;PricesbyCrop'!$R$22*$C$2295</f>
        <v>0</v>
      </c>
      <c r="F2304" s="166">
        <f t="shared" si="194"/>
        <v>0</v>
      </c>
      <c r="G2304" s="163" t="e">
        <f t="shared" si="193"/>
        <v>#DIV/0!</v>
      </c>
    </row>
    <row r="2305" spans="2:7">
      <c r="B2305" t="str">
        <f>GeneralInputPrices!B$5</f>
        <v xml:space="preserve">   - Nitrogen</v>
      </c>
      <c r="C2305" s="137" t="str">
        <f>GeneralInputPrices!$C$5</f>
        <v>pounds</v>
      </c>
      <c r="D2305" s="166">
        <f>GeneralInputPrices!$D$5</f>
        <v>0.46</v>
      </c>
      <c r="E2305" s="166">
        <f>'Inputs&amp;PricesbyCrop'!$R$23*$C$2295</f>
        <v>0</v>
      </c>
      <c r="F2305" s="166">
        <f t="shared" si="194"/>
        <v>0</v>
      </c>
      <c r="G2305" s="163" t="e">
        <f t="shared" si="193"/>
        <v>#DIV/0!</v>
      </c>
    </row>
    <row r="2306" spans="2:7">
      <c r="B2306" t="str">
        <f>GeneralInputPrices!B$6</f>
        <v xml:space="preserve">   - Phosphorus</v>
      </c>
      <c r="C2306" s="137" t="str">
        <f>GeneralInputPrices!$C$6</f>
        <v>pounds</v>
      </c>
      <c r="D2306" s="166">
        <f>GeneralInputPrices!$D$6</f>
        <v>0.36</v>
      </c>
      <c r="E2306" s="166">
        <f>'Inputs&amp;PricesbyCrop'!$R$24*$C$2295</f>
        <v>0</v>
      </c>
      <c r="F2306" s="166">
        <f t="shared" si="194"/>
        <v>0</v>
      </c>
      <c r="G2306" s="163" t="e">
        <f t="shared" si="193"/>
        <v>#DIV/0!</v>
      </c>
    </row>
    <row r="2307" spans="2:7">
      <c r="B2307" t="str">
        <f>GeneralInputPrices!B$7</f>
        <v xml:space="preserve">   - Anhydrous Ammonia</v>
      </c>
      <c r="C2307" s="137" t="str">
        <f>GeneralInputPrices!$C$7</f>
        <v>pounds</v>
      </c>
      <c r="D2307" s="166">
        <f>GeneralInputPrices!$D$7</f>
        <v>0.21</v>
      </c>
      <c r="E2307" s="166">
        <f>'Inputs&amp;PricesbyCrop'!$R$25*$C$2295</f>
        <v>0</v>
      </c>
      <c r="F2307" s="166">
        <f t="shared" si="194"/>
        <v>0</v>
      </c>
      <c r="G2307" s="163" t="e">
        <f t="shared" si="193"/>
        <v>#DIV/0!</v>
      </c>
    </row>
    <row r="2308" spans="2:7">
      <c r="B2308" t="str">
        <f>GeneralInputPrices!$B$8</f>
        <v xml:space="preserve">   - Trace Elements</v>
      </c>
      <c r="C2308" s="137" t="str">
        <f>GeneralInputPrices!$C$8</f>
        <v>pounds</v>
      </c>
      <c r="D2308" s="166">
        <f>GeneralInputPrices!$D$8</f>
        <v>0.24</v>
      </c>
      <c r="E2308" s="166">
        <f>'Inputs&amp;PricesbyCrop'!$R$26*$C$2295</f>
        <v>0</v>
      </c>
      <c r="F2308" s="166">
        <f t="shared" si="194"/>
        <v>0</v>
      </c>
      <c r="G2308" s="163" t="e">
        <f t="shared" si="193"/>
        <v>#DIV/0!</v>
      </c>
    </row>
    <row r="2309" spans="2:7">
      <c r="B2309" t="str">
        <f>'Inputs&amp;PricesbyCrop'!$B$32</f>
        <v xml:space="preserve">   - Nitrogen</v>
      </c>
      <c r="C2309" s="137" t="str">
        <f>'Inputs&amp;PricesbyCrop'!$C$32</f>
        <v>acre</v>
      </c>
      <c r="D2309" s="166">
        <f>'Inputs&amp;PricesbyCrop'!$R$32</f>
        <v>0</v>
      </c>
      <c r="E2309" s="166">
        <f>$C$2295</f>
        <v>0</v>
      </c>
      <c r="F2309" s="166">
        <f t="shared" si="194"/>
        <v>0</v>
      </c>
      <c r="G2309" s="163" t="e">
        <f t="shared" si="193"/>
        <v>#DIV/0!</v>
      </c>
    </row>
    <row r="2310" spans="2:7">
      <c r="B2310" t="str">
        <f>'Inputs&amp;PricesbyCrop'!$B$33</f>
        <v xml:space="preserve">   - Phosphorus</v>
      </c>
      <c r="C2310" s="137" t="str">
        <f>'Inputs&amp;PricesbyCrop'!$C$33</f>
        <v>acre</v>
      </c>
      <c r="D2310" s="166">
        <f>'Inputs&amp;PricesbyCrop'!$R$33</f>
        <v>0</v>
      </c>
      <c r="E2310" s="166">
        <f>$C$2295</f>
        <v>0</v>
      </c>
      <c r="F2310" s="166">
        <f t="shared" si="194"/>
        <v>0</v>
      </c>
      <c r="G2310" s="163" t="e">
        <f t="shared" si="193"/>
        <v>#DIV/0!</v>
      </c>
    </row>
    <row r="2311" spans="2:7">
      <c r="B2311" t="str">
        <f>'Inputs&amp;PricesbyCrop'!$B$34</f>
        <v xml:space="preserve">   - Fertilizer - Anhydrous Applicator</v>
      </c>
      <c r="C2311" s="137" t="str">
        <f>'Inputs&amp;PricesbyCrop'!$C$34</f>
        <v>acre</v>
      </c>
      <c r="D2311" s="166">
        <f>'Inputs&amp;PricesbyCrop'!$R$34</f>
        <v>0</v>
      </c>
      <c r="E2311" s="166">
        <f>$C$2295</f>
        <v>0</v>
      </c>
      <c r="F2311" s="166">
        <f t="shared" si="194"/>
        <v>0</v>
      </c>
      <c r="G2311" s="163" t="e">
        <f t="shared" si="193"/>
        <v>#DIV/0!</v>
      </c>
    </row>
    <row r="2312" spans="2:7">
      <c r="B2312" t="str">
        <f>GeneralInputPrices!$B$10</f>
        <v xml:space="preserve">   - Prowl</v>
      </c>
      <c r="C2312" s="137" t="str">
        <f>GeneralInputPrices!$C$10</f>
        <v>pints</v>
      </c>
      <c r="D2312" s="166">
        <f>GeneralInputPrices!$D$10</f>
        <v>6.0625</v>
      </c>
      <c r="E2312" s="166">
        <f>'Inputs&amp;PricesbyCrop'!$R$27*$C$2295</f>
        <v>0</v>
      </c>
      <c r="F2312" s="166">
        <f t="shared" si="194"/>
        <v>0</v>
      </c>
      <c r="G2312" s="163" t="e">
        <f t="shared" si="193"/>
        <v>#DIV/0!</v>
      </c>
    </row>
    <row r="2313" spans="2:7">
      <c r="B2313" t="str">
        <f>GeneralInputPrices!$B$11</f>
        <v xml:space="preserve">   - Aim</v>
      </c>
      <c r="C2313" s="137" t="str">
        <f>GeneralInputPrices!$C$11</f>
        <v>ounces</v>
      </c>
      <c r="D2313" s="166">
        <f>GeneralInputPrices!$D$11</f>
        <v>5.9375</v>
      </c>
      <c r="E2313" s="166">
        <f>'Inputs&amp;PricesbyCrop'!$R$28*$C$2295</f>
        <v>0</v>
      </c>
      <c r="F2313" s="166">
        <f t="shared" si="194"/>
        <v>0</v>
      </c>
      <c r="G2313" s="163" t="e">
        <f t="shared" si="193"/>
        <v>#DIV/0!</v>
      </c>
    </row>
    <row r="2314" spans="2:7">
      <c r="B2314" t="str">
        <f>GeneralInputPrices!$B$12</f>
        <v xml:space="preserve">   - Fusilade</v>
      </c>
      <c r="C2314" s="137" t="str">
        <f>GeneralInputPrices!$C$12</f>
        <v>ounces</v>
      </c>
      <c r="D2314" s="166">
        <f>GeneralInputPrices!$D$12</f>
        <v>1.25</v>
      </c>
      <c r="E2314" s="166">
        <f>'Inputs&amp;PricesbyCrop'!$R$29*$C$2295</f>
        <v>0</v>
      </c>
      <c r="F2314" s="166">
        <f t="shared" si="194"/>
        <v>0</v>
      </c>
      <c r="G2314" s="163" t="e">
        <f t="shared" si="193"/>
        <v>#DIV/0!</v>
      </c>
    </row>
    <row r="2315" spans="2:7">
      <c r="B2315" t="str">
        <f>'Inputs&amp;PricesbyCrop'!$B$35</f>
        <v xml:space="preserve">   - Herbicides</v>
      </c>
      <c r="C2315" s="137" t="str">
        <f>'Inputs&amp;PricesbyCrop'!$C$35</f>
        <v>acre</v>
      </c>
      <c r="D2315" s="166">
        <f>'Inputs&amp;PricesbyCrop'!$R$35</f>
        <v>0</v>
      </c>
      <c r="E2315" s="166">
        <f>$C$2295</f>
        <v>0</v>
      </c>
      <c r="F2315" s="166">
        <f t="shared" si="194"/>
        <v>0</v>
      </c>
      <c r="G2315" s="163" t="e">
        <f t="shared" si="193"/>
        <v>#DIV/0!</v>
      </c>
    </row>
    <row r="2316" spans="2:7">
      <c r="B2316" t="str">
        <f>'Inputs&amp;PricesbyCrop'!$B$36</f>
        <v xml:space="preserve">   - Herbicide - #2</v>
      </c>
      <c r="C2316" s="137" t="str">
        <f>'Inputs&amp;PricesbyCrop'!$C$36</f>
        <v>acre</v>
      </c>
      <c r="D2316" s="166">
        <f>'Inputs&amp;PricesbyCrop'!$R$36</f>
        <v>0</v>
      </c>
      <c r="E2316" s="166">
        <f>$C$2295</f>
        <v>0</v>
      </c>
      <c r="F2316" s="166">
        <f t="shared" si="194"/>
        <v>0</v>
      </c>
      <c r="G2316" s="163" t="e">
        <f t="shared" si="193"/>
        <v>#DIV/0!</v>
      </c>
    </row>
    <row r="2317" spans="2:7">
      <c r="B2317" t="str">
        <f>'Inputs&amp;PricesbyCrop'!$B$37</f>
        <v xml:space="preserve">   - Insecticides</v>
      </c>
      <c r="C2317" s="137" t="str">
        <f>'Inputs&amp;PricesbyCrop'!$C$37</f>
        <v>acre</v>
      </c>
      <c r="D2317" s="166">
        <f>'Inputs&amp;PricesbyCrop'!$R$37</f>
        <v>0</v>
      </c>
      <c r="E2317" s="166">
        <f>$C$2295</f>
        <v>0</v>
      </c>
      <c r="F2317" s="166">
        <f t="shared" si="194"/>
        <v>0</v>
      </c>
      <c r="G2317" s="163" t="e">
        <f t="shared" si="193"/>
        <v>#DIV/0!</v>
      </c>
    </row>
    <row r="2318" spans="2:7">
      <c r="B2318" t="str">
        <f>'Inputs&amp;PricesbyCrop'!$B$38</f>
        <v xml:space="preserve">   - Insecticide - #2</v>
      </c>
      <c r="C2318" s="137" t="str">
        <f>'Inputs&amp;PricesbyCrop'!$C$38</f>
        <v>acre</v>
      </c>
      <c r="D2318" s="166">
        <f>'Inputs&amp;PricesbyCrop'!$R$38</f>
        <v>0</v>
      </c>
      <c r="E2318" s="166">
        <f>$C$2295</f>
        <v>0</v>
      </c>
      <c r="F2318" s="166">
        <f t="shared" si="194"/>
        <v>0</v>
      </c>
      <c r="G2318" s="163" t="e">
        <f t="shared" si="193"/>
        <v>#DIV/0!</v>
      </c>
    </row>
    <row r="2319" spans="2:7">
      <c r="B2319" t="str">
        <f>'Inputs&amp;PricesbyCrop'!$B$7</f>
        <v>Flood - Irrigation Water</v>
      </c>
      <c r="C2319" s="137" t="str">
        <f>'Inputs&amp;PricesbyCrop'!$C$7</f>
        <v>ac ft</v>
      </c>
      <c r="D2319" s="166">
        <f>GeneralInputPrices!$D$13</f>
        <v>55</v>
      </c>
      <c r="E2319" s="102">
        <f>('AcresYieldsPrices&amp;Water'!$E$16*'Inputs&amp;PricesbyCrop'!$R$7)*$C2295</f>
        <v>0</v>
      </c>
      <c r="F2319" s="166">
        <f t="shared" si="194"/>
        <v>0</v>
      </c>
      <c r="G2319" s="163" t="e">
        <f t="shared" si="193"/>
        <v>#DIV/0!</v>
      </c>
    </row>
    <row r="2320" spans="2:7">
      <c r="B2320" t="str">
        <f>'Inputs&amp;PricesbyCrop'!$B$8</f>
        <v>Flood - Irrigation Labor</v>
      </c>
      <c r="C2320" s="137" t="str">
        <f>'Inputs&amp;PricesbyCrop'!$C$8</f>
        <v>hour</v>
      </c>
      <c r="D2320" s="166">
        <f>GeneralInputPrices!$D$28</f>
        <v>14.55</v>
      </c>
      <c r="E2320" s="166">
        <f>('AcresYieldsPrices&amp;Water'!$E$16*'Inputs&amp;PricesbyCrop'!$R$8)*$C2295</f>
        <v>0</v>
      </c>
      <c r="F2320" s="166">
        <f t="shared" si="194"/>
        <v>0</v>
      </c>
      <c r="G2320" s="163" t="e">
        <f t="shared" si="193"/>
        <v>#DIV/0!</v>
      </c>
    </row>
    <row r="2321" spans="2:7">
      <c r="B2321" t="str">
        <f>GeneralInputPrices!$B$18</f>
        <v xml:space="preserve">   - Annual Repairs &amp; Maintenance</v>
      </c>
      <c r="C2321" s="453" t="str">
        <f>GeneralInputPrices!$C$18</f>
        <v>acre</v>
      </c>
      <c r="D2321" s="166">
        <f>GeneralInputPrices!$D$18</f>
        <v>3</v>
      </c>
      <c r="E2321" s="166">
        <f>'AcresYieldsPrices&amp;Water'!$E$16*$C2295</f>
        <v>0</v>
      </c>
      <c r="F2321" s="166">
        <f t="shared" si="194"/>
        <v>0</v>
      </c>
      <c r="G2321" s="163" t="e">
        <f t="shared" si="193"/>
        <v>#DIV/0!</v>
      </c>
    </row>
    <row r="2322" spans="2:7">
      <c r="B2322" t="str">
        <f>'Inputs&amp;PricesbyCrop'!$B$9</f>
        <v>Drip-tape - Irrigation Water</v>
      </c>
      <c r="C2322" s="137" t="str">
        <f>'Inputs&amp;PricesbyCrop'!$C$9</f>
        <v>ac ft</v>
      </c>
      <c r="D2322" s="166">
        <f>GeneralInputPrices!$D$13</f>
        <v>55</v>
      </c>
      <c r="E2322" s="166">
        <f>('AcresYieldsPrices&amp;Water'!$F$16*'Inputs&amp;PricesbyCrop'!$R$9)*$C2295</f>
        <v>0</v>
      </c>
      <c r="F2322" s="166">
        <f t="shared" si="194"/>
        <v>0</v>
      </c>
      <c r="G2322" s="163" t="e">
        <f t="shared" si="193"/>
        <v>#DIV/0!</v>
      </c>
    </row>
    <row r="2323" spans="2:7">
      <c r="B2323" t="str">
        <f>'Inputs&amp;PricesbyCrop'!$B$10</f>
        <v>Drip-tape - Irrigation Labor</v>
      </c>
      <c r="C2323" s="137" t="str">
        <f>'Inputs&amp;PricesbyCrop'!$C$10</f>
        <v>hour</v>
      </c>
      <c r="D2323" s="166">
        <f>GeneralInputPrices!$D$28</f>
        <v>14.55</v>
      </c>
      <c r="E2323" s="166">
        <f>('AcresYieldsPrices&amp;Water'!$F$16*'Inputs&amp;PricesbyCrop'!$R$10)*$C2295</f>
        <v>0</v>
      </c>
      <c r="F2323" s="166">
        <f t="shared" si="194"/>
        <v>0</v>
      </c>
      <c r="G2323" s="163" t="e">
        <f t="shared" si="193"/>
        <v>#DIV/0!</v>
      </c>
    </row>
    <row r="2324" spans="2:7">
      <c r="B2324" t="str">
        <f>GeneralInputPrices!$B$22</f>
        <v xml:space="preserve">   - Annual Repairs &amp; Maintenance</v>
      </c>
      <c r="C2324" s="453" t="str">
        <f>GeneralInputPrices!$C$22</f>
        <v>acre</v>
      </c>
      <c r="D2324" s="166">
        <f>GeneralInputPrices!$D$22</f>
        <v>7.5</v>
      </c>
      <c r="E2324" s="166">
        <f>'AcresYieldsPrices&amp;Water'!$F$16*C2295</f>
        <v>0</v>
      </c>
      <c r="F2324" s="166">
        <f t="shared" si="194"/>
        <v>0</v>
      </c>
      <c r="G2324" s="163" t="e">
        <f t="shared" si="193"/>
        <v>#DIV/0!</v>
      </c>
    </row>
    <row r="2325" spans="2:7">
      <c r="B2325" t="str">
        <f>'Inputs&amp;PricesbyCrop'!$B$11</f>
        <v>Sprinkler - Irrigation Water</v>
      </c>
      <c r="C2325" s="137" t="str">
        <f>'Inputs&amp;PricesbyCrop'!$C$11</f>
        <v>ac ft</v>
      </c>
      <c r="D2325" s="166">
        <f>GeneralInputPrices!$D$13</f>
        <v>55</v>
      </c>
      <c r="E2325" s="166">
        <f>('AcresYieldsPrices&amp;Water'!$G$16*'Inputs&amp;PricesbyCrop'!$R$11)*$C2295</f>
        <v>0</v>
      </c>
      <c r="F2325" s="166">
        <f t="shared" si="194"/>
        <v>0</v>
      </c>
      <c r="G2325" s="163" t="e">
        <f t="shared" si="193"/>
        <v>#DIV/0!</v>
      </c>
    </row>
    <row r="2326" spans="2:7">
      <c r="B2326" t="str">
        <f>'Inputs&amp;PricesbyCrop'!$B$12</f>
        <v>Sprinkler - Irrigation Labor</v>
      </c>
      <c r="C2326" s="137" t="str">
        <f>'Inputs&amp;PricesbyCrop'!$C$12</f>
        <v>hour</v>
      </c>
      <c r="D2326" s="166">
        <f>GeneralInputPrices!$D$28</f>
        <v>14.55</v>
      </c>
      <c r="E2326" s="166">
        <f>('AcresYieldsPrices&amp;Water'!$G$16*'Inputs&amp;PricesbyCrop'!$R$12)*$C2295</f>
        <v>0</v>
      </c>
      <c r="F2326" s="166">
        <f t="shared" si="194"/>
        <v>0</v>
      </c>
      <c r="G2326" s="163" t="e">
        <f t="shared" si="193"/>
        <v>#DIV/0!</v>
      </c>
    </row>
    <row r="2327" spans="2:7">
      <c r="B2327" t="str">
        <f>GeneralInputPrices!$B$26</f>
        <v xml:space="preserve">   - Annual Repairs &amp; Maintenance</v>
      </c>
      <c r="C2327" s="453" t="str">
        <f>GeneralInputPrices!$C$26</f>
        <v>acre</v>
      </c>
      <c r="D2327" s="166">
        <f>GeneralInputPrices!$D$26</f>
        <v>15</v>
      </c>
      <c r="E2327" s="166">
        <f>'AcresYieldsPrices&amp;Water'!$G$16*$C2295</f>
        <v>0</v>
      </c>
      <c r="F2327" s="166">
        <f t="shared" si="194"/>
        <v>0</v>
      </c>
      <c r="G2327" s="163" t="e">
        <f t="shared" si="193"/>
        <v>#DIV/0!</v>
      </c>
    </row>
    <row r="2328" spans="2:7">
      <c r="B2328" t="str">
        <f>CustomOperations!$B$37</f>
        <v>Harvest, Custom</v>
      </c>
      <c r="C2328" s="137" t="str">
        <f>CustomOperations!$C$37</f>
        <v>acre</v>
      </c>
      <c r="D2328" s="166">
        <f>CustomOperations!$R$37</f>
        <v>25</v>
      </c>
      <c r="E2328" s="166">
        <f>CustomOperations!$R$38*$C$2295</f>
        <v>0</v>
      </c>
      <c r="F2328" s="166">
        <f t="shared" si="194"/>
        <v>0</v>
      </c>
      <c r="G2328" s="163" t="e">
        <f t="shared" si="193"/>
        <v>#DIV/0!</v>
      </c>
    </row>
    <row r="2329" spans="2:7">
      <c r="B2329" t="str">
        <f>CustomOperations!$B$39</f>
        <v>Hauling, Custom</v>
      </c>
      <c r="C2329" s="137" t="str">
        <f>CustomOperations!$C$39</f>
        <v>mile</v>
      </c>
      <c r="D2329" s="166">
        <f>CustomOperations!$R$39</f>
        <v>0</v>
      </c>
      <c r="E2329" s="166">
        <f>CustomOperations!$R$40*$C$2295</f>
        <v>0</v>
      </c>
      <c r="F2329" s="166">
        <f t="shared" si="194"/>
        <v>0</v>
      </c>
      <c r="G2329" s="163" t="e">
        <f t="shared" si="193"/>
        <v>#DIV/0!</v>
      </c>
    </row>
    <row r="2330" spans="2:7">
      <c r="B2330" t="str">
        <f>CustomOperations!$B$41</f>
        <v>Gin Cotton/Drying/Swathing, Custom</v>
      </c>
      <c r="C2330" s="137" t="str">
        <f>CustomOperations!$C$41</f>
        <v>bale</v>
      </c>
      <c r="D2330" s="166">
        <f>CustomOperations!$R$41</f>
        <v>0</v>
      </c>
      <c r="E2330" s="166">
        <f>CustomOperations!$R$42*$C$2295</f>
        <v>0</v>
      </c>
      <c r="F2330" s="166">
        <f t="shared" si="194"/>
        <v>0</v>
      </c>
      <c r="G2330" s="163" t="e">
        <f t="shared" si="193"/>
        <v>#DIV/0!</v>
      </c>
    </row>
    <row r="2331" spans="2:7">
      <c r="B2331" t="str">
        <f>CustomOperations!$B$24</f>
        <v>Drill, Custom</v>
      </c>
      <c r="C2331" s="137" t="str">
        <f>CustomOperations!$C$24</f>
        <v>acre</v>
      </c>
      <c r="D2331" s="166">
        <f>CustomOperations!$R$24</f>
        <v>0</v>
      </c>
      <c r="E2331" s="166">
        <f>CustomOperations!$R$25*$C$2295</f>
        <v>0</v>
      </c>
      <c r="F2331" s="166">
        <f t="shared" si="194"/>
        <v>0</v>
      </c>
      <c r="G2331" s="163" t="e">
        <f t="shared" si="193"/>
        <v>#DIV/0!</v>
      </c>
    </row>
    <row r="2332" spans="2:7">
      <c r="B2332" t="str">
        <f>CustomOperations!$B$26</f>
        <v>Row Planter, Custom</v>
      </c>
      <c r="C2332" s="137" t="str">
        <f>CustomOperations!$C$26</f>
        <v>acre</v>
      </c>
      <c r="D2332" s="166">
        <f>CustomOperations!$R$26</f>
        <v>0</v>
      </c>
      <c r="E2332" s="166">
        <f>CustomOperations!$R$27*$C$2295</f>
        <v>0</v>
      </c>
      <c r="F2332" s="166">
        <f t="shared" si="194"/>
        <v>0</v>
      </c>
      <c r="G2332" s="163" t="e">
        <f t="shared" si="193"/>
        <v>#DIV/0!</v>
      </c>
    </row>
    <row r="2333" spans="2:7">
      <c r="B2333" t="str">
        <f>CustomOperations!$B$28</f>
        <v>Row Cultivator, Custom</v>
      </c>
      <c r="C2333" s="137" t="str">
        <f>CustomOperations!$C$28</f>
        <v>acre</v>
      </c>
      <c r="D2333" s="166">
        <f>CustomOperations!$R$28</f>
        <v>0</v>
      </c>
      <c r="E2333" s="166">
        <f>CustomOperations!$R$29*$C$2295</f>
        <v>0</v>
      </c>
      <c r="F2333" s="166">
        <f t="shared" si="194"/>
        <v>0</v>
      </c>
      <c r="G2333" s="163" t="e">
        <f t="shared" si="193"/>
        <v>#DIV/0!</v>
      </c>
    </row>
    <row r="2334" spans="2:7">
      <c r="B2334" t="str">
        <f>CustomOperations!$B$5</f>
        <v>V Ripper, Custom</v>
      </c>
      <c r="C2334" s="137" t="str">
        <f>CustomOperations!$C$5</f>
        <v>acre</v>
      </c>
      <c r="D2334" s="166">
        <f>CustomOperations!$R$5</f>
        <v>44.25</v>
      </c>
      <c r="E2334" s="166">
        <f>CustomOperations!$R$6*$C$2295</f>
        <v>0</v>
      </c>
      <c r="F2334" s="166">
        <f t="shared" si="194"/>
        <v>0</v>
      </c>
      <c r="G2334" s="163" t="e">
        <f t="shared" si="193"/>
        <v>#DIV/0!</v>
      </c>
    </row>
    <row r="2335" spans="2:7">
      <c r="B2335" t="str">
        <f>CustomOperations!$B$7</f>
        <v>Disk, Custom</v>
      </c>
      <c r="C2335" s="137" t="str">
        <f>CustomOperations!$C$7</f>
        <v>acre</v>
      </c>
      <c r="D2335" s="166">
        <f>CustomOperations!$R$7</f>
        <v>0</v>
      </c>
      <c r="E2335" s="166">
        <f>CustomOperations!$R$8*$C$2295</f>
        <v>0</v>
      </c>
      <c r="F2335" s="166">
        <f t="shared" si="194"/>
        <v>0</v>
      </c>
      <c r="G2335" s="163" t="e">
        <f t="shared" si="193"/>
        <v>#DIV/0!</v>
      </c>
    </row>
    <row r="2336" spans="2:7">
      <c r="B2336" t="str">
        <f>CustomOperations!$B$9</f>
        <v>Drag, Custom</v>
      </c>
      <c r="C2336" s="137" t="str">
        <f>CustomOperations!$C$9</f>
        <v>acre</v>
      </c>
      <c r="D2336" s="166">
        <f>CustomOperations!$R$9</f>
        <v>0</v>
      </c>
      <c r="E2336" s="166">
        <f>CustomOperations!$R$10*$C$2295</f>
        <v>0</v>
      </c>
      <c r="F2336" s="166">
        <f t="shared" si="194"/>
        <v>0</v>
      </c>
      <c r="G2336" s="163" t="e">
        <f t="shared" si="193"/>
        <v>#DIV/0!</v>
      </c>
    </row>
    <row r="2337" spans="2:7">
      <c r="B2337" t="str">
        <f>CustomOperations!$B$11</f>
        <v>Chisel, Custom</v>
      </c>
      <c r="C2337" s="137" t="str">
        <f>CustomOperations!$C$11</f>
        <v>acre</v>
      </c>
      <c r="D2337" s="166">
        <f>CustomOperations!$R$11</f>
        <v>0</v>
      </c>
      <c r="E2337" s="166">
        <f>CustomOperations!$R$12*$C$2295</f>
        <v>0</v>
      </c>
      <c r="F2337" s="166">
        <f t="shared" si="194"/>
        <v>0</v>
      </c>
      <c r="G2337" s="163" t="e">
        <f t="shared" si="193"/>
        <v>#DIV/0!</v>
      </c>
    </row>
    <row r="2338" spans="2:7">
      <c r="B2338" t="str">
        <f>CustomOperations!$B$13</f>
        <v>Moldboard Plow, Custom</v>
      </c>
      <c r="C2338" s="137" t="str">
        <f>CustomOperations!$C$13</f>
        <v>acre</v>
      </c>
      <c r="D2338" s="166">
        <f>CustomOperations!$R$13</f>
        <v>0</v>
      </c>
      <c r="E2338" s="166">
        <f>CustomOperations!$R$14*$C$2295</f>
        <v>0</v>
      </c>
      <c r="F2338" s="166">
        <f t="shared" si="194"/>
        <v>0</v>
      </c>
      <c r="G2338" s="163" t="e">
        <f t="shared" si="193"/>
        <v>#DIV/0!</v>
      </c>
    </row>
    <row r="2339" spans="2:7">
      <c r="B2339" t="str">
        <f>CustomOperations!$B$15</f>
        <v>Landplane, Custom</v>
      </c>
      <c r="C2339" s="137" t="str">
        <f>CustomOperations!$C$15</f>
        <v>acre</v>
      </c>
      <c r="D2339" s="166">
        <f>CustomOperations!$R$15</f>
        <v>17.940000000000001</v>
      </c>
      <c r="E2339" s="166">
        <f>CustomOperations!$R$16*$C$2295</f>
        <v>0</v>
      </c>
      <c r="F2339" s="166">
        <f t="shared" si="194"/>
        <v>0</v>
      </c>
      <c r="G2339" s="163" t="e">
        <f t="shared" si="193"/>
        <v>#DIV/0!</v>
      </c>
    </row>
    <row r="2340" spans="2:7">
      <c r="B2340" t="str">
        <f>CustomOperations!$B$17</f>
        <v>Float, Custom</v>
      </c>
      <c r="C2340" s="137" t="str">
        <f>CustomOperations!$C$17</f>
        <v>acre</v>
      </c>
      <c r="D2340" s="166">
        <f>CustomOperations!$R$17</f>
        <v>17.940000000000001</v>
      </c>
      <c r="E2340" s="166">
        <f>CustomOperations!$R$18*$C$2295</f>
        <v>0</v>
      </c>
      <c r="F2340" s="166">
        <f t="shared" si="194"/>
        <v>0</v>
      </c>
      <c r="G2340" s="163" t="e">
        <f t="shared" si="193"/>
        <v>#DIV/0!</v>
      </c>
    </row>
    <row r="2341" spans="2:7">
      <c r="B2341" t="str">
        <f>CustomOperations!$B$19</f>
        <v>Lister, Custom</v>
      </c>
      <c r="C2341" s="137" t="str">
        <f>CustomOperations!$C$19</f>
        <v>acre</v>
      </c>
      <c r="D2341" s="166">
        <f>CustomOperations!$R$19</f>
        <v>20.38</v>
      </c>
      <c r="E2341" s="166">
        <f>CustomOperations!$R$20*$C$2295</f>
        <v>0</v>
      </c>
      <c r="F2341" s="166">
        <f t="shared" si="194"/>
        <v>0</v>
      </c>
      <c r="G2341" s="163" t="e">
        <f t="shared" si="193"/>
        <v>#DIV/0!</v>
      </c>
    </row>
    <row r="2342" spans="2:7">
      <c r="B2342" t="str">
        <f>CustomOperations!$B$21</f>
        <v>Bed Shape, Custom</v>
      </c>
      <c r="C2342" s="137" t="str">
        <f>CustomOperations!$C$21</f>
        <v>acre</v>
      </c>
      <c r="D2342" s="166">
        <f>CustomOperations!$R$21</f>
        <v>13.69</v>
      </c>
      <c r="E2342" s="166">
        <f>CustomOperations!$R$22*$C$2295</f>
        <v>0</v>
      </c>
      <c r="F2342" s="166">
        <f t="shared" si="194"/>
        <v>0</v>
      </c>
      <c r="G2342" s="163" t="e">
        <f t="shared" si="193"/>
        <v>#DIV/0!</v>
      </c>
    </row>
    <row r="2343" spans="2:7">
      <c r="B2343" t="str">
        <f>CustomOperations!$B$32</f>
        <v>Fertilizer Spreader, Custom</v>
      </c>
      <c r="C2343" s="137" t="str">
        <f>CustomOperations!$C$32</f>
        <v>acre</v>
      </c>
      <c r="D2343" s="166">
        <f>CustomOperations!$R$32</f>
        <v>10.08</v>
      </c>
      <c r="E2343" s="166">
        <f>CustomOperations!$R$33*$C$2295</f>
        <v>0</v>
      </c>
      <c r="F2343" s="166">
        <f>D2343*E2343</f>
        <v>0</v>
      </c>
      <c r="G2343" s="163" t="e">
        <f t="shared" si="193"/>
        <v>#DIV/0!</v>
      </c>
    </row>
    <row r="2344" spans="2:7">
      <c r="B2344" t="str">
        <f>CustomOperations!$B$34</f>
        <v>Laser Landplaning, Custom</v>
      </c>
      <c r="C2344" s="137" t="str">
        <f>CustomOperations!$C$34</f>
        <v>acre</v>
      </c>
      <c r="D2344" s="166">
        <f>CustomOperations!$R$34</f>
        <v>0</v>
      </c>
      <c r="E2344" s="166">
        <f>CustomOperations!$R$35*$C$2295</f>
        <v>0</v>
      </c>
      <c r="F2344" s="166">
        <f>D2344*E2344</f>
        <v>0</v>
      </c>
      <c r="G2344" s="163" t="e">
        <f t="shared" si="193"/>
        <v>#DIV/0!</v>
      </c>
    </row>
    <row r="2345" spans="2:7">
      <c r="B2345" t="str">
        <f>CustomOperations!$B$30</f>
        <v>Boom Sprayer, Custom</v>
      </c>
      <c r="C2345" s="137" t="str">
        <f>CustomOperations!$C$30</f>
        <v>acre</v>
      </c>
      <c r="D2345" s="166">
        <f>CustomOperations!$R$30</f>
        <v>10.050000000000001</v>
      </c>
      <c r="E2345" s="166">
        <f>CustomOperations!$R$31*$C$2295</f>
        <v>0</v>
      </c>
      <c r="F2345" s="166">
        <f t="shared" ref="F2345:F2367" si="195">D2345*E2345</f>
        <v>0</v>
      </c>
      <c r="G2345" s="163" t="e">
        <f t="shared" si="193"/>
        <v>#DIV/0!</v>
      </c>
    </row>
    <row r="2346" spans="2:7">
      <c r="B2346" s="463" t="str">
        <f>TillageOperations!$B$7&amp;" (Repairs, maint., fuel &amp; lube)"</f>
        <v>V-Ripper (Repairs, maint., fuel &amp; lube)</v>
      </c>
      <c r="C2346" s="464" t="s">
        <v>157</v>
      </c>
      <c r="D2346" s="166">
        <f>PubMachineryTables!$AM$49+PubMachineryTables!$AN$49</f>
        <v>30.16333889180672</v>
      </c>
      <c r="E2346" s="166">
        <f>TillageOperations!$Q$7*$C$2295</f>
        <v>0</v>
      </c>
      <c r="F2346" s="166">
        <f t="shared" si="195"/>
        <v>0</v>
      </c>
      <c r="G2346" s="163" t="e">
        <f t="shared" si="193"/>
        <v>#DIV/0!</v>
      </c>
    </row>
    <row r="2347" spans="2:7">
      <c r="B2347" s="463" t="str">
        <f>TillageOperations!$B$7&amp;" (Labor)"</f>
        <v>V-Ripper (Labor)</v>
      </c>
      <c r="C2347" s="464" t="s">
        <v>157</v>
      </c>
      <c r="D2347" s="166">
        <f>PubMachineryTables!$AL$49</f>
        <v>13.529312500000001</v>
      </c>
      <c r="E2347" s="166">
        <f>TillageOperations!$Q$7*$C$2295</f>
        <v>0</v>
      </c>
      <c r="F2347" s="166">
        <f t="shared" si="195"/>
        <v>0</v>
      </c>
      <c r="G2347" s="163" t="e">
        <f t="shared" si="193"/>
        <v>#DIV/0!</v>
      </c>
    </row>
    <row r="2348" spans="2:7">
      <c r="B2348" s="463" t="str">
        <f>TillageOperations!$B$8&amp;" (Repairs, maint., fuel &amp; lube)"</f>
        <v>Offset Disk (Repairs, maint., fuel &amp; lube)</v>
      </c>
      <c r="C2348" s="464" t="s">
        <v>157</v>
      </c>
      <c r="D2348" s="166">
        <f>PubMachineryTables!$AN$50+PubMachineryTables!$AM$50</f>
        <v>10.332318567950058</v>
      </c>
      <c r="E2348" s="166">
        <f>TillageOperations!$Q$8*$C$2295</f>
        <v>0</v>
      </c>
      <c r="F2348" s="166">
        <f t="shared" si="195"/>
        <v>0</v>
      </c>
      <c r="G2348" s="163" t="e">
        <f t="shared" si="193"/>
        <v>#DIV/0!</v>
      </c>
    </row>
    <row r="2349" spans="2:7">
      <c r="B2349" s="463" t="str">
        <f>TillageOperations!$B$8&amp;" (Labor)"</f>
        <v>Offset Disk (Labor)</v>
      </c>
      <c r="C2349" s="464" t="s">
        <v>157</v>
      </c>
      <c r="D2349" s="166">
        <f>PubMachineryTables!$AL$50</f>
        <v>4.7161002178649252</v>
      </c>
      <c r="E2349" s="166">
        <f>TillageOperations!$Q$8*$C$2295</f>
        <v>0</v>
      </c>
      <c r="F2349" s="166">
        <f t="shared" si="195"/>
        <v>0</v>
      </c>
      <c r="G2349" s="163" t="e">
        <f t="shared" si="193"/>
        <v>#DIV/0!</v>
      </c>
    </row>
    <row r="2350" spans="2:7">
      <c r="B2350" s="463" t="str">
        <f>TillageOperations!$B$9&amp;" (Repairs, maint., fuel &amp; lube)"</f>
        <v>Drag (Repairs, maint., fuel &amp; lube)</v>
      </c>
      <c r="C2350" s="464" t="s">
        <v>157</v>
      </c>
      <c r="D2350" s="166">
        <f>PubMachineryTables!$AN$51+PubMachineryTables!$AM$51</f>
        <v>2.4803921568627447</v>
      </c>
      <c r="E2350" s="166">
        <f>TillageOperations!$Q$9*$C$2295</f>
        <v>0</v>
      </c>
      <c r="F2350" s="166">
        <f t="shared" si="195"/>
        <v>0</v>
      </c>
      <c r="G2350" s="163" t="e">
        <f t="shared" si="193"/>
        <v>#DIV/0!</v>
      </c>
    </row>
    <row r="2351" spans="2:7">
      <c r="B2351" s="463" t="str">
        <f>TillageOperations!$B$9&amp;" (Labor)"</f>
        <v>Drag (Labor)</v>
      </c>
      <c r="C2351" s="464" t="s">
        <v>157</v>
      </c>
      <c r="D2351" s="166">
        <f>PubMachineryTables!$AL$51</f>
        <v>2.1222450980392158</v>
      </c>
      <c r="E2351" s="166">
        <f>TillageOperations!$Q$9*$C$2295</f>
        <v>0</v>
      </c>
      <c r="F2351" s="166">
        <f t="shared" si="195"/>
        <v>0</v>
      </c>
      <c r="G2351" s="163" t="e">
        <f t="shared" si="193"/>
        <v>#DIV/0!</v>
      </c>
    </row>
    <row r="2352" spans="2:7">
      <c r="B2352" s="463" t="str">
        <f>TillageOperations!$B$10&amp;" (Repairs, maint., fuel &amp; lube)"</f>
        <v>Chisel (Repairs, maint., fuel &amp; lube)</v>
      </c>
      <c r="C2352" s="464" t="s">
        <v>157</v>
      </c>
      <c r="D2352" s="166">
        <f>PubMachineryTables!$AN$52+PubMachineryTables!$AM$52</f>
        <v>8.5884820270019766</v>
      </c>
      <c r="E2352" s="166">
        <f>TillageOperations!$Q$10*$C$2295</f>
        <v>0</v>
      </c>
      <c r="F2352" s="166">
        <f t="shared" si="195"/>
        <v>0</v>
      </c>
      <c r="G2352" s="163" t="e">
        <f t="shared" si="193"/>
        <v>#DIV/0!</v>
      </c>
    </row>
    <row r="2353" spans="2:7">
      <c r="B2353" s="463" t="str">
        <f>TillageOperations!$B$10&amp;" (Labor)"</f>
        <v>Chisel (Labor)</v>
      </c>
      <c r="C2353" s="464" t="s">
        <v>157</v>
      </c>
      <c r="D2353" s="166">
        <f>PubMachineryTables!$AL$52</f>
        <v>3.9792095588235301</v>
      </c>
      <c r="E2353" s="166">
        <f>TillageOperations!$Q$10*$C$2295</f>
        <v>0</v>
      </c>
      <c r="F2353" s="166">
        <f t="shared" si="195"/>
        <v>0</v>
      </c>
      <c r="G2353" s="163" t="e">
        <f t="shared" si="193"/>
        <v>#DIV/0!</v>
      </c>
    </row>
    <row r="2354" spans="2:7">
      <c r="B2354" s="463" t="str">
        <f>TillageOperations!$B$11&amp;" (Repairs, maint., fuel &amp; lube)"</f>
        <v>Moldboard Plow (Repairs, maint., fuel &amp; lube)</v>
      </c>
      <c r="C2354" s="464" t="s">
        <v>157</v>
      </c>
      <c r="D2354" s="166">
        <f>PubMachineryTables!$AN$53+PubMachineryTables!$AM$53</f>
        <v>14.457142857142856</v>
      </c>
      <c r="E2354" s="166">
        <f>TillageOperations!$Q$11*$C$2295</f>
        <v>0</v>
      </c>
      <c r="F2354" s="166">
        <f t="shared" si="195"/>
        <v>0</v>
      </c>
      <c r="G2354" s="163" t="e">
        <f t="shared" si="193"/>
        <v>#DIV/0!</v>
      </c>
    </row>
    <row r="2355" spans="2:7">
      <c r="B2355" s="463" t="str">
        <f>TillageOperations!$B$11&amp;" (Labor)"</f>
        <v>Moldboard Plow (Labor)</v>
      </c>
      <c r="C2355" s="464" t="s">
        <v>157</v>
      </c>
      <c r="D2355" s="166">
        <f>PubMachineryTables!$AL$53</f>
        <v>7.7310357142857153</v>
      </c>
      <c r="E2355" s="166">
        <f>TillageOperations!$Q$11*$C$2295</f>
        <v>0</v>
      </c>
      <c r="F2355" s="166">
        <f t="shared" si="195"/>
        <v>0</v>
      </c>
      <c r="G2355" s="163" t="e">
        <f t="shared" si="193"/>
        <v>#DIV/0!</v>
      </c>
    </row>
    <row r="2356" spans="2:7">
      <c r="B2356" s="463" t="str">
        <f>TillageOperations!$B$12&amp;" (Repairs, maint., fuel &amp; lube)"</f>
        <v>Cultivator (Repairs, maint., fuel &amp; lube)</v>
      </c>
      <c r="C2356" s="464" t="s">
        <v>157</v>
      </c>
      <c r="D2356" s="166">
        <f>PubMachineryTables!$AN$54+PubMachineryTables!$AM$54</f>
        <v>5.7828571428571429</v>
      </c>
      <c r="E2356" s="166">
        <f>TillageOperations!$Q$12*$C$2295</f>
        <v>0</v>
      </c>
      <c r="F2356" s="166">
        <f t="shared" si="195"/>
        <v>0</v>
      </c>
      <c r="G2356" s="163" t="e">
        <f t="shared" si="193"/>
        <v>#DIV/0!</v>
      </c>
    </row>
    <row r="2357" spans="2:7">
      <c r="B2357" s="463" t="str">
        <f>TillageOperations!$B$12&amp;" (Labor)"</f>
        <v>Cultivator (Labor)</v>
      </c>
      <c r="C2357" s="464" t="s">
        <v>157</v>
      </c>
      <c r="D2357" s="166">
        <f>PubMachineryTables!$AL$54</f>
        <v>3.0924142857142862</v>
      </c>
      <c r="E2357" s="166">
        <f>TillageOperations!$Q$12*$C$2295</f>
        <v>0</v>
      </c>
      <c r="F2357" s="166">
        <f t="shared" si="195"/>
        <v>0</v>
      </c>
      <c r="G2357" s="163" t="e">
        <f t="shared" si="193"/>
        <v>#DIV/0!</v>
      </c>
    </row>
    <row r="2358" spans="2:7">
      <c r="B2358" s="463" t="str">
        <f>TillageOperations!$B$13&amp;" (Repairs, maint., fuel &amp; lube)"</f>
        <v>Landplane (Repairs, maint., fuel &amp; lube)</v>
      </c>
      <c r="C2358" s="464" t="s">
        <v>157</v>
      </c>
      <c r="D2358" s="166">
        <f>PubMachineryTables!$AN$55+PubMachineryTables!$AM$55</f>
        <v>8.0445253976590632</v>
      </c>
      <c r="E2358" s="166">
        <f>TillageOperations!$Q$13*$C$2295</f>
        <v>0</v>
      </c>
      <c r="F2358" s="166">
        <f t="shared" si="195"/>
        <v>0</v>
      </c>
      <c r="G2358" s="163" t="e">
        <f t="shared" si="193"/>
        <v>#DIV/0!</v>
      </c>
    </row>
    <row r="2359" spans="2:7">
      <c r="B2359" s="463" t="str">
        <f>TillageOperations!$B$13&amp;" (Labor)"</f>
        <v>Landplane (Labor)</v>
      </c>
      <c r="C2359" s="464" t="s">
        <v>157</v>
      </c>
      <c r="D2359" s="166">
        <f>PubMachineryTables!$AL$55</f>
        <v>3.8655178571428577</v>
      </c>
      <c r="E2359" s="166">
        <f>TillageOperations!$Q$13*$C$2295</f>
        <v>0</v>
      </c>
      <c r="F2359" s="166">
        <f t="shared" si="195"/>
        <v>0</v>
      </c>
      <c r="G2359" s="163" t="e">
        <f t="shared" si="193"/>
        <v>#DIV/0!</v>
      </c>
    </row>
    <row r="2360" spans="2:7">
      <c r="B2360" s="463" t="str">
        <f>TillageOperations!$B$14&amp;" (Repairs, maint., fuel &amp; lube)"</f>
        <v>Float (Repairs, maint., fuel &amp; lube)</v>
      </c>
      <c r="C2360" s="464" t="s">
        <v>157</v>
      </c>
      <c r="D2360" s="166">
        <f>PubMachineryTables!$AN$56+PubMachineryTables!$AM$56</f>
        <v>5.1632653061224492</v>
      </c>
      <c r="E2360" s="166">
        <f>TillageOperations!$Q$14*$C$2295</f>
        <v>0</v>
      </c>
      <c r="F2360" s="166">
        <f t="shared" si="195"/>
        <v>0</v>
      </c>
      <c r="G2360" s="163" t="e">
        <f t="shared" si="193"/>
        <v>#DIV/0!</v>
      </c>
    </row>
    <row r="2361" spans="2:7">
      <c r="B2361" s="463" t="str">
        <f>TillageOperations!$B$14&amp;" (Labor)"</f>
        <v>Float (Labor)</v>
      </c>
      <c r="C2361" s="464" t="s">
        <v>157</v>
      </c>
      <c r="D2361" s="166">
        <f>PubMachineryTables!$AL$56</f>
        <v>4.4177346938775521</v>
      </c>
      <c r="E2361" s="166">
        <f>TillageOperations!$Q$14*$C$2295</f>
        <v>0</v>
      </c>
      <c r="F2361" s="166">
        <f t="shared" si="195"/>
        <v>0</v>
      </c>
      <c r="G2361" s="163" t="e">
        <f t="shared" si="193"/>
        <v>#DIV/0!</v>
      </c>
    </row>
    <row r="2362" spans="2:7">
      <c r="B2362" s="463" t="str">
        <f>TillageOperations!$B$15&amp;" (Repairs, maint., fuel &amp; lube)"</f>
        <v>Lister (Repairs, maint., fuel &amp; lube)</v>
      </c>
      <c r="C2362" s="464" t="s">
        <v>157</v>
      </c>
      <c r="D2362" s="166">
        <f>PubMachineryTables!$AN$57+PubMachineryTables!$AM$57</f>
        <v>11.879642797844287</v>
      </c>
      <c r="E2362" s="166">
        <f>TillageOperations!$Q$15*$C$2295</f>
        <v>0</v>
      </c>
      <c r="F2362" s="166">
        <f t="shared" si="195"/>
        <v>0</v>
      </c>
      <c r="G2362" s="163" t="e">
        <f t="shared" si="193"/>
        <v>#DIV/0!</v>
      </c>
    </row>
    <row r="2363" spans="2:7">
      <c r="B2363" s="463" t="str">
        <f>TillageOperations!$B$15&amp;" (Labor)"</f>
        <v>Lister (Labor)</v>
      </c>
      <c r="C2363" s="464" t="s">
        <v>157</v>
      </c>
      <c r="D2363" s="166">
        <f>PubMachineryTables!$AL$57</f>
        <v>6.1848285714285725</v>
      </c>
      <c r="E2363" s="166">
        <f>TillageOperations!$Q$15*$C$2295</f>
        <v>0</v>
      </c>
      <c r="F2363" s="166">
        <f t="shared" si="195"/>
        <v>0</v>
      </c>
      <c r="G2363" s="163" t="e">
        <f t="shared" si="193"/>
        <v>#DIV/0!</v>
      </c>
    </row>
    <row r="2364" spans="2:7">
      <c r="B2364" s="463" t="str">
        <f>TillageOperations!$B$16&amp;" (Repairs, maint., fuel &amp; lube)"</f>
        <v>Bed Shaper (Repairs, maint., fuel &amp; lube)</v>
      </c>
      <c r="C2364" s="464" t="s">
        <v>157</v>
      </c>
      <c r="D2364" s="166">
        <f>PubMachineryTables!$AN$58+PubMachineryTables!$AM$58</f>
        <v>5.9574634784635725</v>
      </c>
      <c r="E2364" s="166">
        <f>TillageOperations!$Q$16*$C$2295</f>
        <v>0</v>
      </c>
      <c r="F2364" s="166">
        <f t="shared" si="195"/>
        <v>0</v>
      </c>
      <c r="G2364" s="163" t="e">
        <f t="shared" si="193"/>
        <v>#DIV/0!</v>
      </c>
    </row>
    <row r="2365" spans="2:7">
      <c r="B2365" s="463" t="str">
        <f>TillageOperations!$B$16&amp;" (Labor)"</f>
        <v>Bed Shaper (Labor)</v>
      </c>
      <c r="C2365" s="464" t="s">
        <v>157</v>
      </c>
      <c r="D2365" s="166">
        <f>PubMachineryTables!$AL$58</f>
        <v>3.0924142857142862</v>
      </c>
      <c r="E2365" s="166">
        <f>TillageOperations!$Q$16*$C$2295</f>
        <v>0</v>
      </c>
      <c r="F2365" s="166">
        <f t="shared" si="195"/>
        <v>0</v>
      </c>
      <c r="G2365" s="163" t="e">
        <f t="shared" ref="G2365:G2428" si="196">F2365/C$2295</f>
        <v>#DIV/0!</v>
      </c>
    </row>
    <row r="2366" spans="2:7">
      <c r="B2366" s="463" t="str">
        <f>TillageOperations!$B$19&amp;" (Repairs, maint., fuel &amp; lube)"</f>
        <v>Row Planter (Repairs, maint., fuel &amp; lube)</v>
      </c>
      <c r="C2366" s="464" t="s">
        <v>157</v>
      </c>
      <c r="D2366" s="166">
        <f>PubMachineryTables!$AN$60+PubMachineryTables!$AM$60</f>
        <v>8.8400048303091552</v>
      </c>
      <c r="E2366" s="166">
        <f>TillageOperations!$Q$19*$C$2295</f>
        <v>0</v>
      </c>
      <c r="F2366" s="166">
        <f t="shared" si="195"/>
        <v>0</v>
      </c>
      <c r="G2366" s="163" t="e">
        <f t="shared" si="196"/>
        <v>#DIV/0!</v>
      </c>
    </row>
    <row r="2367" spans="2:7">
      <c r="B2367" s="463" t="str">
        <f>TillageOperations!$B$19&amp;" (Labor)"</f>
        <v>Row Planter (Labor)</v>
      </c>
      <c r="C2367" s="464" t="s">
        <v>157</v>
      </c>
      <c r="D2367" s="166">
        <f>PubMachineryTables!$AL$60</f>
        <v>4.5097708333333344</v>
      </c>
      <c r="E2367" s="166">
        <f>TillageOperations!$Q$19*$C$2295</f>
        <v>0</v>
      </c>
      <c r="F2367" s="166">
        <f t="shared" si="195"/>
        <v>0</v>
      </c>
      <c r="G2367" s="163" t="e">
        <f t="shared" si="196"/>
        <v>#DIV/0!</v>
      </c>
    </row>
    <row r="2368" spans="2:7">
      <c r="B2368" s="463" t="str">
        <f>TillageOperations!$B$20&amp;" (Repairs, maint., fuel &amp; lube)"</f>
        <v>Row Cultivator (Repairs, maint., fuel &amp; lube)</v>
      </c>
      <c r="C2368" s="464" t="s">
        <v>157</v>
      </c>
      <c r="D2368" s="166">
        <f>PubMachineryTables!$AN$61+PubMachineryTables!$AM$61</f>
        <v>3.5823141032725374</v>
      </c>
      <c r="E2368" s="166">
        <f>TillageOperations!$Q$20*$C$2295</f>
        <v>0</v>
      </c>
      <c r="F2368" s="166">
        <f>D2368*E2368</f>
        <v>0</v>
      </c>
      <c r="G2368" s="163" t="e">
        <f t="shared" si="196"/>
        <v>#DIV/0!</v>
      </c>
    </row>
    <row r="2369" spans="2:7">
      <c r="B2369" s="463" t="str">
        <f>TillageOperations!$B$20&amp;" (Labor)"</f>
        <v>Row Cultivator (Labor)</v>
      </c>
      <c r="C2369" s="464" t="s">
        <v>157</v>
      </c>
      <c r="D2369" s="166">
        <f>PubMachineryTables!$AL$61</f>
        <v>3.0065138888888892</v>
      </c>
      <c r="E2369" s="166">
        <f>TillageOperations!$Q$20*$C$2295</f>
        <v>0</v>
      </c>
      <c r="F2369" s="166">
        <f>D2369*E2369</f>
        <v>0</v>
      </c>
      <c r="G2369" s="163" t="e">
        <f t="shared" si="196"/>
        <v>#DIV/0!</v>
      </c>
    </row>
    <row r="2370" spans="2:7">
      <c r="B2370" s="463" t="str">
        <f>TillageOperations!$B$21&amp;" (Repairs, maint., fuel &amp; lube)"</f>
        <v>Drill (Repairs, maint., fuel &amp; lube)</v>
      </c>
      <c r="C2370" s="464" t="s">
        <v>157</v>
      </c>
      <c r="D2370" s="166">
        <f>PubMachineryTables!$AN$62+PubMachineryTables!$AM$62</f>
        <v>7.6986395922631168</v>
      </c>
      <c r="E2370" s="166">
        <f>TillageOperations!$Q$21*$C$2295</f>
        <v>0</v>
      </c>
      <c r="F2370" s="166">
        <f>D2370*E2370</f>
        <v>0</v>
      </c>
      <c r="G2370" s="163" t="e">
        <f t="shared" si="196"/>
        <v>#DIV/0!</v>
      </c>
    </row>
    <row r="2371" spans="2:7">
      <c r="B2371" s="463" t="str">
        <f>TillageOperations!$B$21&amp;" (Labor)"</f>
        <v>Drill (Labor)</v>
      </c>
      <c r="C2371" s="464" t="s">
        <v>157</v>
      </c>
      <c r="D2371" s="166">
        <f>PubMachineryTables!$AL$62</f>
        <v>5.4117250000000006</v>
      </c>
      <c r="E2371" s="166">
        <f>TillageOperations!$Q$21*$C$2295</f>
        <v>0</v>
      </c>
      <c r="F2371" s="166">
        <f>D2371*E2371</f>
        <v>0</v>
      </c>
      <c r="G2371" s="163" t="e">
        <f t="shared" si="196"/>
        <v>#DIV/0!</v>
      </c>
    </row>
    <row r="2372" spans="2:7">
      <c r="B2372" s="75" t="str">
        <f>TillageOperations!$B$27&amp;" (Repairs, maint., fuel &amp; lube)"</f>
        <v>Cotton Picker (Repairs, maint., fuel &amp; lube)</v>
      </c>
      <c r="C2372" s="464" t="s">
        <v>157</v>
      </c>
      <c r="D2372" s="166">
        <f>PubMachineryTables!$AN$67+PubMachineryTables!$AM$67</f>
        <v>20.587703435804702</v>
      </c>
      <c r="E2372" s="166">
        <f>TillageOperations!$Q$27*$C$2295</f>
        <v>0</v>
      </c>
      <c r="F2372" s="166">
        <f t="shared" ref="F2372:F2379" si="197">D2372*E2372</f>
        <v>0</v>
      </c>
      <c r="G2372" s="163" t="e">
        <f t="shared" si="196"/>
        <v>#DIV/0!</v>
      </c>
    </row>
    <row r="2373" spans="2:7">
      <c r="B2373" t="str">
        <f>TillageOperations!$B$27&amp;" (Labor)"</f>
        <v>Cotton Picker (Labor)</v>
      </c>
      <c r="C2373" s="464" t="s">
        <v>157</v>
      </c>
      <c r="D2373" s="166">
        <f>PubMachineryTables!$AL$67</f>
        <v>7.3395908679927677</v>
      </c>
      <c r="E2373" s="166">
        <f>TillageOperations!$Q$27*$C$2295</f>
        <v>0</v>
      </c>
      <c r="F2373" s="166">
        <f t="shared" si="197"/>
        <v>0</v>
      </c>
      <c r="G2373" s="163" t="e">
        <f t="shared" si="196"/>
        <v>#DIV/0!</v>
      </c>
    </row>
    <row r="2374" spans="2:7">
      <c r="B2374" s="75" t="str">
        <f>TillageOperations!$B$28&amp;" (Repairs, maint., fuel &amp; lube)"</f>
        <v>Module Unit (Repairs, maint., fuel &amp; lube)</v>
      </c>
      <c r="C2374" s="464" t="s">
        <v>157</v>
      </c>
      <c r="D2374" s="166">
        <f>PubMachineryTables!$AN$68+PubMachineryTables!$AM$68</f>
        <v>7.0644080416976918</v>
      </c>
      <c r="E2374" s="166">
        <f>TillageOperations!$Q$28*$C$2295</f>
        <v>0</v>
      </c>
      <c r="F2374" s="166">
        <f t="shared" si="197"/>
        <v>0</v>
      </c>
      <c r="G2374" s="163" t="e">
        <f t="shared" si="196"/>
        <v>#DIV/0!</v>
      </c>
    </row>
    <row r="2375" spans="2:7">
      <c r="B2375" t="str">
        <f>TillageOperations!$B$28&amp;" (Labor)"</f>
        <v>Module Unit (Labor)</v>
      </c>
      <c r="C2375" s="464" t="s">
        <v>157</v>
      </c>
      <c r="D2375" s="166">
        <f>PubMachineryTables!$AL$68</f>
        <v>6.0443689501116911</v>
      </c>
      <c r="E2375" s="166">
        <f>TillageOperations!$Q$28*$C$2295</f>
        <v>0</v>
      </c>
      <c r="F2375" s="166">
        <f t="shared" si="197"/>
        <v>0</v>
      </c>
      <c r="G2375" s="163" t="e">
        <f t="shared" si="196"/>
        <v>#DIV/0!</v>
      </c>
    </row>
    <row r="2376" spans="2:7">
      <c r="B2376" t="str">
        <f>TillageOperations!$B$29&amp;" (Repairs, maint., fuel &amp; lube)"</f>
        <v>Haul Cotton (Repairs, maint., fuel &amp; lube)</v>
      </c>
      <c r="C2376" s="464" t="s">
        <v>157</v>
      </c>
      <c r="D2376" s="166">
        <f>PubMachineryTables!$AN$69+PubMachineryTables!$AM$69</f>
        <v>7.0644080416976918</v>
      </c>
      <c r="E2376" s="166">
        <f>TillageOperations!$Q$29*$C$2295</f>
        <v>0</v>
      </c>
      <c r="F2376" s="166">
        <f t="shared" si="197"/>
        <v>0</v>
      </c>
      <c r="G2376" s="163" t="e">
        <f t="shared" si="196"/>
        <v>#DIV/0!</v>
      </c>
    </row>
    <row r="2377" spans="2:7">
      <c r="B2377" t="str">
        <f>TillageOperations!$B$29&amp;" (Labor)"</f>
        <v>Haul Cotton (Labor)</v>
      </c>
      <c r="C2377" s="464" t="s">
        <v>157</v>
      </c>
      <c r="D2377" s="166">
        <f>PubMachineryTables!$AL$69</f>
        <v>6.0443689501116911</v>
      </c>
      <c r="E2377" s="166">
        <f>TillageOperations!$Q$29*$C$2295</f>
        <v>0</v>
      </c>
      <c r="F2377" s="166">
        <f t="shared" si="197"/>
        <v>0</v>
      </c>
      <c r="G2377" s="163" t="e">
        <f t="shared" si="196"/>
        <v>#DIV/0!</v>
      </c>
    </row>
    <row r="2378" spans="2:7">
      <c r="B2378" t="str">
        <f>TillageOperations!$B$17&amp;" (Repairs, maint., fuel &amp; lube)"</f>
        <v>Cotton Shredder/Root Puller (Repairs, maint., fuel &amp; lube)</v>
      </c>
      <c r="C2378" s="464" t="s">
        <v>157</v>
      </c>
      <c r="D2378" s="166">
        <f>PubMachineryTables!$AN$59+PubMachineryTables!$AM$59</f>
        <v>3.4657534246575339</v>
      </c>
      <c r="E2378" s="166">
        <f>TillageOperations!$Q$17*$C$2295</f>
        <v>0</v>
      </c>
      <c r="F2378" s="166">
        <f t="shared" si="197"/>
        <v>0</v>
      </c>
      <c r="G2378" s="163" t="e">
        <f t="shared" si="196"/>
        <v>#DIV/0!</v>
      </c>
    </row>
    <row r="2379" spans="2:7">
      <c r="B2379" t="str">
        <f>TillageOperations!$B$17&amp;" (Labor)"</f>
        <v>Cotton Shredder/Root Puller (Labor)</v>
      </c>
      <c r="C2379" s="464" t="s">
        <v>157</v>
      </c>
      <c r="D2379" s="166">
        <f>PubMachineryTables!$AL$59</f>
        <v>2.965328767123288</v>
      </c>
      <c r="E2379" s="166">
        <f>TillageOperations!$Q$17*$C$2295</f>
        <v>0</v>
      </c>
      <c r="F2379" s="166">
        <f t="shared" si="197"/>
        <v>0</v>
      </c>
      <c r="G2379" s="163" t="e">
        <f t="shared" si="196"/>
        <v>#DIV/0!</v>
      </c>
    </row>
    <row r="2380" spans="2:7">
      <c r="B2380" t="str">
        <f>TillageOperations!$B$30&amp;" (Repairs, maint., fuel &amp; lube)"</f>
        <v>Combine (Repairs, maint., fuel &amp; lube)</v>
      </c>
      <c r="C2380" s="464" t="s">
        <v>157</v>
      </c>
      <c r="D2380" s="166">
        <f>PubMachineryTables!$AN$70+PubMachineryTables!$AM$70</f>
        <v>4.8939818019913757</v>
      </c>
      <c r="E2380" s="166">
        <f>TillageOperations!$Q$30*$C$2295</f>
        <v>0</v>
      </c>
      <c r="F2380" s="166">
        <f>D2380*E2380</f>
        <v>0</v>
      </c>
      <c r="G2380" s="163" t="e">
        <f t="shared" si="196"/>
        <v>#DIV/0!</v>
      </c>
    </row>
    <row r="2381" spans="2:7">
      <c r="B2381" t="str">
        <f>TillageOperations!$B$30&amp;" (Labor)"</f>
        <v>Combine (Labor)</v>
      </c>
      <c r="C2381" s="464" t="s">
        <v>157</v>
      </c>
      <c r="D2381" s="166">
        <f>PubMachineryTables!$AL$70</f>
        <v>1.591683823529412</v>
      </c>
      <c r="E2381" s="166">
        <f>TillageOperations!$Q$30*$C$2295</f>
        <v>0</v>
      </c>
      <c r="F2381" s="166">
        <f>D2381*E2381</f>
        <v>0</v>
      </c>
      <c r="G2381" s="163" t="e">
        <f t="shared" si="196"/>
        <v>#DIV/0!</v>
      </c>
    </row>
    <row r="2382" spans="2:7">
      <c r="B2382" t="str">
        <f>TillageOperations!$B$31&amp;" (Repairs, maint., fuel &amp; lube)"</f>
        <v>Grain Cart (Repairs, maint., fuel &amp; lube)</v>
      </c>
      <c r="C2382" s="464" t="s">
        <v>157</v>
      </c>
      <c r="D2382" s="166">
        <f>PubMachineryTables!$AN$71+PubMachineryTables!$AM$71</f>
        <v>3.2163097667975675</v>
      </c>
      <c r="E2382" s="166">
        <f>TillageOperations!$Q$31*$C$2295</f>
        <v>0</v>
      </c>
      <c r="F2382" s="166">
        <f>D2382*E2382</f>
        <v>0</v>
      </c>
      <c r="G2382" s="163" t="e">
        <f t="shared" si="196"/>
        <v>#DIV/0!</v>
      </c>
    </row>
    <row r="2383" spans="2:7">
      <c r="B2383" t="str">
        <f>TillageOperations!$B$31&amp;" (Labor)"</f>
        <v>Grain Cart (Labor)</v>
      </c>
      <c r="C2383" s="464" t="s">
        <v>157</v>
      </c>
      <c r="D2383" s="166">
        <f>PubMachineryTables!$AL$71</f>
        <v>1.591683823529412</v>
      </c>
      <c r="E2383" s="166">
        <f>TillageOperations!$Q$31*$C$2295</f>
        <v>0</v>
      </c>
      <c r="F2383" s="166">
        <f>D2383*E2383</f>
        <v>0</v>
      </c>
      <c r="G2383" s="163" t="e">
        <f t="shared" si="196"/>
        <v>#DIV/0!</v>
      </c>
    </row>
    <row r="2384" spans="2:7">
      <c r="B2384" t="str">
        <f>TillageOperations!$B$32&amp;" (Repairs, maint., fuel &amp; lube)"</f>
        <v>Swather (Repairs, maint., fuel &amp; lube)</v>
      </c>
      <c r="C2384" s="464" t="s">
        <v>157</v>
      </c>
      <c r="D2384" s="166">
        <f>PubMachineryTables!$AN$72+PubMachineryTables!$AM$72</f>
        <v>2.0239999999999996</v>
      </c>
      <c r="E2384" s="166">
        <f>TillageOperations!$Q$32*$C$2295</f>
        <v>0</v>
      </c>
      <c r="F2384" s="166">
        <f t="shared" ref="F2384:F2400" si="198">D2384*E2384</f>
        <v>0</v>
      </c>
      <c r="G2384" s="163" t="e">
        <f t="shared" si="196"/>
        <v>#DIV/0!</v>
      </c>
    </row>
    <row r="2385" spans="2:7">
      <c r="B2385" t="str">
        <f>TillageOperations!$B$32&amp;" (Labor)"</f>
        <v>Swather (Labor)</v>
      </c>
      <c r="C2385" s="464" t="s">
        <v>157</v>
      </c>
      <c r="D2385" s="166">
        <f>PubMachineryTables!$AL$72</f>
        <v>2.1646900000000002</v>
      </c>
      <c r="E2385" s="166">
        <f>TillageOperations!$Q$32*$C$2295</f>
        <v>0</v>
      </c>
      <c r="F2385" s="166">
        <f t="shared" si="198"/>
        <v>0</v>
      </c>
      <c r="G2385" s="163" t="e">
        <f t="shared" si="196"/>
        <v>#DIV/0!</v>
      </c>
    </row>
    <row r="2386" spans="2:7">
      <c r="B2386" t="str">
        <f>TillageOperations!$B$33&amp;" (Repairs, maint., fuel &amp; lube)"</f>
        <v>Baler (Repairs, maint., fuel &amp; lube)</v>
      </c>
      <c r="C2386" s="464" t="s">
        <v>157</v>
      </c>
      <c r="D2386" s="166">
        <f>PubMachineryTables!$AN$73+PubMachineryTables!$AM$73</f>
        <v>3.953125</v>
      </c>
      <c r="E2386" s="166">
        <f>TillageOperations!$Q$33*$C$2295</f>
        <v>0</v>
      </c>
      <c r="F2386" s="166">
        <f t="shared" si="198"/>
        <v>0</v>
      </c>
      <c r="G2386" s="163" t="e">
        <f t="shared" si="196"/>
        <v>#DIV/0!</v>
      </c>
    </row>
    <row r="2387" spans="2:7">
      <c r="B2387" t="str">
        <f>TillageOperations!$B$33&amp;" (Labor)"</f>
        <v>Baler (Labor)</v>
      </c>
      <c r="C2387" s="464" t="s">
        <v>157</v>
      </c>
      <c r="D2387" s="166">
        <f>PubMachineryTables!$AL$73</f>
        <v>3.3823281250000004</v>
      </c>
      <c r="E2387" s="166">
        <f>TillageOperations!$Q$33*$C$2295</f>
        <v>0</v>
      </c>
      <c r="F2387" s="166">
        <f t="shared" si="198"/>
        <v>0</v>
      </c>
      <c r="G2387" s="163" t="e">
        <f t="shared" si="196"/>
        <v>#DIV/0!</v>
      </c>
    </row>
    <row r="2388" spans="2:7">
      <c r="B2388" t="str">
        <f>TillageOperations!$B$34&amp;" (Repairs, maint., fuel &amp; lube)"</f>
        <v>Swather (Repairs, maint., fuel &amp; lube)</v>
      </c>
      <c r="C2388" s="464" t="s">
        <v>157</v>
      </c>
      <c r="D2388" s="166">
        <f>PubMachineryTables!$AN$74+PubMachineryTables!$AM$74</f>
        <v>19.46153846153846</v>
      </c>
      <c r="E2388" s="166">
        <f>TillageOperations!$Q$34*$C$2295</f>
        <v>0</v>
      </c>
      <c r="F2388" s="166">
        <f t="shared" si="198"/>
        <v>0</v>
      </c>
      <c r="G2388" s="163" t="e">
        <f t="shared" si="196"/>
        <v>#DIV/0!</v>
      </c>
    </row>
    <row r="2389" spans="2:7">
      <c r="B2389" t="str">
        <f>TillageOperations!$B$34&amp;" (Labor)"</f>
        <v>Swather (Labor)</v>
      </c>
      <c r="C2389" s="464" t="s">
        <v>157</v>
      </c>
      <c r="D2389" s="166">
        <f>PubMachineryTables!$AL$74</f>
        <v>20.814326923076923</v>
      </c>
      <c r="E2389" s="166">
        <f>TillageOperations!$Q$34*$C$2295</f>
        <v>0</v>
      </c>
      <c r="F2389" s="166">
        <f t="shared" si="198"/>
        <v>0</v>
      </c>
      <c r="G2389" s="163" t="e">
        <f t="shared" si="196"/>
        <v>#DIV/0!</v>
      </c>
    </row>
    <row r="2390" spans="2:7">
      <c r="B2390" t="str">
        <f>TillageOperations!$B$35&amp;" (Repairs, maint., fuel &amp; lube)"</f>
        <v>Baler (Repairs, maint., fuel &amp; lube)</v>
      </c>
      <c r="C2390" s="464" t="s">
        <v>157</v>
      </c>
      <c r="D2390" s="166">
        <f>PubMachineryTables!$AN$75+PubMachineryTables!$AM$75</f>
        <v>24.326923076923073</v>
      </c>
      <c r="E2390" s="166">
        <f>TillageOperations!$Q$35*$C$2295</f>
        <v>0</v>
      </c>
      <c r="F2390" s="166">
        <f t="shared" si="198"/>
        <v>0</v>
      </c>
      <c r="G2390" s="163" t="e">
        <f t="shared" si="196"/>
        <v>#DIV/0!</v>
      </c>
    </row>
    <row r="2391" spans="2:7">
      <c r="B2391" t="str">
        <f>TillageOperations!$B$35&amp;" (Labor)"</f>
        <v>Baler (Labor)</v>
      </c>
      <c r="C2391" s="464" t="s">
        <v>157</v>
      </c>
      <c r="D2391" s="166">
        <f>PubMachineryTables!$AL$75</f>
        <v>20.814326923076923</v>
      </c>
      <c r="E2391" s="166">
        <f>TillageOperations!$Q$35*$C$2295</f>
        <v>0</v>
      </c>
      <c r="F2391" s="166">
        <f t="shared" si="198"/>
        <v>0</v>
      </c>
      <c r="G2391" s="163" t="e">
        <f t="shared" si="196"/>
        <v>#DIV/0!</v>
      </c>
    </row>
    <row r="2392" spans="2:7">
      <c r="B2392" t="str">
        <f>'Inputs&amp;PricesbyCrop'!$B$31</f>
        <v xml:space="preserve">   - Baling Twine</v>
      </c>
      <c r="C2392" s="137" t="str">
        <f>'Inputs&amp;PricesbyCrop'!$C$31</f>
        <v>acre</v>
      </c>
      <c r="D2392" s="166">
        <f>'Inputs&amp;PricesbyCrop'!$R$31</f>
        <v>0</v>
      </c>
      <c r="E2392" s="166">
        <f>$C$2295</f>
        <v>0</v>
      </c>
      <c r="F2392" s="166">
        <f t="shared" si="198"/>
        <v>0</v>
      </c>
      <c r="G2392" s="163" t="e">
        <f t="shared" si="196"/>
        <v>#DIV/0!</v>
      </c>
    </row>
    <row r="2393" spans="2:7">
      <c r="B2393" t="str">
        <f>TillageOperations!$B$36&amp;" (Repairs, maint., fuel &amp; lube)"</f>
        <v>Bale Wagon (Repairs, maint., fuel &amp; lube)</v>
      </c>
      <c r="C2393" s="464" t="s">
        <v>157</v>
      </c>
      <c r="D2393" s="166">
        <f>PubMachineryTables!$AN$76+PubMachineryTables!$AM$76</f>
        <v>3.1624999999999996</v>
      </c>
      <c r="E2393" s="166">
        <f>TillageOperations!$Q$36*$C$2295</f>
        <v>0</v>
      </c>
      <c r="F2393" s="166">
        <f t="shared" si="198"/>
        <v>0</v>
      </c>
      <c r="G2393" s="163" t="e">
        <f t="shared" si="196"/>
        <v>#DIV/0!</v>
      </c>
    </row>
    <row r="2394" spans="2:7">
      <c r="B2394" t="str">
        <f>TillageOperations!$B$36&amp;" (Labor)"</f>
        <v>Bale Wagon (Labor)</v>
      </c>
      <c r="C2394" s="464" t="s">
        <v>157</v>
      </c>
      <c r="D2394" s="166">
        <f>PubMachineryTables!$AL$76</f>
        <v>3.3823281250000004</v>
      </c>
      <c r="E2394" s="166">
        <f>TillageOperations!$Q$36*$C$2295</f>
        <v>0</v>
      </c>
      <c r="F2394" s="166">
        <f t="shared" si="198"/>
        <v>0</v>
      </c>
      <c r="G2394" s="163" t="e">
        <f t="shared" si="196"/>
        <v>#DIV/0!</v>
      </c>
    </row>
    <row r="2395" spans="2:7">
      <c r="B2395" t="str">
        <f>TillageOperations!$B$23&amp;" (Repairs, maint., fuel &amp; lube)"</f>
        <v>Fertilizer Spreader (Repairs, maint., fuel &amp; lube)</v>
      </c>
      <c r="C2395" s="464" t="s">
        <v>157</v>
      </c>
      <c r="D2395" s="166">
        <f>PubMachineryTables!$AM$64+PubMachineryTables!$AN$64</f>
        <v>2.6573732562743069</v>
      </c>
      <c r="E2395" s="166">
        <f>TillageOperations!$Q$23*$C$2295</f>
        <v>0</v>
      </c>
      <c r="F2395" s="168">
        <f t="shared" si="198"/>
        <v>0</v>
      </c>
      <c r="G2395" s="163" t="e">
        <f t="shared" si="196"/>
        <v>#DIV/0!</v>
      </c>
    </row>
    <row r="2396" spans="2:7">
      <c r="B2396" t="str">
        <f>TillageOperations!$B$23&amp;" (Labor)"</f>
        <v>Fertilizer Spreader (Labor)</v>
      </c>
      <c r="C2396" s="464" t="s">
        <v>157</v>
      </c>
      <c r="D2396" s="166">
        <f>PubMachineryTables!$AL$64</f>
        <v>1.879071180555556</v>
      </c>
      <c r="E2396" s="166">
        <f>TillageOperations!$Q$23*$C$2295</f>
        <v>0</v>
      </c>
      <c r="F2396" s="168">
        <f t="shared" si="198"/>
        <v>0</v>
      </c>
      <c r="G2396" s="163" t="e">
        <f t="shared" si="196"/>
        <v>#DIV/0!</v>
      </c>
    </row>
    <row r="2397" spans="2:7">
      <c r="B2397" t="str">
        <f>TillageOperations!$B$24&amp;" (Repairs, maint., fuel &amp; lube)"</f>
        <v>Fertilizer Injection System (Repairs, maint., fuel &amp; lube)</v>
      </c>
      <c r="C2397" s="464" t="s">
        <v>157</v>
      </c>
      <c r="D2397" s="166">
        <f>PubMachineryTables!$AM$65+PubMachineryTables!$AN$65</f>
        <v>8.4333333333333336</v>
      </c>
      <c r="E2397" s="166">
        <f>TillageOperations!$Q$24*$C$2295</f>
        <v>0</v>
      </c>
      <c r="F2397" s="168">
        <f t="shared" si="198"/>
        <v>0</v>
      </c>
      <c r="G2397" s="163" t="e">
        <f t="shared" si="196"/>
        <v>#DIV/0!</v>
      </c>
    </row>
    <row r="2398" spans="2:7">
      <c r="B2398" t="str">
        <f>TillageOperations!$B$24&amp;" (Labor)"</f>
        <v>Fertilizer Injection System (Labor)</v>
      </c>
      <c r="C2398" s="464" t="s">
        <v>157</v>
      </c>
      <c r="D2398" s="166">
        <f>PubMachineryTables!$AL$65</f>
        <v>4.5097708333333344</v>
      </c>
      <c r="E2398" s="166">
        <f>TillageOperations!$Q$24*$C$2295</f>
        <v>0</v>
      </c>
      <c r="F2398" s="168">
        <f t="shared" si="198"/>
        <v>0</v>
      </c>
      <c r="G2398" s="163" t="e">
        <f t="shared" si="196"/>
        <v>#DIV/0!</v>
      </c>
    </row>
    <row r="2399" spans="2:7">
      <c r="B2399" t="str">
        <f>TillageOperations!$B$25&amp;" (Repairs, maint., fuel &amp; lube)"</f>
        <v>Boom Sprayer (Repairs, maint., fuel &amp; lube)</v>
      </c>
      <c r="C2399" s="464" t="s">
        <v>157</v>
      </c>
      <c r="D2399" s="166">
        <f>PubMachineryTables!AN$66+PubMachineryTables!$AM$66</f>
        <v>1.5996307048468115</v>
      </c>
      <c r="E2399" s="166">
        <f>TillageOperations!$Q$25*$C$2295</f>
        <v>0</v>
      </c>
      <c r="F2399" s="166">
        <f t="shared" si="198"/>
        <v>0</v>
      </c>
      <c r="G2399" s="163" t="e">
        <f t="shared" si="196"/>
        <v>#DIV/0!</v>
      </c>
    </row>
    <row r="2400" spans="2:7">
      <c r="B2400" t="str">
        <f>TillageOperations!$B$25&amp;" (Labor)"</f>
        <v>Boom Sprayer (Labor)</v>
      </c>
      <c r="C2400" s="464" t="s">
        <v>157</v>
      </c>
      <c r="D2400" s="166">
        <f>PubMachineryTables!$AL$66</f>
        <v>1.1893901098901098</v>
      </c>
      <c r="E2400" s="166">
        <f>TillageOperations!$Q$25*$C$2295</f>
        <v>0</v>
      </c>
      <c r="F2400" s="166">
        <f t="shared" si="198"/>
        <v>0</v>
      </c>
      <c r="G2400" s="163" t="e">
        <f t="shared" si="196"/>
        <v>#DIV/0!</v>
      </c>
    </row>
    <row r="2401" spans="2:7">
      <c r="B2401" t="str">
        <f>TillageOperations!$B$22&amp;" (Repairs, maint., fuel &amp; lube)"</f>
        <v>Transplanter (Repairs, maint., fuel &amp; lube)</v>
      </c>
      <c r="C2401" s="464" t="s">
        <v>157</v>
      </c>
      <c r="D2401" s="166">
        <f>PubMachineryTables!AN$63+PubMachineryTables!$AM$63</f>
        <v>61.668749999999996</v>
      </c>
      <c r="E2401" s="166">
        <f>TillageOperations!$Q$22*$C$2295</f>
        <v>0</v>
      </c>
      <c r="F2401" s="166">
        <f>D2401*E2401</f>
        <v>0</v>
      </c>
      <c r="G2401" s="163" t="e">
        <f t="shared" si="196"/>
        <v>#DIV/0!</v>
      </c>
    </row>
    <row r="2402" spans="2:7">
      <c r="B2402" t="str">
        <f>TillageOperations!$B$22&amp;" (Labor)"</f>
        <v>Transplanter (Labor)</v>
      </c>
      <c r="C2402" s="464" t="s">
        <v>157</v>
      </c>
      <c r="D2402" s="166">
        <f>PubMachineryTables!$AL$63</f>
        <v>20.293968750000001</v>
      </c>
      <c r="E2402" s="166">
        <f>TillageOperations!$Q$22*$C$2295</f>
        <v>0</v>
      </c>
      <c r="F2402" s="166">
        <f t="shared" ref="F2402:F2408" si="199">D2402*E2402</f>
        <v>0</v>
      </c>
      <c r="G2402" s="163" t="e">
        <f t="shared" si="196"/>
        <v>#DIV/0!</v>
      </c>
    </row>
    <row r="2403" spans="2:7">
      <c r="B2403" t="str">
        <f>'Inputs&amp;PricesbyCrop'!$B$14</f>
        <v>Additional Land Prep. Labor</v>
      </c>
      <c r="C2403" s="137" t="str">
        <f>'Inputs&amp;PricesbyCrop'!$C$14</f>
        <v>hour</v>
      </c>
      <c r="D2403" s="166">
        <f>GeneralInputPrices!$D$30</f>
        <v>14.55</v>
      </c>
      <c r="E2403" s="166">
        <f>'Inputs&amp;PricesbyCrop'!$R$14*BASEBUDGETS!$C2295</f>
        <v>0</v>
      </c>
      <c r="F2403" s="166">
        <f t="shared" si="199"/>
        <v>0</v>
      </c>
      <c r="G2403" s="163" t="e">
        <f t="shared" si="196"/>
        <v>#DIV/0!</v>
      </c>
    </row>
    <row r="2404" spans="2:7">
      <c r="B2404" t="str">
        <f>'Inputs&amp;PricesbyCrop'!$B$15</f>
        <v>Additional Land Prep. Labor</v>
      </c>
      <c r="C2404" s="137" t="str">
        <f>'Inputs&amp;PricesbyCrop'!$C$15</f>
        <v>hour</v>
      </c>
      <c r="D2404" s="166">
        <f>GeneralInputPrices!$D$30</f>
        <v>14.55</v>
      </c>
      <c r="E2404" s="166">
        <f>'Inputs&amp;PricesbyCrop'!$R$15*BASEBUDGETS!$C2295</f>
        <v>0</v>
      </c>
      <c r="F2404" s="166">
        <f t="shared" si="199"/>
        <v>0</v>
      </c>
      <c r="G2404" s="163" t="e">
        <f t="shared" si="196"/>
        <v>#DIV/0!</v>
      </c>
    </row>
    <row r="2405" spans="2:7">
      <c r="B2405" t="str">
        <f>'Inputs&amp;PricesbyCrop'!$B$17</f>
        <v>Additional Crop Prod. Labor</v>
      </c>
      <c r="C2405" s="137" t="str">
        <f>'Inputs&amp;PricesbyCrop'!$C$17</f>
        <v>hour</v>
      </c>
      <c r="D2405" s="166">
        <f>GeneralInputPrices!$D$31</f>
        <v>14.55</v>
      </c>
      <c r="E2405" s="166">
        <f>'Inputs&amp;PricesbyCrop'!$R$17*BASEBUDGETS!$C2295</f>
        <v>0</v>
      </c>
      <c r="F2405" s="166">
        <f t="shared" si="199"/>
        <v>0</v>
      </c>
      <c r="G2405" s="163" t="e">
        <f t="shared" si="196"/>
        <v>#DIV/0!</v>
      </c>
    </row>
    <row r="2406" spans="2:7">
      <c r="B2406" t="str">
        <f>'Inputs&amp;PricesbyCrop'!$B$18</f>
        <v>Additional Crop Prod. Labor</v>
      </c>
      <c r="C2406" s="137" t="str">
        <f>'Inputs&amp;PricesbyCrop'!$C$18</f>
        <v>hour</v>
      </c>
      <c r="D2406" s="166">
        <f>GeneralInputPrices!$D$31</f>
        <v>14.55</v>
      </c>
      <c r="E2406" s="166">
        <f>'Inputs&amp;PricesbyCrop'!$R$18*BASEBUDGETS!$C2295</f>
        <v>0</v>
      </c>
      <c r="F2406" s="166">
        <f t="shared" si="199"/>
        <v>0</v>
      </c>
      <c r="G2406" s="163" t="e">
        <f t="shared" si="196"/>
        <v>#DIV/0!</v>
      </c>
    </row>
    <row r="2407" spans="2:7">
      <c r="B2407" t="str">
        <f>'Inputs&amp;PricesbyCrop'!$B$20</f>
        <v>Additional Harvest Labor</v>
      </c>
      <c r="C2407" s="137" t="str">
        <f>'Inputs&amp;PricesbyCrop'!$C$20</f>
        <v>hour</v>
      </c>
      <c r="D2407" s="166">
        <f>GeneralInputPrices!$D$32</f>
        <v>17.89</v>
      </c>
      <c r="E2407" s="166">
        <f>'Inputs&amp;PricesbyCrop'!$R$20*BASEBUDGETS!$C2295</f>
        <v>0</v>
      </c>
      <c r="F2407" s="166">
        <f t="shared" si="199"/>
        <v>0</v>
      </c>
      <c r="G2407" s="163" t="e">
        <f t="shared" si="196"/>
        <v>#DIV/0!</v>
      </c>
    </row>
    <row r="2408" spans="2:7">
      <c r="B2408" t="str">
        <f>'Inputs&amp;PricesbyCrop'!$B$21</f>
        <v>Additional Harvest Labor</v>
      </c>
      <c r="C2408" s="137" t="str">
        <f>'Inputs&amp;PricesbyCrop'!$C$21</f>
        <v>hour</v>
      </c>
      <c r="D2408" s="166">
        <f>GeneralInputPrices!$D$32</f>
        <v>17.89</v>
      </c>
      <c r="E2408" s="166">
        <f>'Inputs&amp;PricesbyCrop'!$R$21*BASEBUDGETS!$C2295</f>
        <v>0</v>
      </c>
      <c r="F2408" s="166">
        <f t="shared" si="199"/>
        <v>0</v>
      </c>
      <c r="G2408" s="163" t="e">
        <f t="shared" si="196"/>
        <v>#DIV/0!</v>
      </c>
    </row>
    <row r="2409" spans="2:7">
      <c r="B2409" t="s">
        <v>59</v>
      </c>
      <c r="C2409" s="137" t="str">
        <f>GeneralInputPrices!$C$34</f>
        <v>percent</v>
      </c>
      <c r="D2409" s="138">
        <f>GeneralInputPrices!$D$34</f>
        <v>0.05</v>
      </c>
      <c r="E2409" s="75" t="s">
        <v>10</v>
      </c>
      <c r="F2409" s="37">
        <f>SUM(F2303:F2408)*D2409</f>
        <v>0</v>
      </c>
      <c r="G2409" s="163" t="e">
        <f t="shared" si="196"/>
        <v>#DIV/0!</v>
      </c>
    </row>
    <row r="2410" spans="2:7">
      <c r="B2410" t="s">
        <v>60</v>
      </c>
      <c r="C2410" s="137" t="str">
        <f>GeneralInputPrices!$C$34</f>
        <v>percent</v>
      </c>
      <c r="D2410" s="138">
        <f>GeneralInputPrices!$D$35</f>
        <v>0.06</v>
      </c>
      <c r="F2410" s="139">
        <f>SUM(F2303:F2409)*((D2410/12)*GeneralInputPrices!$D$39)</f>
        <v>0</v>
      </c>
      <c r="G2410" s="163" t="e">
        <f t="shared" si="196"/>
        <v>#DIV/0!</v>
      </c>
    </row>
    <row r="2411" spans="2:7">
      <c r="B2411" t="s">
        <v>61</v>
      </c>
      <c r="D2411" s="454"/>
      <c r="F2411" s="37">
        <f>SUM(F2303:F2410)</f>
        <v>0</v>
      </c>
      <c r="G2411" s="163" t="e">
        <f t="shared" si="196"/>
        <v>#DIV/0!</v>
      </c>
    </row>
    <row r="2412" spans="2:7">
      <c r="D2412" s="454"/>
      <c r="G2412" s="163" t="e">
        <f t="shared" si="196"/>
        <v>#DIV/0!</v>
      </c>
    </row>
    <row r="2413" spans="2:7">
      <c r="B2413" s="140" t="s">
        <v>129</v>
      </c>
      <c r="C2413" s="458" t="s">
        <v>1</v>
      </c>
      <c r="D2413" s="459" t="s">
        <v>24</v>
      </c>
      <c r="E2413" s="460" t="s">
        <v>25</v>
      </c>
      <c r="F2413" s="460" t="s">
        <v>0</v>
      </c>
      <c r="G2413" s="163" t="e">
        <f t="shared" si="196"/>
        <v>#VALUE!</v>
      </c>
    </row>
    <row r="2414" spans="2:7">
      <c r="B2414" t="str">
        <f>GeneralInputPrices!$B$15&amp;" - Upfront Costs for New System"</f>
        <v>Flood - Upfront Costs for New System</v>
      </c>
      <c r="C2414" s="453" t="str">
        <f>GeneralInputPrices!$C$16</f>
        <v>acre</v>
      </c>
      <c r="D2414">
        <f>IF('BreakevenInputs&amp;Resources'!T$16=0,0,(('BreakevenInputs&amp;Resources'!T$16/GeneralInputPrices!$D$17)*('AcresYieldsPrices&amp;Water'!$Q$22/'AcresYieldsPrices&amp;Water'!$Q$31))/$C2295)</f>
        <v>0</v>
      </c>
      <c r="E2414" s="166">
        <f>$C2295</f>
        <v>0</v>
      </c>
      <c r="F2414" s="166">
        <f>D2414*E2414</f>
        <v>0</v>
      </c>
      <c r="G2414" s="163" t="e">
        <f t="shared" si="196"/>
        <v>#DIV/0!</v>
      </c>
    </row>
    <row r="2415" spans="2:7">
      <c r="B2415" t="str">
        <f>GeneralInputPrices!$B$19&amp;" - Upfront Costs for New System"</f>
        <v>Drip-tape - Upfront Costs for New System</v>
      </c>
      <c r="C2415" s="453" t="str">
        <f>GeneralInputPrices!$C$20</f>
        <v>acre</v>
      </c>
      <c r="D2415">
        <f>IF('BreakevenInputs&amp;Resources'!T$17=0,0,(('BreakevenInputs&amp;Resources'!T$17/GeneralInputPrices!$D$21)*('AcresYieldsPrices&amp;Water'!$Q$22/'AcresYieldsPrices&amp;Water'!$Q$31))/$C2295)</f>
        <v>0</v>
      </c>
      <c r="E2415" s="166">
        <f>$C2295</f>
        <v>0</v>
      </c>
      <c r="F2415" s="166">
        <f>D2415*E2415</f>
        <v>0</v>
      </c>
      <c r="G2415" s="163" t="e">
        <f t="shared" si="196"/>
        <v>#DIV/0!</v>
      </c>
    </row>
    <row r="2416" spans="2:7">
      <c r="B2416" t="str">
        <f>GeneralInputPrices!$B$23&amp;" - Upfront Costs for New System"</f>
        <v>Sprinkler - Upfront Costs for New System</v>
      </c>
      <c r="C2416" s="453" t="str">
        <f>GeneralInputPrices!$C$24</f>
        <v>acre</v>
      </c>
      <c r="D2416">
        <f>IF('BreakevenInputs&amp;Resources'!T$18=0,0,(('BreakevenInputs&amp;Resources'!T$18/GeneralInputPrices!$D$25)*('AcresYieldsPrices&amp;Water'!$Q$22/'AcresYieldsPrices&amp;Water'!$Q$31))/$C2295)</f>
        <v>0</v>
      </c>
      <c r="E2416" s="166">
        <f>$C2295</f>
        <v>0</v>
      </c>
      <c r="F2416" s="166">
        <f>D2416*E2416</f>
        <v>0</v>
      </c>
      <c r="G2416" s="163" t="e">
        <f t="shared" si="196"/>
        <v>#DIV/0!</v>
      </c>
    </row>
    <row r="2417" spans="2:7">
      <c r="B2417" s="463" t="str">
        <f>TillageOperations!$B$7</f>
        <v>V-Ripper</v>
      </c>
      <c r="C2417" s="464" t="s">
        <v>157</v>
      </c>
      <c r="D2417" s="166">
        <f>PubMachineryTables!$AO$49</f>
        <v>209.18701372031111</v>
      </c>
      <c r="E2417" s="166">
        <f>E2346</f>
        <v>0</v>
      </c>
      <c r="F2417" s="168">
        <f t="shared" ref="F2417:F2433" si="200">D2417*E2417</f>
        <v>0</v>
      </c>
      <c r="G2417" s="163" t="e">
        <f t="shared" si="196"/>
        <v>#DIV/0!</v>
      </c>
    </row>
    <row r="2418" spans="2:7">
      <c r="B2418" s="463" t="str">
        <f>TillageOperations!$B$8</f>
        <v>Offset Disk</v>
      </c>
      <c r="C2418" s="464" t="s">
        <v>157</v>
      </c>
      <c r="D2418" s="166">
        <f>PubMachineryTables!$AO$50</f>
        <v>42.467441655558019</v>
      </c>
      <c r="E2418" s="166">
        <f>E2348</f>
        <v>0</v>
      </c>
      <c r="F2418" s="166">
        <f t="shared" si="200"/>
        <v>0</v>
      </c>
      <c r="G2418" s="163" t="e">
        <f t="shared" si="196"/>
        <v>#DIV/0!</v>
      </c>
    </row>
    <row r="2419" spans="2:7">
      <c r="B2419" s="463" t="str">
        <f>TillageOperations!$B$9</f>
        <v>Drag</v>
      </c>
      <c r="C2419" s="464" t="s">
        <v>157</v>
      </c>
      <c r="D2419" s="166">
        <f>PubMachineryTables!$AO$51</f>
        <v>0</v>
      </c>
      <c r="E2419" s="166">
        <f>E2350</f>
        <v>0</v>
      </c>
      <c r="F2419" s="166">
        <f t="shared" si="200"/>
        <v>0</v>
      </c>
      <c r="G2419" s="163" t="e">
        <f t="shared" si="196"/>
        <v>#DIV/0!</v>
      </c>
    </row>
    <row r="2420" spans="2:7">
      <c r="B2420" s="463" t="str">
        <f>TillageOperations!$B$10</f>
        <v>Chisel</v>
      </c>
      <c r="C2420" s="464" t="s">
        <v>157</v>
      </c>
      <c r="D2420" s="166">
        <f>PubMachineryTables!$AO$52</f>
        <v>40.724752902248241</v>
      </c>
      <c r="E2420" s="166">
        <f>E2352</f>
        <v>0</v>
      </c>
      <c r="F2420" s="166">
        <f t="shared" si="200"/>
        <v>0</v>
      </c>
      <c r="G2420" s="163" t="e">
        <f t="shared" si="196"/>
        <v>#DIV/0!</v>
      </c>
    </row>
    <row r="2421" spans="2:7">
      <c r="B2421" s="463" t="str">
        <f>TillageOperations!$B$11</f>
        <v>Moldboard Plow</v>
      </c>
      <c r="C2421" s="464" t="s">
        <v>157</v>
      </c>
      <c r="D2421" s="166">
        <f>PubMachineryTables!$AO$53</f>
        <v>0</v>
      </c>
      <c r="E2421" s="166">
        <f>E2354</f>
        <v>0</v>
      </c>
      <c r="F2421" s="166">
        <f t="shared" si="200"/>
        <v>0</v>
      </c>
      <c r="G2421" s="163" t="e">
        <f t="shared" si="196"/>
        <v>#DIV/0!</v>
      </c>
    </row>
    <row r="2422" spans="2:7">
      <c r="B2422" s="463" t="str">
        <f>TillageOperations!$B$12</f>
        <v>Cultivator</v>
      </c>
      <c r="C2422" s="464" t="s">
        <v>157</v>
      </c>
      <c r="D2422" s="166">
        <f>PubMachineryTables!$AO$54</f>
        <v>0</v>
      </c>
      <c r="E2422" s="166">
        <f>E2356</f>
        <v>0</v>
      </c>
      <c r="F2422" s="166">
        <f t="shared" si="200"/>
        <v>0</v>
      </c>
      <c r="G2422" s="163" t="e">
        <f t="shared" si="196"/>
        <v>#DIV/0!</v>
      </c>
    </row>
    <row r="2423" spans="2:7">
      <c r="B2423" s="463" t="str">
        <f>TillageOperations!$B$13</f>
        <v>Landplane</v>
      </c>
      <c r="C2423" s="464" t="s">
        <v>157</v>
      </c>
      <c r="D2423" s="166">
        <f>PubMachineryTables!$AO$55</f>
        <v>107.77752986339607</v>
      </c>
      <c r="E2423" s="166">
        <f>E2358</f>
        <v>0</v>
      </c>
      <c r="F2423" s="166">
        <f t="shared" si="200"/>
        <v>0</v>
      </c>
      <c r="G2423" s="163" t="e">
        <f t="shared" si="196"/>
        <v>#DIV/0!</v>
      </c>
    </row>
    <row r="2424" spans="2:7">
      <c r="B2424" s="463" t="str">
        <f>TillageOperations!$B$14</f>
        <v>Float</v>
      </c>
      <c r="C2424" s="464" t="s">
        <v>157</v>
      </c>
      <c r="D2424" s="166">
        <f>PubMachineryTables!$AO$56</f>
        <v>0</v>
      </c>
      <c r="E2424" s="166">
        <f>E2360</f>
        <v>0</v>
      </c>
      <c r="F2424" s="166">
        <f t="shared" si="200"/>
        <v>0</v>
      </c>
      <c r="G2424" s="163" t="e">
        <f t="shared" si="196"/>
        <v>#DIV/0!</v>
      </c>
    </row>
    <row r="2425" spans="2:7">
      <c r="B2425" s="463" t="str">
        <f>TillageOperations!$B$15</f>
        <v>Lister</v>
      </c>
      <c r="C2425" s="464" t="s">
        <v>157</v>
      </c>
      <c r="D2425" s="166">
        <f>PubMachineryTables!$AO$57</f>
        <v>72.676050764764099</v>
      </c>
      <c r="E2425" s="166">
        <f>E2362</f>
        <v>0</v>
      </c>
      <c r="F2425" s="166">
        <f t="shared" si="200"/>
        <v>0</v>
      </c>
      <c r="G2425" s="163" t="e">
        <f t="shared" si="196"/>
        <v>#DIV/0!</v>
      </c>
    </row>
    <row r="2426" spans="2:7">
      <c r="B2426" s="463" t="str">
        <f>TillageOperations!$B$16</f>
        <v>Bed Shaper</v>
      </c>
      <c r="C2426" s="464" t="s">
        <v>157</v>
      </c>
      <c r="D2426" s="166">
        <f>PubMachineryTables!$AO$58</f>
        <v>50.420091551988918</v>
      </c>
      <c r="E2426" s="166">
        <f>E2364</f>
        <v>0</v>
      </c>
      <c r="F2426" s="166">
        <f t="shared" si="200"/>
        <v>0</v>
      </c>
      <c r="G2426" s="163" t="e">
        <f t="shared" si="196"/>
        <v>#DIV/0!</v>
      </c>
    </row>
    <row r="2427" spans="2:7">
      <c r="B2427" s="463" t="str">
        <f>TillageOperations!$B$19</f>
        <v>Row Planter</v>
      </c>
      <c r="C2427" s="464" t="s">
        <v>157</v>
      </c>
      <c r="D2427" s="166">
        <f>PubMachineryTables!$AO$60</f>
        <v>218.60367298033367</v>
      </c>
      <c r="E2427" s="166">
        <f>E2366</f>
        <v>0</v>
      </c>
      <c r="F2427" s="166">
        <f t="shared" si="200"/>
        <v>0</v>
      </c>
      <c r="G2427" s="163" t="e">
        <f t="shared" si="196"/>
        <v>#DIV/0!</v>
      </c>
    </row>
    <row r="2428" spans="2:7">
      <c r="B2428" s="463" t="str">
        <f>TillageOperations!$B$20</f>
        <v>Row Cultivator</v>
      </c>
      <c r="C2428" s="464" t="s">
        <v>157</v>
      </c>
      <c r="D2428" s="166">
        <f>PubMachineryTables!$AO$61</f>
        <v>74.064902712939798</v>
      </c>
      <c r="E2428" s="166">
        <f>E2368</f>
        <v>0</v>
      </c>
      <c r="F2428" s="166">
        <f t="shared" si="200"/>
        <v>0</v>
      </c>
      <c r="G2428" s="163" t="e">
        <f t="shared" si="196"/>
        <v>#DIV/0!</v>
      </c>
    </row>
    <row r="2429" spans="2:7">
      <c r="B2429" s="465" t="str">
        <f>TillageOperations!$B$21</f>
        <v>Drill</v>
      </c>
      <c r="C2429" s="464" t="s">
        <v>157</v>
      </c>
      <c r="D2429" s="166">
        <f>PubMachineryTables!$AO$62</f>
        <v>51.837941761576523</v>
      </c>
      <c r="E2429" s="166">
        <f>E2370</f>
        <v>0</v>
      </c>
      <c r="F2429" s="166">
        <f t="shared" si="200"/>
        <v>0</v>
      </c>
      <c r="G2429" s="163" t="e">
        <f t="shared" ref="G2429:G2454" si="201">F2429/C$2295</f>
        <v>#DIV/0!</v>
      </c>
    </row>
    <row r="2430" spans="2:7">
      <c r="B2430" s="463" t="str">
        <f>TillageOperations!$B$27</f>
        <v>Cotton Picker</v>
      </c>
      <c r="C2430" s="464" t="s">
        <v>157</v>
      </c>
      <c r="D2430" s="166">
        <f>PubMachineryTables!$AO$67</f>
        <v>0</v>
      </c>
      <c r="E2430" s="166">
        <f>E2372</f>
        <v>0</v>
      </c>
      <c r="F2430" s="166">
        <f t="shared" si="200"/>
        <v>0</v>
      </c>
      <c r="G2430" s="163" t="e">
        <f t="shared" si="201"/>
        <v>#DIV/0!</v>
      </c>
    </row>
    <row r="2431" spans="2:7">
      <c r="B2431" s="463" t="str">
        <f>TillageOperations!$B$28</f>
        <v>Module Unit</v>
      </c>
      <c r="C2431" s="464" t="s">
        <v>157</v>
      </c>
      <c r="D2431" s="166">
        <f>PubMachineryTables!$AO$68</f>
        <v>0</v>
      </c>
      <c r="E2431" s="166">
        <f>E2374</f>
        <v>0</v>
      </c>
      <c r="F2431" s="166">
        <f t="shared" si="200"/>
        <v>0</v>
      </c>
      <c r="G2431" s="163" t="e">
        <f t="shared" si="201"/>
        <v>#DIV/0!</v>
      </c>
    </row>
    <row r="2432" spans="2:7">
      <c r="B2432" s="463" t="str">
        <f>TillageOperations!$B$29</f>
        <v>Haul Cotton</v>
      </c>
      <c r="C2432" s="464" t="s">
        <v>157</v>
      </c>
      <c r="D2432" s="166">
        <f>PubMachineryTables!$AO$69</f>
        <v>0</v>
      </c>
      <c r="E2432" s="166">
        <f>E2376</f>
        <v>0</v>
      </c>
      <c r="F2432" s="166">
        <f t="shared" si="200"/>
        <v>0</v>
      </c>
      <c r="G2432" s="163" t="e">
        <f t="shared" si="201"/>
        <v>#DIV/0!</v>
      </c>
    </row>
    <row r="2433" spans="2:7">
      <c r="B2433" s="465" t="str">
        <f>TillageOperations!$B$17</f>
        <v>Cotton Shredder/Root Puller</v>
      </c>
      <c r="C2433" s="464" t="s">
        <v>157</v>
      </c>
      <c r="D2433" s="166">
        <f>PubMachineryTables!$AO$59</f>
        <v>0</v>
      </c>
      <c r="E2433" s="166">
        <f>E2378</f>
        <v>0</v>
      </c>
      <c r="F2433" s="166">
        <f t="shared" si="200"/>
        <v>0</v>
      </c>
      <c r="G2433" s="163" t="e">
        <f t="shared" si="201"/>
        <v>#DIV/0!</v>
      </c>
    </row>
    <row r="2434" spans="2:7">
      <c r="B2434" s="102" t="str">
        <f>TillageOperations!$B$30</f>
        <v>Combine</v>
      </c>
      <c r="C2434" s="464" t="s">
        <v>157</v>
      </c>
      <c r="D2434" s="166">
        <f>PubMachineryTables!$AO$70</f>
        <v>154.43457969840463</v>
      </c>
      <c r="E2434" s="166">
        <f>E2380</f>
        <v>0</v>
      </c>
      <c r="F2434" s="166">
        <f>D2434*E2434</f>
        <v>0</v>
      </c>
      <c r="G2434" s="163" t="e">
        <f t="shared" si="201"/>
        <v>#DIV/0!</v>
      </c>
    </row>
    <row r="2435" spans="2:7">
      <c r="B2435" s="102" t="str">
        <f>TillageOperations!$B$31</f>
        <v>Grain Cart</v>
      </c>
      <c r="C2435" s="464" t="s">
        <v>157</v>
      </c>
      <c r="D2435" s="166">
        <f>PubMachineryTables!$AO$71</f>
        <v>25.28843211678571</v>
      </c>
      <c r="E2435" s="166">
        <f>E2382</f>
        <v>0</v>
      </c>
      <c r="F2435" s="166">
        <f>D2435*E2435</f>
        <v>0</v>
      </c>
      <c r="G2435" s="163" t="e">
        <f t="shared" si="201"/>
        <v>#DIV/0!</v>
      </c>
    </row>
    <row r="2436" spans="2:7">
      <c r="B2436" s="102" t="str">
        <f>TillageOperations!$B$32</f>
        <v>Swather</v>
      </c>
      <c r="C2436" s="464" t="s">
        <v>157</v>
      </c>
      <c r="D2436" s="166">
        <f>PubMachineryTables!$AO$72</f>
        <v>0</v>
      </c>
      <c r="E2436" s="166">
        <f>E2384</f>
        <v>0</v>
      </c>
      <c r="F2436" s="166">
        <f t="shared" ref="F2436:F2444" si="202">D2436*E2436</f>
        <v>0</v>
      </c>
      <c r="G2436" s="163" t="e">
        <f t="shared" si="201"/>
        <v>#DIV/0!</v>
      </c>
    </row>
    <row r="2437" spans="2:7">
      <c r="B2437" s="102" t="str">
        <f>TillageOperations!$B$33</f>
        <v>Baler</v>
      </c>
      <c r="C2437" s="464" t="s">
        <v>157</v>
      </c>
      <c r="D2437" s="166">
        <f>PubMachineryTables!$AO$73</f>
        <v>0</v>
      </c>
      <c r="E2437" s="166">
        <f>E2386</f>
        <v>0</v>
      </c>
      <c r="F2437" s="166">
        <f t="shared" si="202"/>
        <v>0</v>
      </c>
      <c r="G2437" s="163" t="e">
        <f t="shared" si="201"/>
        <v>#DIV/0!</v>
      </c>
    </row>
    <row r="2438" spans="2:7">
      <c r="B2438" s="102" t="str">
        <f>TillageOperations!$B$34</f>
        <v>Swather</v>
      </c>
      <c r="C2438" s="464" t="s">
        <v>157</v>
      </c>
      <c r="D2438" s="166">
        <f>PubMachineryTables!$AO$74</f>
        <v>0</v>
      </c>
      <c r="E2438" s="166">
        <f>E2388</f>
        <v>0</v>
      </c>
      <c r="F2438" s="166">
        <f t="shared" si="202"/>
        <v>0</v>
      </c>
      <c r="G2438" s="163" t="e">
        <f t="shared" si="201"/>
        <v>#DIV/0!</v>
      </c>
    </row>
    <row r="2439" spans="2:7">
      <c r="B2439" s="102" t="str">
        <f>TillageOperations!$B$35</f>
        <v>Baler</v>
      </c>
      <c r="C2439" s="464" t="s">
        <v>157</v>
      </c>
      <c r="D2439" s="166">
        <f>PubMachineryTables!$AO$75</f>
        <v>0</v>
      </c>
      <c r="E2439" s="166">
        <f>E2390</f>
        <v>0</v>
      </c>
      <c r="F2439" s="166">
        <f t="shared" si="202"/>
        <v>0</v>
      </c>
      <c r="G2439" s="163" t="e">
        <f t="shared" si="201"/>
        <v>#DIV/0!</v>
      </c>
    </row>
    <row r="2440" spans="2:7">
      <c r="B2440" s="102" t="str">
        <f>TillageOperations!$B$36</f>
        <v>Bale Wagon</v>
      </c>
      <c r="C2440" s="464" t="s">
        <v>157</v>
      </c>
      <c r="D2440" s="166">
        <f>PubMachineryTables!$AO$76</f>
        <v>0</v>
      </c>
      <c r="E2440" s="166">
        <f>E2393</f>
        <v>0</v>
      </c>
      <c r="F2440" s="166">
        <f t="shared" si="202"/>
        <v>0</v>
      </c>
      <c r="G2440" s="163" t="e">
        <f t="shared" si="201"/>
        <v>#DIV/0!</v>
      </c>
    </row>
    <row r="2441" spans="2:7">
      <c r="B2441" s="102" t="str">
        <f>TillageOperations!$B$23</f>
        <v>Fertilizer Spreader</v>
      </c>
      <c r="C2441" s="464" t="s">
        <v>157</v>
      </c>
      <c r="D2441" s="166">
        <f>PubMachineryTables!$AO$64</f>
        <v>93.913865291400512</v>
      </c>
      <c r="E2441" s="166">
        <f>E2395</f>
        <v>0</v>
      </c>
      <c r="F2441" s="166">
        <f t="shared" si="202"/>
        <v>0</v>
      </c>
      <c r="G2441" s="163" t="e">
        <f t="shared" si="201"/>
        <v>#DIV/0!</v>
      </c>
    </row>
    <row r="2442" spans="2:7">
      <c r="B2442" s="102" t="str">
        <f>TillageOperations!$B$24</f>
        <v>Fertilizer Injection System</v>
      </c>
      <c r="C2442" s="464" t="s">
        <v>157</v>
      </c>
      <c r="D2442" s="166">
        <f>PubMachineryTables!$AO$65</f>
        <v>0</v>
      </c>
      <c r="E2442" s="166">
        <f>E2397</f>
        <v>0</v>
      </c>
      <c r="F2442" s="166">
        <f t="shared" si="202"/>
        <v>0</v>
      </c>
      <c r="G2442" s="163" t="e">
        <f t="shared" si="201"/>
        <v>#DIV/0!</v>
      </c>
    </row>
    <row r="2443" spans="2:7">
      <c r="B2443" s="102" t="str">
        <f>TillageOperations!$B$25</f>
        <v>Boom Sprayer</v>
      </c>
      <c r="C2443" s="464" t="s">
        <v>157</v>
      </c>
      <c r="D2443" s="166">
        <f>PubMachineryTables!$AO$66</f>
        <v>9.6826493425933542</v>
      </c>
      <c r="E2443" s="166">
        <f>E2399</f>
        <v>0</v>
      </c>
      <c r="F2443" s="166">
        <f t="shared" si="202"/>
        <v>0</v>
      </c>
      <c r="G2443" s="163" t="e">
        <f t="shared" si="201"/>
        <v>#DIV/0!</v>
      </c>
    </row>
    <row r="2444" spans="2:7">
      <c r="B2444" s="102" t="str">
        <f>TillageOperations!$B$22</f>
        <v>Transplanter</v>
      </c>
      <c r="C2444" s="464" t="s">
        <v>157</v>
      </c>
      <c r="D2444" s="166">
        <f>PubMachineryTables!$AO$63</f>
        <v>0</v>
      </c>
      <c r="E2444" s="166">
        <f>E2401</f>
        <v>0</v>
      </c>
      <c r="F2444" s="166">
        <f t="shared" si="202"/>
        <v>0</v>
      </c>
      <c r="G2444" s="163" t="e">
        <f t="shared" si="201"/>
        <v>#DIV/0!</v>
      </c>
    </row>
    <row r="2445" spans="2:7">
      <c r="B2445" t="str">
        <f>'Inputs&amp;PricesbyCrop'!$B$39</f>
        <v>Crop Insurance</v>
      </c>
      <c r="C2445" s="464" t="s">
        <v>157</v>
      </c>
      <c r="D2445" s="166">
        <f>'Inputs&amp;PricesbyCrop'!$R$39</f>
        <v>0</v>
      </c>
      <c r="E2445" s="169">
        <f t="shared" ref="E2445:E2450" si="203">$C$2295</f>
        <v>0</v>
      </c>
      <c r="F2445" s="166">
        <f>D2445*E2445</f>
        <v>0</v>
      </c>
      <c r="G2445" s="163" t="e">
        <f t="shared" si="201"/>
        <v>#DIV/0!</v>
      </c>
    </row>
    <row r="2446" spans="2:7">
      <c r="B2446" t="str">
        <f>'Inputs&amp;PricesbyCrop'!$B$40</f>
        <v>Property Insurance</v>
      </c>
      <c r="C2446" s="464" t="s">
        <v>157</v>
      </c>
      <c r="D2446" s="166">
        <f>'Inputs&amp;PricesbyCrop'!$R$40</f>
        <v>0</v>
      </c>
      <c r="E2446" s="169">
        <f t="shared" si="203"/>
        <v>0</v>
      </c>
      <c r="F2446" s="166">
        <f>D2446*E2446</f>
        <v>0</v>
      </c>
      <c r="G2446" s="163" t="e">
        <f t="shared" si="201"/>
        <v>#DIV/0!</v>
      </c>
    </row>
    <row r="2447" spans="2:7">
      <c r="B2447" t="str">
        <f>'Inputs&amp;PricesbyCrop'!$B$41</f>
        <v>Property Taxes</v>
      </c>
      <c r="C2447" s="464" t="s">
        <v>157</v>
      </c>
      <c r="D2447" s="166">
        <f>'Inputs&amp;PricesbyCrop'!$R$41</f>
        <v>0</v>
      </c>
      <c r="E2447" s="169">
        <f t="shared" si="203"/>
        <v>0</v>
      </c>
      <c r="F2447" s="166">
        <f t="shared" ref="F2447:F2450" si="204">D2447*E2447</f>
        <v>0</v>
      </c>
      <c r="G2447" s="163" t="e">
        <f t="shared" si="201"/>
        <v>#DIV/0!</v>
      </c>
    </row>
    <row r="2448" spans="2:7">
      <c r="B2448" t="str">
        <f>'Inputs&amp;PricesbyCrop'!$B$42</f>
        <v>Annual Cash Rent Payment</v>
      </c>
      <c r="C2448" s="464" t="s">
        <v>157</v>
      </c>
      <c r="D2448" s="166">
        <f>'Inputs&amp;PricesbyCrop'!$R$42</f>
        <v>170</v>
      </c>
      <c r="E2448" s="169">
        <f t="shared" si="203"/>
        <v>0</v>
      </c>
      <c r="F2448" s="166">
        <f t="shared" si="204"/>
        <v>0</v>
      </c>
      <c r="G2448" s="163" t="e">
        <f t="shared" si="201"/>
        <v>#DIV/0!</v>
      </c>
    </row>
    <row r="2449" spans="2:7">
      <c r="B2449" t="s">
        <v>484</v>
      </c>
      <c r="C2449" s="464" t="s">
        <v>157</v>
      </c>
      <c r="D2449" s="166">
        <f>'Sheet #15'!I106</f>
        <v>0</v>
      </c>
      <c r="E2449" s="169">
        <f t="shared" si="203"/>
        <v>0</v>
      </c>
      <c r="F2449" s="166">
        <f t="shared" ref="F2449" si="205">D2449*E2449</f>
        <v>0</v>
      </c>
      <c r="G2449" s="163" t="e">
        <f t="shared" si="201"/>
        <v>#DIV/0!</v>
      </c>
    </row>
    <row r="2450" spans="2:7">
      <c r="B2450" t="str">
        <f>'Inputs&amp;PricesbyCrop'!$B$49</f>
        <v>Licenses and Fees</v>
      </c>
      <c r="C2450" s="464" t="s">
        <v>157</v>
      </c>
      <c r="D2450" s="166">
        <f>'Inputs&amp;PricesbyCrop'!$R$49</f>
        <v>0</v>
      </c>
      <c r="E2450" s="169">
        <f t="shared" si="203"/>
        <v>0</v>
      </c>
      <c r="F2450" s="170">
        <f t="shared" si="204"/>
        <v>0</v>
      </c>
      <c r="G2450" s="163" t="e">
        <f t="shared" si="201"/>
        <v>#DIV/0!</v>
      </c>
    </row>
    <row r="2451" spans="2:7">
      <c r="B2451" t="s">
        <v>131</v>
      </c>
      <c r="D2451" s="454"/>
      <c r="F2451" s="37">
        <f>SUM(F2414:F2450)</f>
        <v>0</v>
      </c>
      <c r="G2451" s="163" t="e">
        <f t="shared" si="201"/>
        <v>#DIV/0!</v>
      </c>
    </row>
    <row r="2452" spans="2:7">
      <c r="D2452" s="454"/>
      <c r="G2452" s="163" t="e">
        <f t="shared" si="201"/>
        <v>#DIV/0!</v>
      </c>
    </row>
    <row r="2453" spans="2:7">
      <c r="B2453" t="s">
        <v>63</v>
      </c>
      <c r="D2453" s="454"/>
      <c r="F2453" s="37">
        <f>F2451+F2411</f>
        <v>0</v>
      </c>
      <c r="G2453" s="163" t="e">
        <f t="shared" si="201"/>
        <v>#DIV/0!</v>
      </c>
    </row>
    <row r="2454" spans="2:7">
      <c r="B2454" t="s">
        <v>64</v>
      </c>
      <c r="D2454" s="454"/>
      <c r="F2454" s="37">
        <f>F2300-F2453</f>
        <v>0</v>
      </c>
      <c r="G2454" s="163" t="e">
        <f t="shared" si="201"/>
        <v>#DIV/0!</v>
      </c>
    </row>
    <row r="2455" spans="2:7">
      <c r="B2455" s="249" t="s">
        <v>276</v>
      </c>
      <c r="C2455" s="249" t="s">
        <v>4</v>
      </c>
      <c r="D2455" s="250" t="s">
        <v>277</v>
      </c>
      <c r="E2455" s="249" t="s">
        <v>278</v>
      </c>
      <c r="F2455" s="249" t="s">
        <v>279</v>
      </c>
      <c r="G2455" s="249"/>
    </row>
    <row r="2456" spans="2:7">
      <c r="B2456" s="135" t="str">
        <f>B2461</f>
        <v>Alt Crop #3</v>
      </c>
      <c r="D2456" s="454"/>
    </row>
    <row r="2457" spans="2:7">
      <c r="B2457" t="s">
        <v>16</v>
      </c>
      <c r="C2457" s="457">
        <f>IF('AcresYieldsPrices&amp;Water'!D17=0,0,'AcresYieldsPrices&amp;Water'!D17)</f>
        <v>0</v>
      </c>
      <c r="D2457" s="454" t="s">
        <v>17</v>
      </c>
    </row>
    <row r="2458" spans="2:7">
      <c r="D2458" s="454"/>
    </row>
    <row r="2459" spans="2:7">
      <c r="B2459" t="s">
        <v>22</v>
      </c>
      <c r="D2459" s="454"/>
    </row>
    <row r="2460" spans="2:7">
      <c r="B2460" s="455" t="s">
        <v>23</v>
      </c>
      <c r="C2460" s="458" t="s">
        <v>1</v>
      </c>
      <c r="D2460" s="459" t="s">
        <v>24</v>
      </c>
      <c r="E2460" s="460" t="s">
        <v>25</v>
      </c>
      <c r="F2460" s="460" t="s">
        <v>0</v>
      </c>
      <c r="G2460" s="277"/>
    </row>
    <row r="2461" spans="2:7">
      <c r="B2461" t="str">
        <f>'AcresYieldsPrices&amp;Water'!J19</f>
        <v>Alt Crop #3</v>
      </c>
      <c r="C2461" s="137" t="str">
        <f>'AcresYieldsPrices&amp;Water'!L19</f>
        <v>bushel</v>
      </c>
      <c r="D2461" s="454">
        <f>'AcresYieldsPrices&amp;Water'!M19</f>
        <v>0</v>
      </c>
      <c r="E2461" s="462">
        <f>'AcresYieldsPrices&amp;Water'!N19*$C$2457</f>
        <v>0</v>
      </c>
      <c r="F2461" s="136">
        <f>D2461*E2461</f>
        <v>0</v>
      </c>
      <c r="G2461" s="136"/>
    </row>
    <row r="2462" spans="2:7">
      <c r="B2462" t="s">
        <v>27</v>
      </c>
      <c r="D2462" s="454"/>
      <c r="F2462" s="37">
        <f>SUM(F2461:F2461)</f>
        <v>0</v>
      </c>
      <c r="G2462" s="163" t="e">
        <f>F2462/C$2457</f>
        <v>#DIV/0!</v>
      </c>
    </row>
    <row r="2463" spans="2:7">
      <c r="D2463" s="454"/>
      <c r="G2463" s="163" t="e">
        <f t="shared" ref="G2463:G2526" si="206">F2463/C$2457</f>
        <v>#DIV/0!</v>
      </c>
    </row>
    <row r="2464" spans="2:7">
      <c r="B2464" s="455" t="s">
        <v>62</v>
      </c>
      <c r="C2464" s="458" t="s">
        <v>1</v>
      </c>
      <c r="D2464" s="459" t="s">
        <v>24</v>
      </c>
      <c r="E2464" s="460" t="s">
        <v>25</v>
      </c>
      <c r="F2464" s="460" t="s">
        <v>0</v>
      </c>
      <c r="G2464" s="163" t="e">
        <f t="shared" si="206"/>
        <v>#VALUE!</v>
      </c>
    </row>
    <row r="2465" spans="2:7">
      <c r="B2465" t="str">
        <f>'Inputs&amp;PricesbyCrop'!B$82</f>
        <v xml:space="preserve">   - Seed</v>
      </c>
      <c r="C2465" s="137" t="str">
        <f>'Inputs&amp;PricesbyCrop'!C$91</f>
        <v>pounds</v>
      </c>
      <c r="D2465" s="454">
        <f>'Inputs&amp;PricesbyCrop'!$S$5</f>
        <v>0</v>
      </c>
      <c r="E2465" s="462">
        <f>'Inputs&amp;PricesbyCrop'!$S$6*$C$2457</f>
        <v>0</v>
      </c>
      <c r="F2465" s="37">
        <f t="shared" ref="F2465:F2504" si="207">D2465*E2465</f>
        <v>0</v>
      </c>
      <c r="G2465" s="163" t="e">
        <f t="shared" si="206"/>
        <v>#DIV/0!</v>
      </c>
    </row>
    <row r="2466" spans="2:7">
      <c r="B2466" t="str">
        <f>GeneralInputPrices!$B$3</f>
        <v xml:space="preserve">   - Inoculant</v>
      </c>
      <c r="C2466" s="137" t="str">
        <f>GeneralInputPrices!$C$3</f>
        <v>pounds</v>
      </c>
      <c r="D2466" s="166">
        <f>GeneralInputPrices!$D$3</f>
        <v>3</v>
      </c>
      <c r="E2466" s="166">
        <f>'Inputs&amp;PricesbyCrop'!$S$22*$C$2457</f>
        <v>0</v>
      </c>
      <c r="F2466" s="166">
        <f t="shared" si="207"/>
        <v>0</v>
      </c>
      <c r="G2466" s="163" t="e">
        <f t="shared" si="206"/>
        <v>#DIV/0!</v>
      </c>
    </row>
    <row r="2467" spans="2:7">
      <c r="B2467" t="str">
        <f>GeneralInputPrices!B$5</f>
        <v xml:space="preserve">   - Nitrogen</v>
      </c>
      <c r="C2467" s="137" t="str">
        <f>GeneralInputPrices!$C$5</f>
        <v>pounds</v>
      </c>
      <c r="D2467" s="166">
        <f>GeneralInputPrices!$D$5</f>
        <v>0.46</v>
      </c>
      <c r="E2467" s="166">
        <f>'Inputs&amp;PricesbyCrop'!$S$23*$C$2457</f>
        <v>0</v>
      </c>
      <c r="F2467" s="166">
        <f t="shared" si="207"/>
        <v>0</v>
      </c>
      <c r="G2467" s="163" t="e">
        <f t="shared" si="206"/>
        <v>#DIV/0!</v>
      </c>
    </row>
    <row r="2468" spans="2:7">
      <c r="B2468" t="str">
        <f>GeneralInputPrices!B$6</f>
        <v xml:space="preserve">   - Phosphorus</v>
      </c>
      <c r="C2468" s="137" t="str">
        <f>GeneralInputPrices!$C$6</f>
        <v>pounds</v>
      </c>
      <c r="D2468" s="166">
        <f>GeneralInputPrices!$D$6</f>
        <v>0.36</v>
      </c>
      <c r="E2468" s="166">
        <f>'Inputs&amp;PricesbyCrop'!$S$24*$C$2457</f>
        <v>0</v>
      </c>
      <c r="F2468" s="166">
        <f t="shared" si="207"/>
        <v>0</v>
      </c>
      <c r="G2468" s="163" t="e">
        <f t="shared" si="206"/>
        <v>#DIV/0!</v>
      </c>
    </row>
    <row r="2469" spans="2:7">
      <c r="B2469" t="str">
        <f>GeneralInputPrices!B$7</f>
        <v xml:space="preserve">   - Anhydrous Ammonia</v>
      </c>
      <c r="C2469" s="137" t="str">
        <f>GeneralInputPrices!$C$7</f>
        <v>pounds</v>
      </c>
      <c r="D2469" s="166">
        <f>GeneralInputPrices!$D$7</f>
        <v>0.21</v>
      </c>
      <c r="E2469" s="166">
        <f>'Inputs&amp;PricesbyCrop'!$S$25*$C$2457</f>
        <v>0</v>
      </c>
      <c r="F2469" s="166">
        <f t="shared" si="207"/>
        <v>0</v>
      </c>
      <c r="G2469" s="163" t="e">
        <f t="shared" si="206"/>
        <v>#DIV/0!</v>
      </c>
    </row>
    <row r="2470" spans="2:7">
      <c r="B2470" t="str">
        <f>GeneralInputPrices!$B$8</f>
        <v xml:space="preserve">   - Trace Elements</v>
      </c>
      <c r="C2470" s="137" t="str">
        <f>GeneralInputPrices!$C$8</f>
        <v>pounds</v>
      </c>
      <c r="D2470" s="166">
        <f>GeneralInputPrices!$D$8</f>
        <v>0.24</v>
      </c>
      <c r="E2470" s="166">
        <f>'Inputs&amp;PricesbyCrop'!$S$26*$C$2457</f>
        <v>0</v>
      </c>
      <c r="F2470" s="166">
        <f t="shared" si="207"/>
        <v>0</v>
      </c>
      <c r="G2470" s="163" t="e">
        <f t="shared" si="206"/>
        <v>#DIV/0!</v>
      </c>
    </row>
    <row r="2471" spans="2:7">
      <c r="B2471" t="str">
        <f>'Inputs&amp;PricesbyCrop'!$B$32</f>
        <v xml:space="preserve">   - Nitrogen</v>
      </c>
      <c r="C2471" s="137" t="str">
        <f>'Inputs&amp;PricesbyCrop'!$C$32</f>
        <v>acre</v>
      </c>
      <c r="D2471" s="166">
        <f>'Inputs&amp;PricesbyCrop'!$S$32</f>
        <v>0</v>
      </c>
      <c r="E2471" s="166">
        <f>$C$2457</f>
        <v>0</v>
      </c>
      <c r="F2471" s="166">
        <f t="shared" si="207"/>
        <v>0</v>
      </c>
      <c r="G2471" s="163" t="e">
        <f t="shared" si="206"/>
        <v>#DIV/0!</v>
      </c>
    </row>
    <row r="2472" spans="2:7">
      <c r="B2472" t="str">
        <f>'Inputs&amp;PricesbyCrop'!$B$33</f>
        <v xml:space="preserve">   - Phosphorus</v>
      </c>
      <c r="C2472" s="137" t="str">
        <f>'Inputs&amp;PricesbyCrop'!$C$33</f>
        <v>acre</v>
      </c>
      <c r="D2472" s="166">
        <f>'Inputs&amp;PricesbyCrop'!$S$33</f>
        <v>0</v>
      </c>
      <c r="E2472" s="166">
        <f>$C$2457</f>
        <v>0</v>
      </c>
      <c r="F2472" s="166">
        <f t="shared" si="207"/>
        <v>0</v>
      </c>
      <c r="G2472" s="163" t="e">
        <f t="shared" si="206"/>
        <v>#DIV/0!</v>
      </c>
    </row>
    <row r="2473" spans="2:7">
      <c r="B2473" t="str">
        <f>'Inputs&amp;PricesbyCrop'!$B$34</f>
        <v xml:space="preserve">   - Fertilizer - Anhydrous Applicator</v>
      </c>
      <c r="C2473" s="137" t="str">
        <f>'Inputs&amp;PricesbyCrop'!$C$34</f>
        <v>acre</v>
      </c>
      <c r="D2473" s="166">
        <f>'Inputs&amp;PricesbyCrop'!$S$34</f>
        <v>0</v>
      </c>
      <c r="E2473" s="166">
        <f>$C$2457</f>
        <v>0</v>
      </c>
      <c r="F2473" s="166">
        <f t="shared" si="207"/>
        <v>0</v>
      </c>
      <c r="G2473" s="163" t="e">
        <f t="shared" si="206"/>
        <v>#DIV/0!</v>
      </c>
    </row>
    <row r="2474" spans="2:7">
      <c r="B2474" t="str">
        <f>GeneralInputPrices!$B$10</f>
        <v xml:space="preserve">   - Prowl</v>
      </c>
      <c r="C2474" s="137" t="str">
        <f>GeneralInputPrices!$C$10</f>
        <v>pints</v>
      </c>
      <c r="D2474" s="166">
        <f>GeneralInputPrices!$D$10</f>
        <v>6.0625</v>
      </c>
      <c r="E2474" s="166">
        <f>'Inputs&amp;PricesbyCrop'!$S$27*$C$2457</f>
        <v>0</v>
      </c>
      <c r="F2474" s="166">
        <f t="shared" si="207"/>
        <v>0</v>
      </c>
      <c r="G2474" s="163" t="e">
        <f t="shared" si="206"/>
        <v>#DIV/0!</v>
      </c>
    </row>
    <row r="2475" spans="2:7">
      <c r="B2475" t="str">
        <f>GeneralInputPrices!$B$11</f>
        <v xml:space="preserve">   - Aim</v>
      </c>
      <c r="C2475" s="137" t="str">
        <f>GeneralInputPrices!$C$11</f>
        <v>ounces</v>
      </c>
      <c r="D2475" s="166">
        <f>GeneralInputPrices!$D$11</f>
        <v>5.9375</v>
      </c>
      <c r="E2475" s="166">
        <f>'Inputs&amp;PricesbyCrop'!$S$28*$C$2457</f>
        <v>0</v>
      </c>
      <c r="F2475" s="166">
        <f t="shared" si="207"/>
        <v>0</v>
      </c>
      <c r="G2475" s="163" t="e">
        <f t="shared" si="206"/>
        <v>#DIV/0!</v>
      </c>
    </row>
    <row r="2476" spans="2:7">
      <c r="B2476" t="str">
        <f>GeneralInputPrices!$B$12</f>
        <v xml:space="preserve">   - Fusilade</v>
      </c>
      <c r="C2476" s="137" t="str">
        <f>GeneralInputPrices!$C$12</f>
        <v>ounces</v>
      </c>
      <c r="D2476" s="166">
        <f>GeneralInputPrices!$D$12</f>
        <v>1.25</v>
      </c>
      <c r="E2476" s="166">
        <f>'Inputs&amp;PricesbyCrop'!$S$29*$C$2457</f>
        <v>0</v>
      </c>
      <c r="F2476" s="166">
        <f t="shared" si="207"/>
        <v>0</v>
      </c>
      <c r="G2476" s="163" t="e">
        <f t="shared" si="206"/>
        <v>#DIV/0!</v>
      </c>
    </row>
    <row r="2477" spans="2:7">
      <c r="B2477" t="str">
        <f>'Inputs&amp;PricesbyCrop'!$B$35</f>
        <v xml:space="preserve">   - Herbicides</v>
      </c>
      <c r="C2477" s="137" t="str">
        <f>'Inputs&amp;PricesbyCrop'!$C$35</f>
        <v>acre</v>
      </c>
      <c r="D2477" s="166">
        <f>'Inputs&amp;PricesbyCrop'!$S$35</f>
        <v>0</v>
      </c>
      <c r="E2477" s="166">
        <f>$C$2457</f>
        <v>0</v>
      </c>
      <c r="F2477" s="166">
        <f t="shared" si="207"/>
        <v>0</v>
      </c>
      <c r="G2477" s="163" t="e">
        <f t="shared" si="206"/>
        <v>#DIV/0!</v>
      </c>
    </row>
    <row r="2478" spans="2:7">
      <c r="B2478" t="str">
        <f>'Inputs&amp;PricesbyCrop'!$B$36</f>
        <v xml:space="preserve">   - Herbicide - #2</v>
      </c>
      <c r="C2478" s="137" t="str">
        <f>'Inputs&amp;PricesbyCrop'!$C$36</f>
        <v>acre</v>
      </c>
      <c r="D2478" s="166">
        <f>'Inputs&amp;PricesbyCrop'!$S$36</f>
        <v>0</v>
      </c>
      <c r="E2478" s="166">
        <f>$C$2457</f>
        <v>0</v>
      </c>
      <c r="F2478" s="166">
        <f t="shared" si="207"/>
        <v>0</v>
      </c>
      <c r="G2478" s="163" t="e">
        <f t="shared" si="206"/>
        <v>#DIV/0!</v>
      </c>
    </row>
    <row r="2479" spans="2:7">
      <c r="B2479" t="str">
        <f>'Inputs&amp;PricesbyCrop'!$B$37</f>
        <v xml:space="preserve">   - Insecticides</v>
      </c>
      <c r="C2479" s="137" t="str">
        <f>'Inputs&amp;PricesbyCrop'!$C$37</f>
        <v>acre</v>
      </c>
      <c r="D2479" s="166">
        <f>'Inputs&amp;PricesbyCrop'!$S$37</f>
        <v>0</v>
      </c>
      <c r="E2479" s="166">
        <f>$C$2457</f>
        <v>0</v>
      </c>
      <c r="F2479" s="166">
        <f t="shared" si="207"/>
        <v>0</v>
      </c>
      <c r="G2479" s="163" t="e">
        <f t="shared" si="206"/>
        <v>#DIV/0!</v>
      </c>
    </row>
    <row r="2480" spans="2:7">
      <c r="B2480" t="str">
        <f>'Inputs&amp;PricesbyCrop'!$B$38</f>
        <v xml:space="preserve">   - Insecticide - #2</v>
      </c>
      <c r="C2480" s="137" t="str">
        <f>'Inputs&amp;PricesbyCrop'!$C$38</f>
        <v>acre</v>
      </c>
      <c r="D2480" s="166">
        <f>'Inputs&amp;PricesbyCrop'!$S$38</f>
        <v>0</v>
      </c>
      <c r="E2480" s="166">
        <f>$C$2457</f>
        <v>0</v>
      </c>
      <c r="F2480" s="166">
        <f t="shared" si="207"/>
        <v>0</v>
      </c>
      <c r="G2480" s="163" t="e">
        <f t="shared" si="206"/>
        <v>#DIV/0!</v>
      </c>
    </row>
    <row r="2481" spans="2:7">
      <c r="B2481" t="str">
        <f>'Inputs&amp;PricesbyCrop'!$B$7</f>
        <v>Flood - Irrigation Water</v>
      </c>
      <c r="C2481" s="137" t="str">
        <f>'Inputs&amp;PricesbyCrop'!$C$7</f>
        <v>ac ft</v>
      </c>
      <c r="D2481" s="166">
        <f>GeneralInputPrices!$D$13</f>
        <v>55</v>
      </c>
      <c r="E2481" s="102">
        <f>('AcresYieldsPrices&amp;Water'!$E$17*'Inputs&amp;PricesbyCrop'!$S$7)*$C2457</f>
        <v>0</v>
      </c>
      <c r="F2481" s="166">
        <f t="shared" si="207"/>
        <v>0</v>
      </c>
      <c r="G2481" s="163" t="e">
        <f t="shared" si="206"/>
        <v>#DIV/0!</v>
      </c>
    </row>
    <row r="2482" spans="2:7">
      <c r="B2482" t="str">
        <f>'Inputs&amp;PricesbyCrop'!$B$8</f>
        <v>Flood - Irrigation Labor</v>
      </c>
      <c r="C2482" s="137" t="str">
        <f>'Inputs&amp;PricesbyCrop'!$C$8</f>
        <v>hour</v>
      </c>
      <c r="D2482" s="166">
        <f>GeneralInputPrices!$D$28</f>
        <v>14.55</v>
      </c>
      <c r="E2482" s="166">
        <f>('AcresYieldsPrices&amp;Water'!$E$17*'Inputs&amp;PricesbyCrop'!$S$8)*$C2457</f>
        <v>0</v>
      </c>
      <c r="F2482" s="166">
        <f t="shared" si="207"/>
        <v>0</v>
      </c>
      <c r="G2482" s="163" t="e">
        <f t="shared" si="206"/>
        <v>#DIV/0!</v>
      </c>
    </row>
    <row r="2483" spans="2:7">
      <c r="B2483" t="str">
        <f>GeneralInputPrices!$B$18</f>
        <v xml:space="preserve">   - Annual Repairs &amp; Maintenance</v>
      </c>
      <c r="C2483" s="453" t="str">
        <f>GeneralInputPrices!$C$18</f>
        <v>acre</v>
      </c>
      <c r="D2483" s="166">
        <f>GeneralInputPrices!$D$18</f>
        <v>3</v>
      </c>
      <c r="E2483" s="166">
        <f>'AcresYieldsPrices&amp;Water'!$E$17*$C2457</f>
        <v>0</v>
      </c>
      <c r="F2483" s="166">
        <f t="shared" si="207"/>
        <v>0</v>
      </c>
      <c r="G2483" s="163" t="e">
        <f t="shared" si="206"/>
        <v>#DIV/0!</v>
      </c>
    </row>
    <row r="2484" spans="2:7">
      <c r="B2484" t="str">
        <f>'Inputs&amp;PricesbyCrop'!$B$9</f>
        <v>Drip-tape - Irrigation Water</v>
      </c>
      <c r="C2484" s="137" t="str">
        <f>'Inputs&amp;PricesbyCrop'!$C$9</f>
        <v>ac ft</v>
      </c>
      <c r="D2484" s="166">
        <f>GeneralInputPrices!$D$13</f>
        <v>55</v>
      </c>
      <c r="E2484" s="166">
        <f>('AcresYieldsPrices&amp;Water'!$F$17*'Inputs&amp;PricesbyCrop'!$S$9)*$C2457</f>
        <v>0</v>
      </c>
      <c r="F2484" s="166">
        <f t="shared" si="207"/>
        <v>0</v>
      </c>
      <c r="G2484" s="163" t="e">
        <f t="shared" si="206"/>
        <v>#DIV/0!</v>
      </c>
    </row>
    <row r="2485" spans="2:7">
      <c r="B2485" t="str">
        <f>'Inputs&amp;PricesbyCrop'!$B$10</f>
        <v>Drip-tape - Irrigation Labor</v>
      </c>
      <c r="C2485" s="137" t="str">
        <f>'Inputs&amp;PricesbyCrop'!$C$10</f>
        <v>hour</v>
      </c>
      <c r="D2485" s="166">
        <f>GeneralInputPrices!$D$28</f>
        <v>14.55</v>
      </c>
      <c r="E2485" s="166">
        <f>('AcresYieldsPrices&amp;Water'!$F$17*'Inputs&amp;PricesbyCrop'!$S$10)*$C2457</f>
        <v>0</v>
      </c>
      <c r="F2485" s="166">
        <f t="shared" si="207"/>
        <v>0</v>
      </c>
      <c r="G2485" s="163" t="e">
        <f t="shared" si="206"/>
        <v>#DIV/0!</v>
      </c>
    </row>
    <row r="2486" spans="2:7">
      <c r="B2486" t="str">
        <f>GeneralInputPrices!$B$22</f>
        <v xml:space="preserve">   - Annual Repairs &amp; Maintenance</v>
      </c>
      <c r="C2486" s="453" t="str">
        <f>GeneralInputPrices!$C$22</f>
        <v>acre</v>
      </c>
      <c r="D2486" s="166">
        <f>GeneralInputPrices!$D$22</f>
        <v>7.5</v>
      </c>
      <c r="E2486" s="166">
        <f>'AcresYieldsPrices&amp;Water'!$F$17*C2457</f>
        <v>0</v>
      </c>
      <c r="F2486" s="166">
        <f t="shared" si="207"/>
        <v>0</v>
      </c>
      <c r="G2486" s="163" t="e">
        <f t="shared" si="206"/>
        <v>#DIV/0!</v>
      </c>
    </row>
    <row r="2487" spans="2:7">
      <c r="B2487" t="str">
        <f>'Inputs&amp;PricesbyCrop'!$B$11</f>
        <v>Sprinkler - Irrigation Water</v>
      </c>
      <c r="C2487" s="137" t="str">
        <f>'Inputs&amp;PricesbyCrop'!$C$11</f>
        <v>ac ft</v>
      </c>
      <c r="D2487" s="166">
        <f>GeneralInputPrices!$D$13</f>
        <v>55</v>
      </c>
      <c r="E2487" s="166">
        <f>('AcresYieldsPrices&amp;Water'!$G$17*'Inputs&amp;PricesbyCrop'!$S$11)*$C2457</f>
        <v>0</v>
      </c>
      <c r="F2487" s="166">
        <f t="shared" si="207"/>
        <v>0</v>
      </c>
      <c r="G2487" s="163" t="e">
        <f t="shared" si="206"/>
        <v>#DIV/0!</v>
      </c>
    </row>
    <row r="2488" spans="2:7">
      <c r="B2488" t="str">
        <f>'Inputs&amp;PricesbyCrop'!$B$12</f>
        <v>Sprinkler - Irrigation Labor</v>
      </c>
      <c r="C2488" s="137" t="str">
        <f>'Inputs&amp;PricesbyCrop'!$C$12</f>
        <v>hour</v>
      </c>
      <c r="D2488" s="166">
        <f>GeneralInputPrices!$D$28</f>
        <v>14.55</v>
      </c>
      <c r="E2488" s="166">
        <f>('AcresYieldsPrices&amp;Water'!$G$17*'Inputs&amp;PricesbyCrop'!$S$12)*$C2457</f>
        <v>0</v>
      </c>
      <c r="F2488" s="166">
        <f t="shared" si="207"/>
        <v>0</v>
      </c>
      <c r="G2488" s="163" t="e">
        <f t="shared" si="206"/>
        <v>#DIV/0!</v>
      </c>
    </row>
    <row r="2489" spans="2:7">
      <c r="B2489" t="str">
        <f>GeneralInputPrices!$B$26</f>
        <v xml:space="preserve">   - Annual Repairs &amp; Maintenance</v>
      </c>
      <c r="C2489" s="453" t="str">
        <f>GeneralInputPrices!$C$26</f>
        <v>acre</v>
      </c>
      <c r="D2489" s="166">
        <f>GeneralInputPrices!$D$26</f>
        <v>15</v>
      </c>
      <c r="E2489" s="166">
        <f>'AcresYieldsPrices&amp;Water'!$G$17*$C2457</f>
        <v>0</v>
      </c>
      <c r="F2489" s="166">
        <f t="shared" si="207"/>
        <v>0</v>
      </c>
      <c r="G2489" s="163" t="e">
        <f t="shared" si="206"/>
        <v>#DIV/0!</v>
      </c>
    </row>
    <row r="2490" spans="2:7">
      <c r="B2490" t="str">
        <f>CustomOperations!$B$37</f>
        <v>Harvest, Custom</v>
      </c>
      <c r="C2490" s="137" t="str">
        <f>CustomOperations!$C$37</f>
        <v>acre</v>
      </c>
      <c r="D2490" s="166">
        <f>CustomOperations!$S$37</f>
        <v>25</v>
      </c>
      <c r="E2490" s="166">
        <f>CustomOperations!$S$38*$C$2457</f>
        <v>0</v>
      </c>
      <c r="F2490" s="166">
        <f t="shared" si="207"/>
        <v>0</v>
      </c>
      <c r="G2490" s="163" t="e">
        <f t="shared" si="206"/>
        <v>#DIV/0!</v>
      </c>
    </row>
    <row r="2491" spans="2:7">
      <c r="B2491" t="str">
        <f>CustomOperations!$B$39</f>
        <v>Hauling, Custom</v>
      </c>
      <c r="C2491" s="137" t="str">
        <f>CustomOperations!$C$39</f>
        <v>mile</v>
      </c>
      <c r="D2491" s="166">
        <f>CustomOperations!$S$39</f>
        <v>0</v>
      </c>
      <c r="E2491" s="166">
        <f>CustomOperations!$S$40*$C$2457</f>
        <v>0</v>
      </c>
      <c r="F2491" s="166">
        <f t="shared" si="207"/>
        <v>0</v>
      </c>
      <c r="G2491" s="163" t="e">
        <f t="shared" si="206"/>
        <v>#DIV/0!</v>
      </c>
    </row>
    <row r="2492" spans="2:7">
      <c r="B2492" t="str">
        <f>CustomOperations!$B$41</f>
        <v>Gin Cotton/Drying/Swathing, Custom</v>
      </c>
      <c r="C2492" s="137" t="str">
        <f>CustomOperations!$C$41</f>
        <v>bale</v>
      </c>
      <c r="D2492" s="166">
        <f>CustomOperations!$S$41</f>
        <v>0</v>
      </c>
      <c r="E2492" s="166">
        <f>CustomOperations!$S$42*$C$2457</f>
        <v>0</v>
      </c>
      <c r="F2492" s="166">
        <f t="shared" si="207"/>
        <v>0</v>
      </c>
      <c r="G2492" s="163" t="e">
        <f t="shared" si="206"/>
        <v>#DIV/0!</v>
      </c>
    </row>
    <row r="2493" spans="2:7">
      <c r="B2493" t="str">
        <f>CustomOperations!$B$24</f>
        <v>Drill, Custom</v>
      </c>
      <c r="C2493" s="137" t="str">
        <f>CustomOperations!$C$24</f>
        <v>acre</v>
      </c>
      <c r="D2493" s="166">
        <f>CustomOperations!$S$24</f>
        <v>0</v>
      </c>
      <c r="E2493" s="166">
        <f>CustomOperations!$S$25*$C$2457</f>
        <v>0</v>
      </c>
      <c r="F2493" s="166">
        <f t="shared" si="207"/>
        <v>0</v>
      </c>
      <c r="G2493" s="163" t="e">
        <f t="shared" si="206"/>
        <v>#DIV/0!</v>
      </c>
    </row>
    <row r="2494" spans="2:7">
      <c r="B2494" t="str">
        <f>CustomOperations!$B$26</f>
        <v>Row Planter, Custom</v>
      </c>
      <c r="C2494" s="137" t="str">
        <f>CustomOperations!$C$26</f>
        <v>acre</v>
      </c>
      <c r="D2494" s="166">
        <f>CustomOperations!$S$26</f>
        <v>0</v>
      </c>
      <c r="E2494" s="166">
        <f>CustomOperations!$S$27*$C$2457</f>
        <v>0</v>
      </c>
      <c r="F2494" s="166">
        <f t="shared" si="207"/>
        <v>0</v>
      </c>
      <c r="G2494" s="163" t="e">
        <f t="shared" si="206"/>
        <v>#DIV/0!</v>
      </c>
    </row>
    <row r="2495" spans="2:7">
      <c r="B2495" t="str">
        <f>CustomOperations!$B$28</f>
        <v>Row Cultivator, Custom</v>
      </c>
      <c r="C2495" s="137" t="str">
        <f>CustomOperations!$C$28</f>
        <v>acre</v>
      </c>
      <c r="D2495" s="166">
        <f>CustomOperations!$S$28</f>
        <v>0</v>
      </c>
      <c r="E2495" s="166">
        <f>CustomOperations!$S$29*$C$2457</f>
        <v>0</v>
      </c>
      <c r="F2495" s="166">
        <f t="shared" si="207"/>
        <v>0</v>
      </c>
      <c r="G2495" s="163" t="e">
        <f t="shared" si="206"/>
        <v>#DIV/0!</v>
      </c>
    </row>
    <row r="2496" spans="2:7">
      <c r="B2496" t="str">
        <f>CustomOperations!$B$5</f>
        <v>V Ripper, Custom</v>
      </c>
      <c r="C2496" s="137" t="str">
        <f>CustomOperations!$C$5</f>
        <v>acre</v>
      </c>
      <c r="D2496" s="166">
        <f>CustomOperations!$S$5</f>
        <v>44.25</v>
      </c>
      <c r="E2496" s="166">
        <f>CustomOperations!$S$6*$C$2457</f>
        <v>0</v>
      </c>
      <c r="F2496" s="166">
        <f t="shared" si="207"/>
        <v>0</v>
      </c>
      <c r="G2496" s="163" t="e">
        <f t="shared" si="206"/>
        <v>#DIV/0!</v>
      </c>
    </row>
    <row r="2497" spans="2:7">
      <c r="B2497" t="str">
        <f>CustomOperations!$B$7</f>
        <v>Disk, Custom</v>
      </c>
      <c r="C2497" s="137" t="str">
        <f>CustomOperations!$C$7</f>
        <v>acre</v>
      </c>
      <c r="D2497" s="166">
        <f>CustomOperations!$S$7</f>
        <v>0</v>
      </c>
      <c r="E2497" s="166">
        <f>CustomOperations!$S$8*$C$2457</f>
        <v>0</v>
      </c>
      <c r="F2497" s="166">
        <f t="shared" si="207"/>
        <v>0</v>
      </c>
      <c r="G2497" s="163" t="e">
        <f t="shared" si="206"/>
        <v>#DIV/0!</v>
      </c>
    </row>
    <row r="2498" spans="2:7">
      <c r="B2498" t="str">
        <f>CustomOperations!$B$9</f>
        <v>Drag, Custom</v>
      </c>
      <c r="C2498" s="137" t="str">
        <f>CustomOperations!$C$9</f>
        <v>acre</v>
      </c>
      <c r="D2498" s="166">
        <f>CustomOperations!$S$9</f>
        <v>0</v>
      </c>
      <c r="E2498" s="166">
        <f>CustomOperations!$S$10*$C$2457</f>
        <v>0</v>
      </c>
      <c r="F2498" s="166">
        <f t="shared" si="207"/>
        <v>0</v>
      </c>
      <c r="G2498" s="163" t="e">
        <f t="shared" si="206"/>
        <v>#DIV/0!</v>
      </c>
    </row>
    <row r="2499" spans="2:7">
      <c r="B2499" t="str">
        <f>CustomOperations!$B$11</f>
        <v>Chisel, Custom</v>
      </c>
      <c r="C2499" s="137" t="str">
        <f>CustomOperations!$C$11</f>
        <v>acre</v>
      </c>
      <c r="D2499" s="166">
        <f>CustomOperations!$S$11</f>
        <v>0</v>
      </c>
      <c r="E2499" s="166">
        <f>CustomOperations!$S$12*$C$2457</f>
        <v>0</v>
      </c>
      <c r="F2499" s="166">
        <f t="shared" si="207"/>
        <v>0</v>
      </c>
      <c r="G2499" s="163" t="e">
        <f t="shared" si="206"/>
        <v>#DIV/0!</v>
      </c>
    </row>
    <row r="2500" spans="2:7">
      <c r="B2500" t="str">
        <f>CustomOperations!$B$13</f>
        <v>Moldboard Plow, Custom</v>
      </c>
      <c r="C2500" s="137" t="str">
        <f>CustomOperations!$C$13</f>
        <v>acre</v>
      </c>
      <c r="D2500" s="166">
        <f>CustomOperations!$S$13</f>
        <v>0</v>
      </c>
      <c r="E2500" s="166">
        <f>CustomOperations!$S$14*$C$2457</f>
        <v>0</v>
      </c>
      <c r="F2500" s="166">
        <f t="shared" si="207"/>
        <v>0</v>
      </c>
      <c r="G2500" s="163" t="e">
        <f t="shared" si="206"/>
        <v>#DIV/0!</v>
      </c>
    </row>
    <row r="2501" spans="2:7">
      <c r="B2501" t="str">
        <f>CustomOperations!$B$15</f>
        <v>Landplane, Custom</v>
      </c>
      <c r="C2501" s="137" t="str">
        <f>CustomOperations!$C$15</f>
        <v>acre</v>
      </c>
      <c r="D2501" s="166">
        <f>CustomOperations!$S$15</f>
        <v>17.940000000000001</v>
      </c>
      <c r="E2501" s="166">
        <f>CustomOperations!$S$16*$C$2457</f>
        <v>0</v>
      </c>
      <c r="F2501" s="166">
        <f t="shared" si="207"/>
        <v>0</v>
      </c>
      <c r="G2501" s="163" t="e">
        <f t="shared" si="206"/>
        <v>#DIV/0!</v>
      </c>
    </row>
    <row r="2502" spans="2:7">
      <c r="B2502" t="str">
        <f>CustomOperations!$B$17</f>
        <v>Float, Custom</v>
      </c>
      <c r="C2502" s="137" t="str">
        <f>CustomOperations!$C$17</f>
        <v>acre</v>
      </c>
      <c r="D2502" s="166">
        <f>CustomOperations!$S$17</f>
        <v>17.940000000000001</v>
      </c>
      <c r="E2502" s="166">
        <f>CustomOperations!$S$18*$C$2457</f>
        <v>0</v>
      </c>
      <c r="F2502" s="166">
        <f t="shared" si="207"/>
        <v>0</v>
      </c>
      <c r="G2502" s="163" t="e">
        <f t="shared" si="206"/>
        <v>#DIV/0!</v>
      </c>
    </row>
    <row r="2503" spans="2:7">
      <c r="B2503" t="str">
        <f>CustomOperations!$B$19</f>
        <v>Lister, Custom</v>
      </c>
      <c r="C2503" s="137" t="str">
        <f>CustomOperations!$C$19</f>
        <v>acre</v>
      </c>
      <c r="D2503" s="166">
        <f>CustomOperations!$S$19</f>
        <v>20.38</v>
      </c>
      <c r="E2503" s="166">
        <f>CustomOperations!$S$20*$C$2457</f>
        <v>0</v>
      </c>
      <c r="F2503" s="166">
        <f t="shared" si="207"/>
        <v>0</v>
      </c>
      <c r="G2503" s="163" t="e">
        <f t="shared" si="206"/>
        <v>#DIV/0!</v>
      </c>
    </row>
    <row r="2504" spans="2:7">
      <c r="B2504" t="str">
        <f>CustomOperations!$B$21</f>
        <v>Bed Shape, Custom</v>
      </c>
      <c r="C2504" s="137" t="str">
        <f>CustomOperations!$C$21</f>
        <v>acre</v>
      </c>
      <c r="D2504" s="166">
        <f>CustomOperations!$S$21</f>
        <v>13.69</v>
      </c>
      <c r="E2504" s="166">
        <f>CustomOperations!$S$22*$C$2457</f>
        <v>0</v>
      </c>
      <c r="F2504" s="166">
        <f t="shared" si="207"/>
        <v>0</v>
      </c>
      <c r="G2504" s="163" t="e">
        <f t="shared" si="206"/>
        <v>#DIV/0!</v>
      </c>
    </row>
    <row r="2505" spans="2:7">
      <c r="B2505" t="str">
        <f>CustomOperations!$B$32</f>
        <v>Fertilizer Spreader, Custom</v>
      </c>
      <c r="C2505" s="137" t="str">
        <f>CustomOperations!$C$32</f>
        <v>acre</v>
      </c>
      <c r="D2505" s="166">
        <f>CustomOperations!$S$32</f>
        <v>10.08</v>
      </c>
      <c r="E2505" s="166">
        <f>CustomOperations!$S$33*$C$2457</f>
        <v>0</v>
      </c>
      <c r="F2505" s="166">
        <f>D2505*E2505</f>
        <v>0</v>
      </c>
      <c r="G2505" s="163" t="e">
        <f t="shared" si="206"/>
        <v>#DIV/0!</v>
      </c>
    </row>
    <row r="2506" spans="2:7">
      <c r="B2506" t="str">
        <f>CustomOperations!$B$34</f>
        <v>Laser Landplaning, Custom</v>
      </c>
      <c r="C2506" s="137" t="str">
        <f>CustomOperations!$C$34</f>
        <v>acre</v>
      </c>
      <c r="D2506" s="166">
        <f>CustomOperations!$S$34</f>
        <v>0</v>
      </c>
      <c r="E2506" s="166">
        <f>CustomOperations!$S$35*$C$2457</f>
        <v>0</v>
      </c>
      <c r="F2506" s="166">
        <f>D2506*E2506</f>
        <v>0</v>
      </c>
      <c r="G2506" s="163" t="e">
        <f t="shared" si="206"/>
        <v>#DIV/0!</v>
      </c>
    </row>
    <row r="2507" spans="2:7">
      <c r="B2507" t="str">
        <f>CustomOperations!$B$30</f>
        <v>Boom Sprayer, Custom</v>
      </c>
      <c r="C2507" s="137" t="str">
        <f>CustomOperations!$C$30</f>
        <v>acre</v>
      </c>
      <c r="D2507" s="166">
        <f>CustomOperations!$S$30</f>
        <v>10.050000000000001</v>
      </c>
      <c r="E2507" s="166">
        <f>CustomOperations!$S$31*$C$2457</f>
        <v>0</v>
      </c>
      <c r="F2507" s="166">
        <f t="shared" ref="F2507:F2529" si="208">D2507*E2507</f>
        <v>0</v>
      </c>
      <c r="G2507" s="163" t="e">
        <f t="shared" si="206"/>
        <v>#DIV/0!</v>
      </c>
    </row>
    <row r="2508" spans="2:7">
      <c r="B2508" s="463" t="str">
        <f>TillageOperations!$B$7&amp;" (Repairs, maint., fuel &amp; lube)"</f>
        <v>V-Ripper (Repairs, maint., fuel &amp; lube)</v>
      </c>
      <c r="C2508" s="464" t="s">
        <v>157</v>
      </c>
      <c r="D2508" s="166">
        <f>PubMachineryTables!$AM$49+PubMachineryTables!$AN$49</f>
        <v>30.16333889180672</v>
      </c>
      <c r="E2508" s="166">
        <f>TillageOperations!$R$7*$C$2457</f>
        <v>0</v>
      </c>
      <c r="F2508" s="166">
        <f t="shared" si="208"/>
        <v>0</v>
      </c>
      <c r="G2508" s="163" t="e">
        <f t="shared" si="206"/>
        <v>#DIV/0!</v>
      </c>
    </row>
    <row r="2509" spans="2:7">
      <c r="B2509" s="463" t="str">
        <f>TillageOperations!$B$7&amp;" (Labor)"</f>
        <v>V-Ripper (Labor)</v>
      </c>
      <c r="C2509" s="464" t="s">
        <v>157</v>
      </c>
      <c r="D2509" s="166">
        <f>PubMachineryTables!$AL$49</f>
        <v>13.529312500000001</v>
      </c>
      <c r="E2509" s="166">
        <f>TillageOperations!$R$7*$C$2457</f>
        <v>0</v>
      </c>
      <c r="F2509" s="166">
        <f t="shared" si="208"/>
        <v>0</v>
      </c>
      <c r="G2509" s="163" t="e">
        <f t="shared" si="206"/>
        <v>#DIV/0!</v>
      </c>
    </row>
    <row r="2510" spans="2:7">
      <c r="B2510" s="463" t="str">
        <f>TillageOperations!$B$8&amp;" (Repairs, maint., fuel &amp; lube)"</f>
        <v>Offset Disk (Repairs, maint., fuel &amp; lube)</v>
      </c>
      <c r="C2510" s="464" t="s">
        <v>157</v>
      </c>
      <c r="D2510" s="166">
        <f>PubMachineryTables!$AN$50+PubMachineryTables!$AM$50</f>
        <v>10.332318567950058</v>
      </c>
      <c r="E2510" s="166">
        <f>TillageOperations!$R$8*$C$2457</f>
        <v>0</v>
      </c>
      <c r="F2510" s="166">
        <f t="shared" si="208"/>
        <v>0</v>
      </c>
      <c r="G2510" s="163" t="e">
        <f t="shared" si="206"/>
        <v>#DIV/0!</v>
      </c>
    </row>
    <row r="2511" spans="2:7">
      <c r="B2511" s="463" t="str">
        <f>TillageOperations!$B$8&amp;" (Labor)"</f>
        <v>Offset Disk (Labor)</v>
      </c>
      <c r="C2511" s="464" t="s">
        <v>157</v>
      </c>
      <c r="D2511" s="166">
        <f>PubMachineryTables!$AL$50</f>
        <v>4.7161002178649252</v>
      </c>
      <c r="E2511" s="166">
        <f>TillageOperations!$R$8*$C$2457</f>
        <v>0</v>
      </c>
      <c r="F2511" s="166">
        <f t="shared" si="208"/>
        <v>0</v>
      </c>
      <c r="G2511" s="163" t="e">
        <f t="shared" si="206"/>
        <v>#DIV/0!</v>
      </c>
    </row>
    <row r="2512" spans="2:7">
      <c r="B2512" s="463" t="str">
        <f>TillageOperations!$B$9&amp;" (Repairs, maint., fuel &amp; lube)"</f>
        <v>Drag (Repairs, maint., fuel &amp; lube)</v>
      </c>
      <c r="C2512" s="464" t="s">
        <v>157</v>
      </c>
      <c r="D2512" s="166">
        <f>PubMachineryTables!$AN$51+PubMachineryTables!$AM$51</f>
        <v>2.4803921568627447</v>
      </c>
      <c r="E2512" s="166">
        <f>TillageOperations!$R$9*$C$2457</f>
        <v>0</v>
      </c>
      <c r="F2512" s="166">
        <f t="shared" si="208"/>
        <v>0</v>
      </c>
      <c r="G2512" s="163" t="e">
        <f t="shared" si="206"/>
        <v>#DIV/0!</v>
      </c>
    </row>
    <row r="2513" spans="2:7">
      <c r="B2513" s="463" t="str">
        <f>TillageOperations!$B$9&amp;" (Labor)"</f>
        <v>Drag (Labor)</v>
      </c>
      <c r="C2513" s="464" t="s">
        <v>157</v>
      </c>
      <c r="D2513" s="166">
        <f>PubMachineryTables!$AL$51</f>
        <v>2.1222450980392158</v>
      </c>
      <c r="E2513" s="166">
        <f>TillageOperations!$R$9*$C$2457</f>
        <v>0</v>
      </c>
      <c r="F2513" s="166">
        <f t="shared" si="208"/>
        <v>0</v>
      </c>
      <c r="G2513" s="163" t="e">
        <f t="shared" si="206"/>
        <v>#DIV/0!</v>
      </c>
    </row>
    <row r="2514" spans="2:7">
      <c r="B2514" s="463" t="str">
        <f>TillageOperations!$B$10&amp;" (Repairs, maint., fuel &amp; lube)"</f>
        <v>Chisel (Repairs, maint., fuel &amp; lube)</v>
      </c>
      <c r="C2514" s="464" t="s">
        <v>157</v>
      </c>
      <c r="D2514" s="166">
        <f>PubMachineryTables!$AN$52+PubMachineryTables!$AM$52</f>
        <v>8.5884820270019766</v>
      </c>
      <c r="E2514" s="166">
        <f>TillageOperations!$R$10*$C$2457</f>
        <v>0</v>
      </c>
      <c r="F2514" s="166">
        <f t="shared" si="208"/>
        <v>0</v>
      </c>
      <c r="G2514" s="163" t="e">
        <f t="shared" si="206"/>
        <v>#DIV/0!</v>
      </c>
    </row>
    <row r="2515" spans="2:7">
      <c r="B2515" s="463" t="str">
        <f>TillageOperations!$B$10&amp;" (Labor)"</f>
        <v>Chisel (Labor)</v>
      </c>
      <c r="C2515" s="464" t="s">
        <v>157</v>
      </c>
      <c r="D2515" s="166">
        <f>PubMachineryTables!$AL$52</f>
        <v>3.9792095588235301</v>
      </c>
      <c r="E2515" s="166">
        <f>TillageOperations!$R$10*$C$2457</f>
        <v>0</v>
      </c>
      <c r="F2515" s="166">
        <f t="shared" si="208"/>
        <v>0</v>
      </c>
      <c r="G2515" s="163" t="e">
        <f t="shared" si="206"/>
        <v>#DIV/0!</v>
      </c>
    </row>
    <row r="2516" spans="2:7">
      <c r="B2516" s="463" t="str">
        <f>TillageOperations!$B$11&amp;" (Repairs, maint., fuel &amp; lube)"</f>
        <v>Moldboard Plow (Repairs, maint., fuel &amp; lube)</v>
      </c>
      <c r="C2516" s="464" t="s">
        <v>157</v>
      </c>
      <c r="D2516" s="166">
        <f>PubMachineryTables!$AN$53+PubMachineryTables!$AM$53</f>
        <v>14.457142857142856</v>
      </c>
      <c r="E2516" s="166">
        <f>TillageOperations!$R$11*$C$2457</f>
        <v>0</v>
      </c>
      <c r="F2516" s="166">
        <f t="shared" si="208"/>
        <v>0</v>
      </c>
      <c r="G2516" s="163" t="e">
        <f t="shared" si="206"/>
        <v>#DIV/0!</v>
      </c>
    </row>
    <row r="2517" spans="2:7">
      <c r="B2517" s="463" t="str">
        <f>TillageOperations!$B$11&amp;" (Labor)"</f>
        <v>Moldboard Plow (Labor)</v>
      </c>
      <c r="C2517" s="464" t="s">
        <v>157</v>
      </c>
      <c r="D2517" s="166">
        <f>PubMachineryTables!$AL$53</f>
        <v>7.7310357142857153</v>
      </c>
      <c r="E2517" s="166">
        <f>TillageOperations!$R$11*$C$2457</f>
        <v>0</v>
      </c>
      <c r="F2517" s="166">
        <f t="shared" si="208"/>
        <v>0</v>
      </c>
      <c r="G2517" s="163" t="e">
        <f t="shared" si="206"/>
        <v>#DIV/0!</v>
      </c>
    </row>
    <row r="2518" spans="2:7">
      <c r="B2518" s="463" t="str">
        <f>TillageOperations!$B$12&amp;" (Repairs, maint., fuel &amp; lube)"</f>
        <v>Cultivator (Repairs, maint., fuel &amp; lube)</v>
      </c>
      <c r="C2518" s="464" t="s">
        <v>157</v>
      </c>
      <c r="D2518" s="166">
        <f>PubMachineryTables!$AN$54+PubMachineryTables!$AM$54</f>
        <v>5.7828571428571429</v>
      </c>
      <c r="E2518" s="166">
        <f>TillageOperations!$R$12*$C$2457</f>
        <v>0</v>
      </c>
      <c r="F2518" s="166">
        <f t="shared" si="208"/>
        <v>0</v>
      </c>
      <c r="G2518" s="163" t="e">
        <f t="shared" si="206"/>
        <v>#DIV/0!</v>
      </c>
    </row>
    <row r="2519" spans="2:7">
      <c r="B2519" s="463" t="str">
        <f>TillageOperations!$B$12&amp;" (Labor)"</f>
        <v>Cultivator (Labor)</v>
      </c>
      <c r="C2519" s="464" t="s">
        <v>157</v>
      </c>
      <c r="D2519" s="166">
        <f>PubMachineryTables!$AL$54</f>
        <v>3.0924142857142862</v>
      </c>
      <c r="E2519" s="166">
        <f>TillageOperations!$R$12*$C$2457</f>
        <v>0</v>
      </c>
      <c r="F2519" s="166">
        <f t="shared" si="208"/>
        <v>0</v>
      </c>
      <c r="G2519" s="163" t="e">
        <f t="shared" si="206"/>
        <v>#DIV/0!</v>
      </c>
    </row>
    <row r="2520" spans="2:7">
      <c r="B2520" s="463" t="str">
        <f>TillageOperations!$B$13&amp;" (Repairs, maint., fuel &amp; lube)"</f>
        <v>Landplane (Repairs, maint., fuel &amp; lube)</v>
      </c>
      <c r="C2520" s="464" t="s">
        <v>157</v>
      </c>
      <c r="D2520" s="166">
        <f>PubMachineryTables!$AN$55+PubMachineryTables!$AM$55</f>
        <v>8.0445253976590632</v>
      </c>
      <c r="E2520" s="166">
        <f>TillageOperations!$R$13*$C$2457</f>
        <v>0</v>
      </c>
      <c r="F2520" s="166">
        <f t="shared" si="208"/>
        <v>0</v>
      </c>
      <c r="G2520" s="163" t="e">
        <f t="shared" si="206"/>
        <v>#DIV/0!</v>
      </c>
    </row>
    <row r="2521" spans="2:7">
      <c r="B2521" s="463" t="str">
        <f>TillageOperations!$B$13&amp;" (Labor)"</f>
        <v>Landplane (Labor)</v>
      </c>
      <c r="C2521" s="464" t="s">
        <v>157</v>
      </c>
      <c r="D2521" s="166">
        <f>PubMachineryTables!$AL$55</f>
        <v>3.8655178571428577</v>
      </c>
      <c r="E2521" s="166">
        <f>TillageOperations!$R$13*$C$2457</f>
        <v>0</v>
      </c>
      <c r="F2521" s="166">
        <f t="shared" si="208"/>
        <v>0</v>
      </c>
      <c r="G2521" s="163" t="e">
        <f t="shared" si="206"/>
        <v>#DIV/0!</v>
      </c>
    </row>
    <row r="2522" spans="2:7">
      <c r="B2522" s="463" t="str">
        <f>TillageOperations!$B$14&amp;" (Repairs, maint., fuel &amp; lube)"</f>
        <v>Float (Repairs, maint., fuel &amp; lube)</v>
      </c>
      <c r="C2522" s="464" t="s">
        <v>157</v>
      </c>
      <c r="D2522" s="166">
        <f>PubMachineryTables!$AN$56+PubMachineryTables!$AM$56</f>
        <v>5.1632653061224492</v>
      </c>
      <c r="E2522" s="166">
        <f>TillageOperations!$R$14*$C$2457</f>
        <v>0</v>
      </c>
      <c r="F2522" s="166">
        <f t="shared" si="208"/>
        <v>0</v>
      </c>
      <c r="G2522" s="163" t="e">
        <f t="shared" si="206"/>
        <v>#DIV/0!</v>
      </c>
    </row>
    <row r="2523" spans="2:7">
      <c r="B2523" s="463" t="str">
        <f>TillageOperations!$B$14&amp;" (Labor)"</f>
        <v>Float (Labor)</v>
      </c>
      <c r="C2523" s="464" t="s">
        <v>157</v>
      </c>
      <c r="D2523" s="166">
        <f>PubMachineryTables!$AL$56</f>
        <v>4.4177346938775521</v>
      </c>
      <c r="E2523" s="166">
        <f>TillageOperations!$R$14*$C$2457</f>
        <v>0</v>
      </c>
      <c r="F2523" s="166">
        <f t="shared" si="208"/>
        <v>0</v>
      </c>
      <c r="G2523" s="163" t="e">
        <f t="shared" si="206"/>
        <v>#DIV/0!</v>
      </c>
    </row>
    <row r="2524" spans="2:7">
      <c r="B2524" s="463" t="str">
        <f>TillageOperations!$B$15&amp;" (Repairs, maint., fuel &amp; lube)"</f>
        <v>Lister (Repairs, maint., fuel &amp; lube)</v>
      </c>
      <c r="C2524" s="464" t="s">
        <v>157</v>
      </c>
      <c r="D2524" s="166">
        <f>PubMachineryTables!$AN$57+PubMachineryTables!$AM$57</f>
        <v>11.879642797844287</v>
      </c>
      <c r="E2524" s="166">
        <f>TillageOperations!$R$15*$C$2457</f>
        <v>0</v>
      </c>
      <c r="F2524" s="166">
        <f t="shared" si="208"/>
        <v>0</v>
      </c>
      <c r="G2524" s="163" t="e">
        <f t="shared" si="206"/>
        <v>#DIV/0!</v>
      </c>
    </row>
    <row r="2525" spans="2:7">
      <c r="B2525" s="463" t="str">
        <f>TillageOperations!$B$15&amp;" (Labor)"</f>
        <v>Lister (Labor)</v>
      </c>
      <c r="C2525" s="464" t="s">
        <v>157</v>
      </c>
      <c r="D2525" s="166">
        <f>PubMachineryTables!$AL$57</f>
        <v>6.1848285714285725</v>
      </c>
      <c r="E2525" s="166">
        <f>TillageOperations!$R$15*$C$2457</f>
        <v>0</v>
      </c>
      <c r="F2525" s="166">
        <f t="shared" si="208"/>
        <v>0</v>
      </c>
      <c r="G2525" s="163" t="e">
        <f t="shared" si="206"/>
        <v>#DIV/0!</v>
      </c>
    </row>
    <row r="2526" spans="2:7">
      <c r="B2526" s="463" t="str">
        <f>TillageOperations!$B$16&amp;" (Repairs, maint., fuel &amp; lube)"</f>
        <v>Bed Shaper (Repairs, maint., fuel &amp; lube)</v>
      </c>
      <c r="C2526" s="464" t="s">
        <v>157</v>
      </c>
      <c r="D2526" s="166">
        <f>PubMachineryTables!$AN$58+PubMachineryTables!$AM$58</f>
        <v>5.9574634784635725</v>
      </c>
      <c r="E2526" s="166">
        <f>TillageOperations!$R$16*$C$2457</f>
        <v>0</v>
      </c>
      <c r="F2526" s="166">
        <f t="shared" si="208"/>
        <v>0</v>
      </c>
      <c r="G2526" s="163" t="e">
        <f t="shared" si="206"/>
        <v>#DIV/0!</v>
      </c>
    </row>
    <row r="2527" spans="2:7">
      <c r="B2527" s="463" t="str">
        <f>TillageOperations!$B$16&amp;" (Labor)"</f>
        <v>Bed Shaper (Labor)</v>
      </c>
      <c r="C2527" s="464" t="s">
        <v>157</v>
      </c>
      <c r="D2527" s="166">
        <f>PubMachineryTables!$AL$58</f>
        <v>3.0924142857142862</v>
      </c>
      <c r="E2527" s="166">
        <f>TillageOperations!$R$16*$C$2457</f>
        <v>0</v>
      </c>
      <c r="F2527" s="166">
        <f t="shared" si="208"/>
        <v>0</v>
      </c>
      <c r="G2527" s="163" t="e">
        <f t="shared" ref="G2527:G2590" si="209">F2527/C$2457</f>
        <v>#DIV/0!</v>
      </c>
    </row>
    <row r="2528" spans="2:7">
      <c r="B2528" s="463" t="str">
        <f>TillageOperations!$B$19&amp;" (Repairs, maint., fuel &amp; lube)"</f>
        <v>Row Planter (Repairs, maint., fuel &amp; lube)</v>
      </c>
      <c r="C2528" s="464" t="s">
        <v>157</v>
      </c>
      <c r="D2528" s="166">
        <f>PubMachineryTables!$AN$60+PubMachineryTables!$AM$60</f>
        <v>8.8400048303091552</v>
      </c>
      <c r="E2528" s="166">
        <f>TillageOperations!$R$19*$C$2457</f>
        <v>0</v>
      </c>
      <c r="F2528" s="166">
        <f t="shared" si="208"/>
        <v>0</v>
      </c>
      <c r="G2528" s="163" t="e">
        <f t="shared" si="209"/>
        <v>#DIV/0!</v>
      </c>
    </row>
    <row r="2529" spans="2:7">
      <c r="B2529" s="463" t="str">
        <f>TillageOperations!$B$19&amp;" (Labor)"</f>
        <v>Row Planter (Labor)</v>
      </c>
      <c r="C2529" s="464" t="s">
        <v>157</v>
      </c>
      <c r="D2529" s="166">
        <f>PubMachineryTables!$AL$60</f>
        <v>4.5097708333333344</v>
      </c>
      <c r="E2529" s="166">
        <f>TillageOperations!$R$19*$C$2457</f>
        <v>0</v>
      </c>
      <c r="F2529" s="166">
        <f t="shared" si="208"/>
        <v>0</v>
      </c>
      <c r="G2529" s="163" t="e">
        <f t="shared" si="209"/>
        <v>#DIV/0!</v>
      </c>
    </row>
    <row r="2530" spans="2:7">
      <c r="B2530" s="463" t="str">
        <f>TillageOperations!$B$20&amp;" (Repairs, maint., fuel &amp; lube)"</f>
        <v>Row Cultivator (Repairs, maint., fuel &amp; lube)</v>
      </c>
      <c r="C2530" s="464" t="s">
        <v>157</v>
      </c>
      <c r="D2530" s="166">
        <f>PubMachineryTables!$AN$61+PubMachineryTables!$AM$61</f>
        <v>3.5823141032725374</v>
      </c>
      <c r="E2530" s="166">
        <f>TillageOperations!$R$20*$C$2457</f>
        <v>0</v>
      </c>
      <c r="F2530" s="166">
        <f>D2530*E2530</f>
        <v>0</v>
      </c>
      <c r="G2530" s="163" t="e">
        <f t="shared" si="209"/>
        <v>#DIV/0!</v>
      </c>
    </row>
    <row r="2531" spans="2:7">
      <c r="B2531" s="463" t="str">
        <f>TillageOperations!$B$20&amp;" (Labor)"</f>
        <v>Row Cultivator (Labor)</v>
      </c>
      <c r="C2531" s="464" t="s">
        <v>157</v>
      </c>
      <c r="D2531" s="166">
        <f>PubMachineryTables!$AL$61</f>
        <v>3.0065138888888892</v>
      </c>
      <c r="E2531" s="166">
        <f>TillageOperations!$R$20*$C$2457</f>
        <v>0</v>
      </c>
      <c r="F2531" s="166">
        <f>D2531*E2531</f>
        <v>0</v>
      </c>
      <c r="G2531" s="163" t="e">
        <f t="shared" si="209"/>
        <v>#DIV/0!</v>
      </c>
    </row>
    <row r="2532" spans="2:7">
      <c r="B2532" s="463" t="str">
        <f>TillageOperations!$B$21&amp;" (Repairs, maint., fuel &amp; lube)"</f>
        <v>Drill (Repairs, maint., fuel &amp; lube)</v>
      </c>
      <c r="C2532" s="464" t="s">
        <v>157</v>
      </c>
      <c r="D2532" s="166">
        <f>PubMachineryTables!$AN$62+PubMachineryTables!$AM$62</f>
        <v>7.6986395922631168</v>
      </c>
      <c r="E2532" s="166">
        <f>TillageOperations!$R$21*$C$2457</f>
        <v>0</v>
      </c>
      <c r="F2532" s="166">
        <f>D2532*E2532</f>
        <v>0</v>
      </c>
      <c r="G2532" s="163" t="e">
        <f t="shared" si="209"/>
        <v>#DIV/0!</v>
      </c>
    </row>
    <row r="2533" spans="2:7">
      <c r="B2533" s="463" t="str">
        <f>TillageOperations!$B$21&amp;" (Labor)"</f>
        <v>Drill (Labor)</v>
      </c>
      <c r="C2533" s="464" t="s">
        <v>157</v>
      </c>
      <c r="D2533" s="166">
        <f>PubMachineryTables!$AL$62</f>
        <v>5.4117250000000006</v>
      </c>
      <c r="E2533" s="166">
        <f>TillageOperations!$R$21*$C$2457</f>
        <v>0</v>
      </c>
      <c r="F2533" s="166">
        <f>D2533*E2533</f>
        <v>0</v>
      </c>
      <c r="G2533" s="163" t="e">
        <f t="shared" si="209"/>
        <v>#DIV/0!</v>
      </c>
    </row>
    <row r="2534" spans="2:7">
      <c r="B2534" s="75" t="str">
        <f>TillageOperations!$B$27&amp;" (Repairs, maint., fuel &amp; lube)"</f>
        <v>Cotton Picker (Repairs, maint., fuel &amp; lube)</v>
      </c>
      <c r="C2534" s="464" t="s">
        <v>157</v>
      </c>
      <c r="D2534" s="166">
        <f>PubMachineryTables!$AN$67+PubMachineryTables!$AM$67</f>
        <v>20.587703435804702</v>
      </c>
      <c r="E2534" s="166">
        <f>TillageOperations!$R$27*$C$2457</f>
        <v>0</v>
      </c>
      <c r="F2534" s="166">
        <f t="shared" ref="F2534:F2541" si="210">D2534*E2534</f>
        <v>0</v>
      </c>
      <c r="G2534" s="163" t="e">
        <f t="shared" si="209"/>
        <v>#DIV/0!</v>
      </c>
    </row>
    <row r="2535" spans="2:7">
      <c r="B2535" t="str">
        <f>TillageOperations!$B$27&amp;" (Labor)"</f>
        <v>Cotton Picker (Labor)</v>
      </c>
      <c r="C2535" s="464" t="s">
        <v>157</v>
      </c>
      <c r="D2535" s="166">
        <f>PubMachineryTables!$AL$67</f>
        <v>7.3395908679927677</v>
      </c>
      <c r="E2535" s="166">
        <f>TillageOperations!$R$27*$C$2457</f>
        <v>0</v>
      </c>
      <c r="F2535" s="166">
        <f t="shared" si="210"/>
        <v>0</v>
      </c>
      <c r="G2535" s="163" t="e">
        <f t="shared" si="209"/>
        <v>#DIV/0!</v>
      </c>
    </row>
    <row r="2536" spans="2:7">
      <c r="B2536" s="75" t="str">
        <f>TillageOperations!$B$28&amp;" (Repairs, maint., fuel &amp; lube)"</f>
        <v>Module Unit (Repairs, maint., fuel &amp; lube)</v>
      </c>
      <c r="C2536" s="464" t="s">
        <v>157</v>
      </c>
      <c r="D2536" s="166">
        <f>PubMachineryTables!$AN$68+PubMachineryTables!$AM$68</f>
        <v>7.0644080416976918</v>
      </c>
      <c r="E2536" s="166">
        <f>TillageOperations!$R$28*$C$2457</f>
        <v>0</v>
      </c>
      <c r="F2536" s="166">
        <f t="shared" si="210"/>
        <v>0</v>
      </c>
      <c r="G2536" s="163" t="e">
        <f t="shared" si="209"/>
        <v>#DIV/0!</v>
      </c>
    </row>
    <row r="2537" spans="2:7">
      <c r="B2537" t="str">
        <f>TillageOperations!$B$28&amp;" (Labor)"</f>
        <v>Module Unit (Labor)</v>
      </c>
      <c r="C2537" s="464" t="s">
        <v>157</v>
      </c>
      <c r="D2537" s="166">
        <f>PubMachineryTables!$AL$68</f>
        <v>6.0443689501116911</v>
      </c>
      <c r="E2537" s="166">
        <f>TillageOperations!$R$28*$C$2457</f>
        <v>0</v>
      </c>
      <c r="F2537" s="166">
        <f t="shared" si="210"/>
        <v>0</v>
      </c>
      <c r="G2537" s="163" t="e">
        <f t="shared" si="209"/>
        <v>#DIV/0!</v>
      </c>
    </row>
    <row r="2538" spans="2:7">
      <c r="B2538" t="str">
        <f>TillageOperations!$B$29&amp;" (Repairs, maint., fuel &amp; lube)"</f>
        <v>Haul Cotton (Repairs, maint., fuel &amp; lube)</v>
      </c>
      <c r="C2538" s="464" t="s">
        <v>157</v>
      </c>
      <c r="D2538" s="166">
        <f>PubMachineryTables!$AN$69+PubMachineryTables!$AM$69</f>
        <v>7.0644080416976918</v>
      </c>
      <c r="E2538" s="166">
        <f>TillageOperations!$R$29*$C$2457</f>
        <v>0</v>
      </c>
      <c r="F2538" s="166">
        <f t="shared" si="210"/>
        <v>0</v>
      </c>
      <c r="G2538" s="163" t="e">
        <f t="shared" si="209"/>
        <v>#DIV/0!</v>
      </c>
    </row>
    <row r="2539" spans="2:7">
      <c r="B2539" t="str">
        <f>TillageOperations!$B$29&amp;" (Labor)"</f>
        <v>Haul Cotton (Labor)</v>
      </c>
      <c r="C2539" s="464" t="s">
        <v>157</v>
      </c>
      <c r="D2539" s="166">
        <f>PubMachineryTables!$AL$69</f>
        <v>6.0443689501116911</v>
      </c>
      <c r="E2539" s="166">
        <f>TillageOperations!$R$29*$C$2457</f>
        <v>0</v>
      </c>
      <c r="F2539" s="166">
        <f t="shared" si="210"/>
        <v>0</v>
      </c>
      <c r="G2539" s="163" t="e">
        <f t="shared" si="209"/>
        <v>#DIV/0!</v>
      </c>
    </row>
    <row r="2540" spans="2:7">
      <c r="B2540" t="str">
        <f>TillageOperations!$B$17&amp;" (Repairs, maint., fuel &amp; lube)"</f>
        <v>Cotton Shredder/Root Puller (Repairs, maint., fuel &amp; lube)</v>
      </c>
      <c r="C2540" s="464" t="s">
        <v>157</v>
      </c>
      <c r="D2540" s="166">
        <f>PubMachineryTables!$AN$59+PubMachineryTables!$AM$59</f>
        <v>3.4657534246575339</v>
      </c>
      <c r="E2540" s="166">
        <f>TillageOperations!$R$17*$C$2457</f>
        <v>0</v>
      </c>
      <c r="F2540" s="166">
        <f t="shared" si="210"/>
        <v>0</v>
      </c>
      <c r="G2540" s="163" t="e">
        <f t="shared" si="209"/>
        <v>#DIV/0!</v>
      </c>
    </row>
    <row r="2541" spans="2:7">
      <c r="B2541" t="str">
        <f>TillageOperations!$B$17&amp;" (Labor)"</f>
        <v>Cotton Shredder/Root Puller (Labor)</v>
      </c>
      <c r="C2541" s="464" t="s">
        <v>157</v>
      </c>
      <c r="D2541" s="166">
        <f>PubMachineryTables!$AL$59</f>
        <v>2.965328767123288</v>
      </c>
      <c r="E2541" s="166">
        <f>TillageOperations!$R$17*$C$2457</f>
        <v>0</v>
      </c>
      <c r="F2541" s="166">
        <f t="shared" si="210"/>
        <v>0</v>
      </c>
      <c r="G2541" s="163" t="e">
        <f t="shared" si="209"/>
        <v>#DIV/0!</v>
      </c>
    </row>
    <row r="2542" spans="2:7">
      <c r="B2542" t="str">
        <f>TillageOperations!$B$30&amp;" (Repairs, maint., fuel &amp; lube)"</f>
        <v>Combine (Repairs, maint., fuel &amp; lube)</v>
      </c>
      <c r="C2542" s="464" t="s">
        <v>157</v>
      </c>
      <c r="D2542" s="166">
        <f>PubMachineryTables!$AN$70+PubMachineryTables!$AM$70</f>
        <v>4.8939818019913757</v>
      </c>
      <c r="E2542" s="166">
        <f>TillageOperations!$R$30*$C$2457</f>
        <v>0</v>
      </c>
      <c r="F2542" s="166">
        <f>D2542*E2542</f>
        <v>0</v>
      </c>
      <c r="G2542" s="163" t="e">
        <f t="shared" si="209"/>
        <v>#DIV/0!</v>
      </c>
    </row>
    <row r="2543" spans="2:7">
      <c r="B2543" t="str">
        <f>TillageOperations!$B$30&amp;" (Labor)"</f>
        <v>Combine (Labor)</v>
      </c>
      <c r="C2543" s="464" t="s">
        <v>157</v>
      </c>
      <c r="D2543" s="166">
        <f>PubMachineryTables!$AL$70</f>
        <v>1.591683823529412</v>
      </c>
      <c r="E2543" s="166">
        <f>TillageOperations!$R$30*$C$2457</f>
        <v>0</v>
      </c>
      <c r="F2543" s="166">
        <f>D2543*E2543</f>
        <v>0</v>
      </c>
      <c r="G2543" s="163" t="e">
        <f t="shared" si="209"/>
        <v>#DIV/0!</v>
      </c>
    </row>
    <row r="2544" spans="2:7">
      <c r="B2544" t="str">
        <f>TillageOperations!$B$31&amp;" (Repairs, maint., fuel &amp; lube)"</f>
        <v>Grain Cart (Repairs, maint., fuel &amp; lube)</v>
      </c>
      <c r="C2544" s="464" t="s">
        <v>157</v>
      </c>
      <c r="D2544" s="166">
        <f>PubMachineryTables!$AN$71+PubMachineryTables!$AM$71</f>
        <v>3.2163097667975675</v>
      </c>
      <c r="E2544" s="166">
        <f>TillageOperations!$R$31*$C$2457</f>
        <v>0</v>
      </c>
      <c r="F2544" s="166">
        <f>D2544*E2544</f>
        <v>0</v>
      </c>
      <c r="G2544" s="163" t="e">
        <f t="shared" si="209"/>
        <v>#DIV/0!</v>
      </c>
    </row>
    <row r="2545" spans="2:7">
      <c r="B2545" t="str">
        <f>TillageOperations!$B$31&amp;" (Labor)"</f>
        <v>Grain Cart (Labor)</v>
      </c>
      <c r="C2545" s="464" t="s">
        <v>157</v>
      </c>
      <c r="D2545" s="166">
        <f>PubMachineryTables!$AL$71</f>
        <v>1.591683823529412</v>
      </c>
      <c r="E2545" s="166">
        <f>TillageOperations!$R$31*$C$2457</f>
        <v>0</v>
      </c>
      <c r="F2545" s="166">
        <f>D2545*E2545</f>
        <v>0</v>
      </c>
      <c r="G2545" s="163" t="e">
        <f t="shared" si="209"/>
        <v>#DIV/0!</v>
      </c>
    </row>
    <row r="2546" spans="2:7">
      <c r="B2546" t="str">
        <f>TillageOperations!$B$32&amp;" (Repairs, maint., fuel &amp; lube)"</f>
        <v>Swather (Repairs, maint., fuel &amp; lube)</v>
      </c>
      <c r="C2546" s="464" t="s">
        <v>157</v>
      </c>
      <c r="D2546" s="166">
        <f>PubMachineryTables!$AN$72+PubMachineryTables!$AM$72</f>
        <v>2.0239999999999996</v>
      </c>
      <c r="E2546" s="166">
        <f>TillageOperations!$R$32*$C$2457</f>
        <v>0</v>
      </c>
      <c r="F2546" s="166">
        <f t="shared" ref="F2546:F2562" si="211">D2546*E2546</f>
        <v>0</v>
      </c>
      <c r="G2546" s="163" t="e">
        <f t="shared" si="209"/>
        <v>#DIV/0!</v>
      </c>
    </row>
    <row r="2547" spans="2:7">
      <c r="B2547" t="str">
        <f>TillageOperations!$B$32&amp;" (Labor)"</f>
        <v>Swather (Labor)</v>
      </c>
      <c r="C2547" s="464" t="s">
        <v>157</v>
      </c>
      <c r="D2547" s="166">
        <f>PubMachineryTables!$AL$72</f>
        <v>2.1646900000000002</v>
      </c>
      <c r="E2547" s="166">
        <f>TillageOperations!$R$32*$C$2457</f>
        <v>0</v>
      </c>
      <c r="F2547" s="166">
        <f t="shared" si="211"/>
        <v>0</v>
      </c>
      <c r="G2547" s="163" t="e">
        <f t="shared" si="209"/>
        <v>#DIV/0!</v>
      </c>
    </row>
    <row r="2548" spans="2:7">
      <c r="B2548" t="str">
        <f>TillageOperations!$B$33&amp;" (Repairs, maint., fuel &amp; lube)"</f>
        <v>Baler (Repairs, maint., fuel &amp; lube)</v>
      </c>
      <c r="C2548" s="464" t="s">
        <v>157</v>
      </c>
      <c r="D2548" s="166">
        <f>PubMachineryTables!$AN$73+PubMachineryTables!$AM$73</f>
        <v>3.953125</v>
      </c>
      <c r="E2548" s="166">
        <f>TillageOperations!$R$33*$C$2457</f>
        <v>0</v>
      </c>
      <c r="F2548" s="166">
        <f t="shared" si="211"/>
        <v>0</v>
      </c>
      <c r="G2548" s="163" t="e">
        <f t="shared" si="209"/>
        <v>#DIV/0!</v>
      </c>
    </row>
    <row r="2549" spans="2:7">
      <c r="B2549" t="str">
        <f>TillageOperations!$B$33&amp;" (Labor)"</f>
        <v>Baler (Labor)</v>
      </c>
      <c r="C2549" s="464" t="s">
        <v>157</v>
      </c>
      <c r="D2549" s="166">
        <f>PubMachineryTables!$AL$73</f>
        <v>3.3823281250000004</v>
      </c>
      <c r="E2549" s="166">
        <f>TillageOperations!$R$33*$C$2457</f>
        <v>0</v>
      </c>
      <c r="F2549" s="166">
        <f t="shared" si="211"/>
        <v>0</v>
      </c>
      <c r="G2549" s="163" t="e">
        <f t="shared" si="209"/>
        <v>#DIV/0!</v>
      </c>
    </row>
    <row r="2550" spans="2:7">
      <c r="B2550" t="str">
        <f>TillageOperations!$B$34&amp;" (Repairs, maint., fuel &amp; lube)"</f>
        <v>Swather (Repairs, maint., fuel &amp; lube)</v>
      </c>
      <c r="C2550" s="464" t="s">
        <v>157</v>
      </c>
      <c r="D2550" s="166">
        <f>PubMachineryTables!$AN$74+PubMachineryTables!$AM$74</f>
        <v>19.46153846153846</v>
      </c>
      <c r="E2550" s="166">
        <f>TillageOperations!$R$34*$C$2457</f>
        <v>0</v>
      </c>
      <c r="F2550" s="166">
        <f t="shared" si="211"/>
        <v>0</v>
      </c>
      <c r="G2550" s="163" t="e">
        <f t="shared" si="209"/>
        <v>#DIV/0!</v>
      </c>
    </row>
    <row r="2551" spans="2:7">
      <c r="B2551" t="str">
        <f>TillageOperations!$B$34&amp;" (Labor)"</f>
        <v>Swather (Labor)</v>
      </c>
      <c r="C2551" s="464" t="s">
        <v>157</v>
      </c>
      <c r="D2551" s="166">
        <f>PubMachineryTables!$AL$74</f>
        <v>20.814326923076923</v>
      </c>
      <c r="E2551" s="166">
        <f>TillageOperations!$R$34*$C$2457</f>
        <v>0</v>
      </c>
      <c r="F2551" s="166">
        <f t="shared" si="211"/>
        <v>0</v>
      </c>
      <c r="G2551" s="163" t="e">
        <f t="shared" si="209"/>
        <v>#DIV/0!</v>
      </c>
    </row>
    <row r="2552" spans="2:7">
      <c r="B2552" t="str">
        <f>TillageOperations!$B$35&amp;" (Repairs, maint., fuel &amp; lube)"</f>
        <v>Baler (Repairs, maint., fuel &amp; lube)</v>
      </c>
      <c r="C2552" s="464" t="s">
        <v>157</v>
      </c>
      <c r="D2552" s="166">
        <f>PubMachineryTables!$AN$75+PubMachineryTables!$AM$75</f>
        <v>24.326923076923073</v>
      </c>
      <c r="E2552" s="166">
        <f>TillageOperations!$R$35*$C$2457</f>
        <v>0</v>
      </c>
      <c r="F2552" s="166">
        <f t="shared" si="211"/>
        <v>0</v>
      </c>
      <c r="G2552" s="163" t="e">
        <f t="shared" si="209"/>
        <v>#DIV/0!</v>
      </c>
    </row>
    <row r="2553" spans="2:7">
      <c r="B2553" t="str">
        <f>TillageOperations!$B$35&amp;" (Labor)"</f>
        <v>Baler (Labor)</v>
      </c>
      <c r="C2553" s="464" t="s">
        <v>157</v>
      </c>
      <c r="D2553" s="166">
        <f>PubMachineryTables!$AL$75</f>
        <v>20.814326923076923</v>
      </c>
      <c r="E2553" s="166">
        <f>TillageOperations!$R$35*$C$2457</f>
        <v>0</v>
      </c>
      <c r="F2553" s="166">
        <f t="shared" si="211"/>
        <v>0</v>
      </c>
      <c r="G2553" s="163" t="e">
        <f t="shared" si="209"/>
        <v>#DIV/0!</v>
      </c>
    </row>
    <row r="2554" spans="2:7">
      <c r="B2554" t="str">
        <f>'Inputs&amp;PricesbyCrop'!$B$31</f>
        <v xml:space="preserve">   - Baling Twine</v>
      </c>
      <c r="C2554" s="137" t="str">
        <f>'Inputs&amp;PricesbyCrop'!$C$31</f>
        <v>acre</v>
      </c>
      <c r="D2554" s="166">
        <f>'Inputs&amp;PricesbyCrop'!$S$31</f>
        <v>0</v>
      </c>
      <c r="E2554" s="166">
        <f>$C$2457</f>
        <v>0</v>
      </c>
      <c r="F2554" s="166">
        <f t="shared" si="211"/>
        <v>0</v>
      </c>
      <c r="G2554" s="163" t="e">
        <f t="shared" si="209"/>
        <v>#DIV/0!</v>
      </c>
    </row>
    <row r="2555" spans="2:7">
      <c r="B2555" t="str">
        <f>TillageOperations!$B$36&amp;" (Repairs, maint., fuel &amp; lube)"</f>
        <v>Bale Wagon (Repairs, maint., fuel &amp; lube)</v>
      </c>
      <c r="C2555" s="464" t="s">
        <v>157</v>
      </c>
      <c r="D2555" s="166">
        <f>PubMachineryTables!$AN$76+PubMachineryTables!$AM$76</f>
        <v>3.1624999999999996</v>
      </c>
      <c r="E2555" s="166">
        <f>TillageOperations!$R$36*$C$2457</f>
        <v>0</v>
      </c>
      <c r="F2555" s="166">
        <f t="shared" si="211"/>
        <v>0</v>
      </c>
      <c r="G2555" s="163" t="e">
        <f t="shared" si="209"/>
        <v>#DIV/0!</v>
      </c>
    </row>
    <row r="2556" spans="2:7">
      <c r="B2556" t="str">
        <f>TillageOperations!$B$36&amp;" (Labor)"</f>
        <v>Bale Wagon (Labor)</v>
      </c>
      <c r="C2556" s="464" t="s">
        <v>157</v>
      </c>
      <c r="D2556" s="166">
        <f>PubMachineryTables!$AL$76</f>
        <v>3.3823281250000004</v>
      </c>
      <c r="E2556" s="166">
        <f>TillageOperations!$R$36*$C$2457</f>
        <v>0</v>
      </c>
      <c r="F2556" s="166">
        <f t="shared" si="211"/>
        <v>0</v>
      </c>
      <c r="G2556" s="163" t="e">
        <f t="shared" si="209"/>
        <v>#DIV/0!</v>
      </c>
    </row>
    <row r="2557" spans="2:7">
      <c r="B2557" t="str">
        <f>TillageOperations!$B$23&amp;" (Repairs, maint., fuel &amp; lube)"</f>
        <v>Fertilizer Spreader (Repairs, maint., fuel &amp; lube)</v>
      </c>
      <c r="C2557" s="464" t="s">
        <v>157</v>
      </c>
      <c r="D2557" s="166">
        <f>PubMachineryTables!$AM$64+PubMachineryTables!$AN$64</f>
        <v>2.6573732562743069</v>
      </c>
      <c r="E2557" s="166">
        <f>TillageOperations!$R$23*$C$2457</f>
        <v>0</v>
      </c>
      <c r="F2557" s="168">
        <f t="shared" si="211"/>
        <v>0</v>
      </c>
      <c r="G2557" s="163" t="e">
        <f t="shared" si="209"/>
        <v>#DIV/0!</v>
      </c>
    </row>
    <row r="2558" spans="2:7">
      <c r="B2558" t="str">
        <f>TillageOperations!$B$23&amp;" (Labor)"</f>
        <v>Fertilizer Spreader (Labor)</v>
      </c>
      <c r="C2558" s="464" t="s">
        <v>157</v>
      </c>
      <c r="D2558" s="166">
        <f>PubMachineryTables!$AL$64</f>
        <v>1.879071180555556</v>
      </c>
      <c r="E2558" s="166">
        <f>TillageOperations!$R$23*$C$2457</f>
        <v>0</v>
      </c>
      <c r="F2558" s="168">
        <f t="shared" si="211"/>
        <v>0</v>
      </c>
      <c r="G2558" s="163" t="e">
        <f t="shared" si="209"/>
        <v>#DIV/0!</v>
      </c>
    </row>
    <row r="2559" spans="2:7">
      <c r="B2559" t="str">
        <f>TillageOperations!$B$24&amp;" (Repairs, maint., fuel &amp; lube)"</f>
        <v>Fertilizer Injection System (Repairs, maint., fuel &amp; lube)</v>
      </c>
      <c r="C2559" s="464" t="s">
        <v>157</v>
      </c>
      <c r="D2559" s="166">
        <f>PubMachineryTables!$AM$65+PubMachineryTables!$AN$65</f>
        <v>8.4333333333333336</v>
      </c>
      <c r="E2559" s="166">
        <f>TillageOperations!$R$24*$C$2457</f>
        <v>0</v>
      </c>
      <c r="F2559" s="168">
        <f t="shared" si="211"/>
        <v>0</v>
      </c>
      <c r="G2559" s="163" t="e">
        <f t="shared" si="209"/>
        <v>#DIV/0!</v>
      </c>
    </row>
    <row r="2560" spans="2:7">
      <c r="B2560" t="str">
        <f>TillageOperations!$B$24&amp;" (Labor)"</f>
        <v>Fertilizer Injection System (Labor)</v>
      </c>
      <c r="C2560" s="464" t="s">
        <v>157</v>
      </c>
      <c r="D2560" s="166">
        <f>PubMachineryTables!$AL$65</f>
        <v>4.5097708333333344</v>
      </c>
      <c r="E2560" s="166">
        <f>TillageOperations!$R$24*$C$2457</f>
        <v>0</v>
      </c>
      <c r="F2560" s="168">
        <f t="shared" si="211"/>
        <v>0</v>
      </c>
      <c r="G2560" s="163" t="e">
        <f t="shared" si="209"/>
        <v>#DIV/0!</v>
      </c>
    </row>
    <row r="2561" spans="2:7">
      <c r="B2561" t="str">
        <f>TillageOperations!$B$25&amp;" (Repairs, maint., fuel &amp; lube)"</f>
        <v>Boom Sprayer (Repairs, maint., fuel &amp; lube)</v>
      </c>
      <c r="C2561" s="464" t="s">
        <v>157</v>
      </c>
      <c r="D2561" s="166">
        <f>PubMachineryTables!AN$66+PubMachineryTables!$AM$66</f>
        <v>1.5996307048468115</v>
      </c>
      <c r="E2561" s="166">
        <f>TillageOperations!$R$25*$C$2457</f>
        <v>0</v>
      </c>
      <c r="F2561" s="166">
        <f t="shared" si="211"/>
        <v>0</v>
      </c>
      <c r="G2561" s="163" t="e">
        <f t="shared" si="209"/>
        <v>#DIV/0!</v>
      </c>
    </row>
    <row r="2562" spans="2:7">
      <c r="B2562" t="str">
        <f>TillageOperations!$B$25&amp;" (Labor)"</f>
        <v>Boom Sprayer (Labor)</v>
      </c>
      <c r="C2562" s="464" t="s">
        <v>157</v>
      </c>
      <c r="D2562" s="166">
        <f>PubMachineryTables!$AL$66</f>
        <v>1.1893901098901098</v>
      </c>
      <c r="E2562" s="166">
        <f>TillageOperations!$R$25*$C$2457</f>
        <v>0</v>
      </c>
      <c r="F2562" s="166">
        <f t="shared" si="211"/>
        <v>0</v>
      </c>
      <c r="G2562" s="163" t="e">
        <f t="shared" si="209"/>
        <v>#DIV/0!</v>
      </c>
    </row>
    <row r="2563" spans="2:7">
      <c r="B2563" t="str">
        <f>TillageOperations!$B$22&amp;" (Repairs, maint., fuel &amp; lube)"</f>
        <v>Transplanter (Repairs, maint., fuel &amp; lube)</v>
      </c>
      <c r="C2563" s="464" t="s">
        <v>157</v>
      </c>
      <c r="D2563" s="166">
        <f>PubMachineryTables!AN$63+PubMachineryTables!$AM$63</f>
        <v>61.668749999999996</v>
      </c>
      <c r="E2563" s="166">
        <f>TillageOperations!$R$22*$C$2457</f>
        <v>0</v>
      </c>
      <c r="F2563" s="166">
        <f>D2563*E2563</f>
        <v>0</v>
      </c>
      <c r="G2563" s="163" t="e">
        <f t="shared" si="209"/>
        <v>#DIV/0!</v>
      </c>
    </row>
    <row r="2564" spans="2:7">
      <c r="B2564" t="str">
        <f>TillageOperations!$B$22&amp;" (Labor)"</f>
        <v>Transplanter (Labor)</v>
      </c>
      <c r="C2564" s="464" t="s">
        <v>157</v>
      </c>
      <c r="D2564" s="166">
        <f>PubMachineryTables!$AL$63</f>
        <v>20.293968750000001</v>
      </c>
      <c r="E2564" s="166">
        <f>TillageOperations!$R$22*$C$2457</f>
        <v>0</v>
      </c>
      <c r="F2564" s="166">
        <f t="shared" ref="F2564:F2570" si="212">D2564*E2564</f>
        <v>0</v>
      </c>
      <c r="G2564" s="163" t="e">
        <f t="shared" si="209"/>
        <v>#DIV/0!</v>
      </c>
    </row>
    <row r="2565" spans="2:7">
      <c r="B2565" t="str">
        <f>'Inputs&amp;PricesbyCrop'!$B$14</f>
        <v>Additional Land Prep. Labor</v>
      </c>
      <c r="C2565" s="137" t="str">
        <f>'Inputs&amp;PricesbyCrop'!$C$14</f>
        <v>hour</v>
      </c>
      <c r="D2565" s="166">
        <f>GeneralInputPrices!$D$30</f>
        <v>14.55</v>
      </c>
      <c r="E2565" s="166">
        <f>'Inputs&amp;PricesbyCrop'!$S$14*BASEBUDGETS!$C2457</f>
        <v>0</v>
      </c>
      <c r="F2565" s="166">
        <f t="shared" si="212"/>
        <v>0</v>
      </c>
      <c r="G2565" s="163" t="e">
        <f t="shared" si="209"/>
        <v>#DIV/0!</v>
      </c>
    </row>
    <row r="2566" spans="2:7">
      <c r="B2566" t="str">
        <f>'Inputs&amp;PricesbyCrop'!$B$15</f>
        <v>Additional Land Prep. Labor</v>
      </c>
      <c r="C2566" s="137" t="str">
        <f>'Inputs&amp;PricesbyCrop'!$C$15</f>
        <v>hour</v>
      </c>
      <c r="D2566" s="166">
        <f>GeneralInputPrices!$D$30</f>
        <v>14.55</v>
      </c>
      <c r="E2566" s="166">
        <f>'Inputs&amp;PricesbyCrop'!$S$15*BASEBUDGETS!$C2457</f>
        <v>0</v>
      </c>
      <c r="F2566" s="166">
        <f t="shared" si="212"/>
        <v>0</v>
      </c>
      <c r="G2566" s="163" t="e">
        <f t="shared" si="209"/>
        <v>#DIV/0!</v>
      </c>
    </row>
    <row r="2567" spans="2:7">
      <c r="B2567" t="str">
        <f>'Inputs&amp;PricesbyCrop'!$B$17</f>
        <v>Additional Crop Prod. Labor</v>
      </c>
      <c r="C2567" s="137" t="str">
        <f>'Inputs&amp;PricesbyCrop'!$C$17</f>
        <v>hour</v>
      </c>
      <c r="D2567" s="166">
        <f>GeneralInputPrices!$D$31</f>
        <v>14.55</v>
      </c>
      <c r="E2567" s="166">
        <f>'Inputs&amp;PricesbyCrop'!$S$17*BASEBUDGETS!$C2457</f>
        <v>0</v>
      </c>
      <c r="F2567" s="166">
        <f t="shared" si="212"/>
        <v>0</v>
      </c>
      <c r="G2567" s="163" t="e">
        <f t="shared" si="209"/>
        <v>#DIV/0!</v>
      </c>
    </row>
    <row r="2568" spans="2:7">
      <c r="B2568" t="str">
        <f>'Inputs&amp;PricesbyCrop'!$B$18</f>
        <v>Additional Crop Prod. Labor</v>
      </c>
      <c r="C2568" s="137" t="str">
        <f>'Inputs&amp;PricesbyCrop'!$C$18</f>
        <v>hour</v>
      </c>
      <c r="D2568" s="166">
        <f>GeneralInputPrices!$D$31</f>
        <v>14.55</v>
      </c>
      <c r="E2568" s="166">
        <f>'Inputs&amp;PricesbyCrop'!$S$18*BASEBUDGETS!$C2457</f>
        <v>0</v>
      </c>
      <c r="F2568" s="166">
        <f t="shared" si="212"/>
        <v>0</v>
      </c>
      <c r="G2568" s="163" t="e">
        <f t="shared" si="209"/>
        <v>#DIV/0!</v>
      </c>
    </row>
    <row r="2569" spans="2:7">
      <c r="B2569" t="str">
        <f>'Inputs&amp;PricesbyCrop'!$B$20</f>
        <v>Additional Harvest Labor</v>
      </c>
      <c r="C2569" s="137" t="str">
        <f>'Inputs&amp;PricesbyCrop'!$C$20</f>
        <v>hour</v>
      </c>
      <c r="D2569" s="166">
        <f>GeneralInputPrices!$D$32</f>
        <v>17.89</v>
      </c>
      <c r="E2569" s="166">
        <f>'Inputs&amp;PricesbyCrop'!$S$20*BASEBUDGETS!$C2457</f>
        <v>0</v>
      </c>
      <c r="F2569" s="166">
        <f t="shared" si="212"/>
        <v>0</v>
      </c>
      <c r="G2569" s="163" t="e">
        <f t="shared" si="209"/>
        <v>#DIV/0!</v>
      </c>
    </row>
    <row r="2570" spans="2:7">
      <c r="B2570" t="str">
        <f>'Inputs&amp;PricesbyCrop'!$B$21</f>
        <v>Additional Harvest Labor</v>
      </c>
      <c r="C2570" s="137" t="str">
        <f>'Inputs&amp;PricesbyCrop'!$C$21</f>
        <v>hour</v>
      </c>
      <c r="D2570" s="166">
        <f>GeneralInputPrices!$D$32</f>
        <v>17.89</v>
      </c>
      <c r="E2570" s="166">
        <f>'Inputs&amp;PricesbyCrop'!$S$21*BASEBUDGETS!$C2457</f>
        <v>0</v>
      </c>
      <c r="F2570" s="166">
        <f t="shared" si="212"/>
        <v>0</v>
      </c>
      <c r="G2570" s="163" t="e">
        <f t="shared" si="209"/>
        <v>#DIV/0!</v>
      </c>
    </row>
    <row r="2571" spans="2:7">
      <c r="B2571" t="s">
        <v>59</v>
      </c>
      <c r="C2571" s="137" t="str">
        <f>GeneralInputPrices!$C$34</f>
        <v>percent</v>
      </c>
      <c r="D2571" s="138">
        <f>GeneralInputPrices!$D$34</f>
        <v>0.05</v>
      </c>
      <c r="E2571" s="75" t="s">
        <v>10</v>
      </c>
      <c r="F2571" s="37">
        <f>SUM(F2465:F2570)*D2571</f>
        <v>0</v>
      </c>
      <c r="G2571" s="163" t="e">
        <f t="shared" si="209"/>
        <v>#DIV/0!</v>
      </c>
    </row>
    <row r="2572" spans="2:7">
      <c r="B2572" t="s">
        <v>60</v>
      </c>
      <c r="C2572" s="137" t="str">
        <f>GeneralInputPrices!$C$34</f>
        <v>percent</v>
      </c>
      <c r="D2572" s="138">
        <f>GeneralInputPrices!$D$35</f>
        <v>0.06</v>
      </c>
      <c r="F2572" s="139">
        <f>SUM(F2465:F2571)*((D2572/12)*GeneralInputPrices!$D$39)</f>
        <v>0</v>
      </c>
      <c r="G2572" s="163" t="e">
        <f t="shared" si="209"/>
        <v>#DIV/0!</v>
      </c>
    </row>
    <row r="2573" spans="2:7">
      <c r="B2573" t="s">
        <v>61</v>
      </c>
      <c r="D2573" s="454"/>
      <c r="F2573" s="37">
        <f>SUM(F2465:F2572)</f>
        <v>0</v>
      </c>
      <c r="G2573" s="163" t="e">
        <f t="shared" si="209"/>
        <v>#DIV/0!</v>
      </c>
    </row>
    <row r="2574" spans="2:7">
      <c r="D2574" s="454"/>
      <c r="G2574" s="163" t="e">
        <f t="shared" si="209"/>
        <v>#DIV/0!</v>
      </c>
    </row>
    <row r="2575" spans="2:7">
      <c r="B2575" s="140" t="s">
        <v>129</v>
      </c>
      <c r="C2575" s="458" t="s">
        <v>1</v>
      </c>
      <c r="D2575" s="459" t="s">
        <v>24</v>
      </c>
      <c r="E2575" s="460" t="s">
        <v>25</v>
      </c>
      <c r="F2575" s="460" t="s">
        <v>0</v>
      </c>
      <c r="G2575" s="163" t="e">
        <f t="shared" si="209"/>
        <v>#VALUE!</v>
      </c>
    </row>
    <row r="2576" spans="2:7">
      <c r="B2576" t="str">
        <f>GeneralInputPrices!$B$15&amp;" - Upfront Costs for New System"</f>
        <v>Flood - Upfront Costs for New System</v>
      </c>
      <c r="C2576" s="453" t="str">
        <f>GeneralInputPrices!$C$16</f>
        <v>acre</v>
      </c>
      <c r="D2576">
        <f>IF('BreakevenInputs&amp;Resources'!T$16=0,0,(('BreakevenInputs&amp;Resources'!T$16/GeneralInputPrices!$D$17)*('AcresYieldsPrices&amp;Water'!$Q$23/'AcresYieldsPrices&amp;Water'!$Q$31))/$C2457)</f>
        <v>0</v>
      </c>
      <c r="E2576" s="166">
        <f>-$C2457</f>
        <v>0</v>
      </c>
      <c r="F2576" s="166">
        <f>D2576*E2576</f>
        <v>0</v>
      </c>
      <c r="G2576" s="163" t="e">
        <f t="shared" si="209"/>
        <v>#DIV/0!</v>
      </c>
    </row>
    <row r="2577" spans="2:7">
      <c r="B2577" t="str">
        <f>GeneralInputPrices!$B$19&amp;" - Upfront Costs for New System"</f>
        <v>Drip-tape - Upfront Costs for New System</v>
      </c>
      <c r="C2577" s="453" t="str">
        <f>GeneralInputPrices!$C$20</f>
        <v>acre</v>
      </c>
      <c r="D2577">
        <f>IF('BreakevenInputs&amp;Resources'!T$17=0,0,(('BreakevenInputs&amp;Resources'!T$17/GeneralInputPrices!$D$21)*('AcresYieldsPrices&amp;Water'!$Q$23/'AcresYieldsPrices&amp;Water'!$Q$31))/$C2457)</f>
        <v>0</v>
      </c>
      <c r="E2577" s="166">
        <f>$C2457</f>
        <v>0</v>
      </c>
      <c r="F2577" s="166">
        <f>D2577*E2577</f>
        <v>0</v>
      </c>
      <c r="G2577" s="163" t="e">
        <f t="shared" si="209"/>
        <v>#DIV/0!</v>
      </c>
    </row>
    <row r="2578" spans="2:7">
      <c r="B2578" t="str">
        <f>GeneralInputPrices!$B$23&amp;" - Upfront Costs for New System"</f>
        <v>Sprinkler - Upfront Costs for New System</v>
      </c>
      <c r="C2578" s="453" t="str">
        <f>GeneralInputPrices!$C$24</f>
        <v>acre</v>
      </c>
      <c r="D2578">
        <f>IF('BreakevenInputs&amp;Resources'!T$18=0,0,(('BreakevenInputs&amp;Resources'!T$18/GeneralInputPrices!$D$25)*('AcresYieldsPrices&amp;Water'!$Q$23/'AcresYieldsPrices&amp;Water'!$Q$31))/$C2457)</f>
        <v>0</v>
      </c>
      <c r="E2578" s="166">
        <f>$C2457</f>
        <v>0</v>
      </c>
      <c r="F2578" s="166">
        <f>D2578*E2578</f>
        <v>0</v>
      </c>
      <c r="G2578" s="163" t="e">
        <f t="shared" si="209"/>
        <v>#DIV/0!</v>
      </c>
    </row>
    <row r="2579" spans="2:7">
      <c r="B2579" s="463" t="str">
        <f>TillageOperations!$B$7</f>
        <v>V-Ripper</v>
      </c>
      <c r="C2579" s="464" t="s">
        <v>157</v>
      </c>
      <c r="D2579" s="166">
        <f>PubMachineryTables!$AO$49</f>
        <v>209.18701372031111</v>
      </c>
      <c r="E2579" s="166">
        <f>E2508</f>
        <v>0</v>
      </c>
      <c r="F2579" s="168">
        <f t="shared" ref="F2579:F2595" si="213">D2579*E2579</f>
        <v>0</v>
      </c>
      <c r="G2579" s="163" t="e">
        <f t="shared" si="209"/>
        <v>#DIV/0!</v>
      </c>
    </row>
    <row r="2580" spans="2:7">
      <c r="B2580" s="463" t="str">
        <f>TillageOperations!$B$8</f>
        <v>Offset Disk</v>
      </c>
      <c r="C2580" s="464" t="s">
        <v>157</v>
      </c>
      <c r="D2580" s="166">
        <f>PubMachineryTables!$AO$50</f>
        <v>42.467441655558019</v>
      </c>
      <c r="E2580" s="166">
        <f>E2510</f>
        <v>0</v>
      </c>
      <c r="F2580" s="166">
        <f t="shared" si="213"/>
        <v>0</v>
      </c>
      <c r="G2580" s="163" t="e">
        <f t="shared" si="209"/>
        <v>#DIV/0!</v>
      </c>
    </row>
    <row r="2581" spans="2:7">
      <c r="B2581" s="463" t="str">
        <f>TillageOperations!$B$9</f>
        <v>Drag</v>
      </c>
      <c r="C2581" s="464" t="s">
        <v>157</v>
      </c>
      <c r="D2581" s="166">
        <f>PubMachineryTables!$AO$51</f>
        <v>0</v>
      </c>
      <c r="E2581" s="166">
        <f>E2512</f>
        <v>0</v>
      </c>
      <c r="F2581" s="166">
        <f t="shared" si="213"/>
        <v>0</v>
      </c>
      <c r="G2581" s="163" t="e">
        <f t="shared" si="209"/>
        <v>#DIV/0!</v>
      </c>
    </row>
    <row r="2582" spans="2:7">
      <c r="B2582" s="463" t="str">
        <f>TillageOperations!$B$10</f>
        <v>Chisel</v>
      </c>
      <c r="C2582" s="464" t="s">
        <v>157</v>
      </c>
      <c r="D2582" s="166">
        <f>PubMachineryTables!$AO$52</f>
        <v>40.724752902248241</v>
      </c>
      <c r="E2582" s="166">
        <f>E2514</f>
        <v>0</v>
      </c>
      <c r="F2582" s="166">
        <f t="shared" si="213"/>
        <v>0</v>
      </c>
      <c r="G2582" s="163" t="e">
        <f t="shared" si="209"/>
        <v>#DIV/0!</v>
      </c>
    </row>
    <row r="2583" spans="2:7">
      <c r="B2583" s="463" t="str">
        <f>TillageOperations!$B$11</f>
        <v>Moldboard Plow</v>
      </c>
      <c r="C2583" s="464" t="s">
        <v>157</v>
      </c>
      <c r="D2583" s="166">
        <f>PubMachineryTables!$AO$53</f>
        <v>0</v>
      </c>
      <c r="E2583" s="166">
        <f>E2516</f>
        <v>0</v>
      </c>
      <c r="F2583" s="166">
        <f t="shared" si="213"/>
        <v>0</v>
      </c>
      <c r="G2583" s="163" t="e">
        <f t="shared" si="209"/>
        <v>#DIV/0!</v>
      </c>
    </row>
    <row r="2584" spans="2:7">
      <c r="B2584" s="463" t="str">
        <f>TillageOperations!$B$12</f>
        <v>Cultivator</v>
      </c>
      <c r="C2584" s="464" t="s">
        <v>157</v>
      </c>
      <c r="D2584" s="166">
        <f>PubMachineryTables!$AO$54</f>
        <v>0</v>
      </c>
      <c r="E2584" s="166">
        <f>E2518</f>
        <v>0</v>
      </c>
      <c r="F2584" s="166">
        <f t="shared" si="213"/>
        <v>0</v>
      </c>
      <c r="G2584" s="163" t="e">
        <f t="shared" si="209"/>
        <v>#DIV/0!</v>
      </c>
    </row>
    <row r="2585" spans="2:7">
      <c r="B2585" s="463" t="str">
        <f>TillageOperations!$B$13</f>
        <v>Landplane</v>
      </c>
      <c r="C2585" s="464" t="s">
        <v>157</v>
      </c>
      <c r="D2585" s="166">
        <f>PubMachineryTables!$AO$55</f>
        <v>107.77752986339607</v>
      </c>
      <c r="E2585" s="166">
        <f>E2520</f>
        <v>0</v>
      </c>
      <c r="F2585" s="166">
        <f t="shared" si="213"/>
        <v>0</v>
      </c>
      <c r="G2585" s="163" t="e">
        <f t="shared" si="209"/>
        <v>#DIV/0!</v>
      </c>
    </row>
    <row r="2586" spans="2:7">
      <c r="B2586" s="463" t="str">
        <f>TillageOperations!$B$14</f>
        <v>Float</v>
      </c>
      <c r="C2586" s="464" t="s">
        <v>157</v>
      </c>
      <c r="D2586" s="166">
        <f>PubMachineryTables!$AO$56</f>
        <v>0</v>
      </c>
      <c r="E2586" s="166">
        <f>E2522</f>
        <v>0</v>
      </c>
      <c r="F2586" s="166">
        <f t="shared" si="213"/>
        <v>0</v>
      </c>
      <c r="G2586" s="163" t="e">
        <f t="shared" si="209"/>
        <v>#DIV/0!</v>
      </c>
    </row>
    <row r="2587" spans="2:7">
      <c r="B2587" s="463" t="str">
        <f>TillageOperations!$B$15</f>
        <v>Lister</v>
      </c>
      <c r="C2587" s="464" t="s">
        <v>157</v>
      </c>
      <c r="D2587" s="166">
        <f>PubMachineryTables!$AO$57</f>
        <v>72.676050764764099</v>
      </c>
      <c r="E2587" s="166">
        <f>E2524</f>
        <v>0</v>
      </c>
      <c r="F2587" s="166">
        <f t="shared" si="213"/>
        <v>0</v>
      </c>
      <c r="G2587" s="163" t="e">
        <f t="shared" si="209"/>
        <v>#DIV/0!</v>
      </c>
    </row>
    <row r="2588" spans="2:7">
      <c r="B2588" s="463" t="str">
        <f>TillageOperations!$B$16</f>
        <v>Bed Shaper</v>
      </c>
      <c r="C2588" s="464" t="s">
        <v>157</v>
      </c>
      <c r="D2588" s="166">
        <f>PubMachineryTables!$AO$58</f>
        <v>50.420091551988918</v>
      </c>
      <c r="E2588" s="166">
        <f>E2526</f>
        <v>0</v>
      </c>
      <c r="F2588" s="166">
        <f t="shared" si="213"/>
        <v>0</v>
      </c>
      <c r="G2588" s="163" t="e">
        <f t="shared" si="209"/>
        <v>#DIV/0!</v>
      </c>
    </row>
    <row r="2589" spans="2:7">
      <c r="B2589" s="463" t="str">
        <f>TillageOperations!$B$19</f>
        <v>Row Planter</v>
      </c>
      <c r="C2589" s="464" t="s">
        <v>157</v>
      </c>
      <c r="D2589" s="166">
        <f>PubMachineryTables!$AO$60</f>
        <v>218.60367298033367</v>
      </c>
      <c r="E2589" s="166">
        <f>E2528</f>
        <v>0</v>
      </c>
      <c r="F2589" s="166">
        <f t="shared" si="213"/>
        <v>0</v>
      </c>
      <c r="G2589" s="163" t="e">
        <f t="shared" si="209"/>
        <v>#DIV/0!</v>
      </c>
    </row>
    <row r="2590" spans="2:7">
      <c r="B2590" s="463" t="str">
        <f>TillageOperations!$B$20</f>
        <v>Row Cultivator</v>
      </c>
      <c r="C2590" s="464" t="s">
        <v>157</v>
      </c>
      <c r="D2590" s="166">
        <f>PubMachineryTables!$AO$61</f>
        <v>74.064902712939798</v>
      </c>
      <c r="E2590" s="166">
        <f>E2530</f>
        <v>0</v>
      </c>
      <c r="F2590" s="166">
        <f t="shared" si="213"/>
        <v>0</v>
      </c>
      <c r="G2590" s="163" t="e">
        <f t="shared" si="209"/>
        <v>#DIV/0!</v>
      </c>
    </row>
    <row r="2591" spans="2:7">
      <c r="B2591" s="465" t="str">
        <f>TillageOperations!$B$21</f>
        <v>Drill</v>
      </c>
      <c r="C2591" s="464" t="s">
        <v>157</v>
      </c>
      <c r="D2591" s="166">
        <f>PubMachineryTables!$AO$62</f>
        <v>51.837941761576523</v>
      </c>
      <c r="E2591" s="166">
        <f>E2532</f>
        <v>0</v>
      </c>
      <c r="F2591" s="166">
        <f t="shared" si="213"/>
        <v>0</v>
      </c>
      <c r="G2591" s="163" t="e">
        <f t="shared" ref="G2591:G2616" si="214">F2591/C$2457</f>
        <v>#DIV/0!</v>
      </c>
    </row>
    <row r="2592" spans="2:7">
      <c r="B2592" s="463" t="str">
        <f>TillageOperations!$B$27</f>
        <v>Cotton Picker</v>
      </c>
      <c r="C2592" s="464" t="s">
        <v>157</v>
      </c>
      <c r="D2592" s="166">
        <f>PubMachineryTables!$AO$67</f>
        <v>0</v>
      </c>
      <c r="E2592" s="166">
        <f>E2534</f>
        <v>0</v>
      </c>
      <c r="F2592" s="166">
        <f t="shared" si="213"/>
        <v>0</v>
      </c>
      <c r="G2592" s="163" t="e">
        <f t="shared" si="214"/>
        <v>#DIV/0!</v>
      </c>
    </row>
    <row r="2593" spans="2:7">
      <c r="B2593" s="463" t="str">
        <f>TillageOperations!$B$28</f>
        <v>Module Unit</v>
      </c>
      <c r="C2593" s="464" t="s">
        <v>157</v>
      </c>
      <c r="D2593" s="166">
        <f>PubMachineryTables!$AO$68</f>
        <v>0</v>
      </c>
      <c r="E2593" s="166">
        <f>E2536</f>
        <v>0</v>
      </c>
      <c r="F2593" s="166">
        <f t="shared" si="213"/>
        <v>0</v>
      </c>
      <c r="G2593" s="163" t="e">
        <f t="shared" si="214"/>
        <v>#DIV/0!</v>
      </c>
    </row>
    <row r="2594" spans="2:7">
      <c r="B2594" s="463" t="str">
        <f>TillageOperations!$B$29</f>
        <v>Haul Cotton</v>
      </c>
      <c r="C2594" s="464" t="s">
        <v>157</v>
      </c>
      <c r="D2594" s="166">
        <f>PubMachineryTables!$AO$69</f>
        <v>0</v>
      </c>
      <c r="E2594" s="166">
        <f>E2538</f>
        <v>0</v>
      </c>
      <c r="F2594" s="166">
        <f t="shared" si="213"/>
        <v>0</v>
      </c>
      <c r="G2594" s="163" t="e">
        <f t="shared" si="214"/>
        <v>#DIV/0!</v>
      </c>
    </row>
    <row r="2595" spans="2:7">
      <c r="B2595" s="465" t="str">
        <f>TillageOperations!$B$17</f>
        <v>Cotton Shredder/Root Puller</v>
      </c>
      <c r="C2595" s="464" t="s">
        <v>157</v>
      </c>
      <c r="D2595" s="166">
        <f>PubMachineryTables!$AO$59</f>
        <v>0</v>
      </c>
      <c r="E2595" s="166">
        <f>E2540</f>
        <v>0</v>
      </c>
      <c r="F2595" s="166">
        <f t="shared" si="213"/>
        <v>0</v>
      </c>
      <c r="G2595" s="163" t="e">
        <f t="shared" si="214"/>
        <v>#DIV/0!</v>
      </c>
    </row>
    <row r="2596" spans="2:7">
      <c r="B2596" s="102" t="str">
        <f>TillageOperations!$B$30</f>
        <v>Combine</v>
      </c>
      <c r="C2596" s="464" t="s">
        <v>157</v>
      </c>
      <c r="D2596" s="166">
        <f>PubMachineryTables!$AO$70</f>
        <v>154.43457969840463</v>
      </c>
      <c r="E2596" s="166">
        <f>E2542</f>
        <v>0</v>
      </c>
      <c r="F2596" s="166">
        <f>D2596*E2596</f>
        <v>0</v>
      </c>
      <c r="G2596" s="163" t="e">
        <f t="shared" si="214"/>
        <v>#DIV/0!</v>
      </c>
    </row>
    <row r="2597" spans="2:7">
      <c r="B2597" s="102" t="str">
        <f>TillageOperations!$B$31</f>
        <v>Grain Cart</v>
      </c>
      <c r="C2597" s="464" t="s">
        <v>157</v>
      </c>
      <c r="D2597" s="166">
        <f>PubMachineryTables!$AO$71</f>
        <v>25.28843211678571</v>
      </c>
      <c r="E2597" s="166">
        <f>E2544</f>
        <v>0</v>
      </c>
      <c r="F2597" s="166">
        <f>D2597*E2597</f>
        <v>0</v>
      </c>
      <c r="G2597" s="163" t="e">
        <f t="shared" si="214"/>
        <v>#DIV/0!</v>
      </c>
    </row>
    <row r="2598" spans="2:7">
      <c r="B2598" s="102" t="str">
        <f>TillageOperations!$B$32</f>
        <v>Swather</v>
      </c>
      <c r="C2598" s="464" t="s">
        <v>157</v>
      </c>
      <c r="D2598" s="166">
        <f>PubMachineryTables!$AO$72</f>
        <v>0</v>
      </c>
      <c r="E2598" s="166">
        <f>E2546</f>
        <v>0</v>
      </c>
      <c r="F2598" s="166">
        <f t="shared" ref="F2598:F2606" si="215">D2598*E2598</f>
        <v>0</v>
      </c>
      <c r="G2598" s="163" t="e">
        <f t="shared" si="214"/>
        <v>#DIV/0!</v>
      </c>
    </row>
    <row r="2599" spans="2:7">
      <c r="B2599" s="102" t="str">
        <f>TillageOperations!$B$33</f>
        <v>Baler</v>
      </c>
      <c r="C2599" s="464" t="s">
        <v>157</v>
      </c>
      <c r="D2599" s="166">
        <f>PubMachineryTables!$AO$73</f>
        <v>0</v>
      </c>
      <c r="E2599" s="166">
        <f>E2548</f>
        <v>0</v>
      </c>
      <c r="F2599" s="166">
        <f t="shared" si="215"/>
        <v>0</v>
      </c>
      <c r="G2599" s="163" t="e">
        <f t="shared" si="214"/>
        <v>#DIV/0!</v>
      </c>
    </row>
    <row r="2600" spans="2:7">
      <c r="B2600" s="102" t="str">
        <f>TillageOperations!$B$34</f>
        <v>Swather</v>
      </c>
      <c r="C2600" s="464" t="s">
        <v>157</v>
      </c>
      <c r="D2600" s="166">
        <f>PubMachineryTables!$AO$74</f>
        <v>0</v>
      </c>
      <c r="E2600" s="166">
        <f>E2550</f>
        <v>0</v>
      </c>
      <c r="F2600" s="166">
        <f t="shared" si="215"/>
        <v>0</v>
      </c>
      <c r="G2600" s="163" t="e">
        <f t="shared" si="214"/>
        <v>#DIV/0!</v>
      </c>
    </row>
    <row r="2601" spans="2:7">
      <c r="B2601" s="102" t="str">
        <f>TillageOperations!$B$35</f>
        <v>Baler</v>
      </c>
      <c r="C2601" s="464" t="s">
        <v>157</v>
      </c>
      <c r="D2601" s="166">
        <f>PubMachineryTables!$AO$75</f>
        <v>0</v>
      </c>
      <c r="E2601" s="166">
        <f>E2552</f>
        <v>0</v>
      </c>
      <c r="F2601" s="166">
        <f t="shared" si="215"/>
        <v>0</v>
      </c>
      <c r="G2601" s="163" t="e">
        <f t="shared" si="214"/>
        <v>#DIV/0!</v>
      </c>
    </row>
    <row r="2602" spans="2:7">
      <c r="B2602" s="102" t="str">
        <f>TillageOperations!$B$36</f>
        <v>Bale Wagon</v>
      </c>
      <c r="C2602" s="464" t="s">
        <v>157</v>
      </c>
      <c r="D2602" s="166">
        <f>PubMachineryTables!$AO$76</f>
        <v>0</v>
      </c>
      <c r="E2602" s="166">
        <f>E2555</f>
        <v>0</v>
      </c>
      <c r="F2602" s="166">
        <f t="shared" si="215"/>
        <v>0</v>
      </c>
      <c r="G2602" s="163" t="e">
        <f t="shared" si="214"/>
        <v>#DIV/0!</v>
      </c>
    </row>
    <row r="2603" spans="2:7">
      <c r="B2603" s="102" t="str">
        <f>TillageOperations!$B$23</f>
        <v>Fertilizer Spreader</v>
      </c>
      <c r="C2603" s="464" t="s">
        <v>157</v>
      </c>
      <c r="D2603" s="166">
        <f>PubMachineryTables!$AO$64</f>
        <v>93.913865291400512</v>
      </c>
      <c r="E2603" s="166">
        <f>E2557</f>
        <v>0</v>
      </c>
      <c r="F2603" s="166">
        <f t="shared" si="215"/>
        <v>0</v>
      </c>
      <c r="G2603" s="163" t="e">
        <f t="shared" si="214"/>
        <v>#DIV/0!</v>
      </c>
    </row>
    <row r="2604" spans="2:7">
      <c r="B2604" s="102" t="str">
        <f>TillageOperations!$B$24</f>
        <v>Fertilizer Injection System</v>
      </c>
      <c r="C2604" s="464" t="s">
        <v>157</v>
      </c>
      <c r="D2604" s="166">
        <f>PubMachineryTables!$AO$65</f>
        <v>0</v>
      </c>
      <c r="E2604" s="166">
        <f>E2559</f>
        <v>0</v>
      </c>
      <c r="F2604" s="166">
        <f t="shared" si="215"/>
        <v>0</v>
      </c>
      <c r="G2604" s="163" t="e">
        <f t="shared" si="214"/>
        <v>#DIV/0!</v>
      </c>
    </row>
    <row r="2605" spans="2:7">
      <c r="B2605" s="102" t="str">
        <f>TillageOperations!$B$25</f>
        <v>Boom Sprayer</v>
      </c>
      <c r="C2605" s="464" t="s">
        <v>157</v>
      </c>
      <c r="D2605" s="166">
        <f>PubMachineryTables!$AO$66</f>
        <v>9.6826493425933542</v>
      </c>
      <c r="E2605" s="166">
        <f>E2561</f>
        <v>0</v>
      </c>
      <c r="F2605" s="166">
        <f t="shared" si="215"/>
        <v>0</v>
      </c>
      <c r="G2605" s="163" t="e">
        <f t="shared" si="214"/>
        <v>#DIV/0!</v>
      </c>
    </row>
    <row r="2606" spans="2:7">
      <c r="B2606" s="102" t="str">
        <f>TillageOperations!$B$22</f>
        <v>Transplanter</v>
      </c>
      <c r="C2606" s="464" t="s">
        <v>157</v>
      </c>
      <c r="D2606" s="166">
        <f>PubMachineryTables!$AO$63</f>
        <v>0</v>
      </c>
      <c r="E2606" s="166">
        <f>E2563</f>
        <v>0</v>
      </c>
      <c r="F2606" s="166">
        <f t="shared" si="215"/>
        <v>0</v>
      </c>
      <c r="G2606" s="163" t="e">
        <f t="shared" si="214"/>
        <v>#DIV/0!</v>
      </c>
    </row>
    <row r="2607" spans="2:7">
      <c r="B2607" t="str">
        <f>'Inputs&amp;PricesbyCrop'!$B$39</f>
        <v>Crop Insurance</v>
      </c>
      <c r="C2607" s="464" t="s">
        <v>157</v>
      </c>
      <c r="D2607" s="166">
        <f>'Inputs&amp;PricesbyCrop'!$S$39</f>
        <v>0</v>
      </c>
      <c r="E2607" s="169">
        <f t="shared" ref="E2607:E2612" si="216">$C$2457</f>
        <v>0</v>
      </c>
      <c r="F2607" s="166">
        <f>D2607*E2607</f>
        <v>0</v>
      </c>
      <c r="G2607" s="163" t="e">
        <f t="shared" si="214"/>
        <v>#DIV/0!</v>
      </c>
    </row>
    <row r="2608" spans="2:7">
      <c r="B2608" t="str">
        <f>'Inputs&amp;PricesbyCrop'!$B$40</f>
        <v>Property Insurance</v>
      </c>
      <c r="C2608" s="464" t="s">
        <v>157</v>
      </c>
      <c r="D2608" s="166">
        <f>'Inputs&amp;PricesbyCrop'!$S$40</f>
        <v>0</v>
      </c>
      <c r="E2608" s="169">
        <f t="shared" si="216"/>
        <v>0</v>
      </c>
      <c r="F2608" s="166">
        <f>D2608*E2608</f>
        <v>0</v>
      </c>
      <c r="G2608" s="163" t="e">
        <f t="shared" si="214"/>
        <v>#DIV/0!</v>
      </c>
    </row>
    <row r="2609" spans="2:7">
      <c r="B2609" t="str">
        <f>'Inputs&amp;PricesbyCrop'!$B$41</f>
        <v>Property Taxes</v>
      </c>
      <c r="C2609" s="464" t="s">
        <v>157</v>
      </c>
      <c r="D2609" s="166">
        <f>'Inputs&amp;PricesbyCrop'!$S$41</f>
        <v>0</v>
      </c>
      <c r="E2609" s="169">
        <f t="shared" si="216"/>
        <v>0</v>
      </c>
      <c r="F2609" s="166">
        <f t="shared" ref="F2609:F2612" si="217">D2609*E2609</f>
        <v>0</v>
      </c>
      <c r="G2609" s="163" t="e">
        <f t="shared" si="214"/>
        <v>#DIV/0!</v>
      </c>
    </row>
    <row r="2610" spans="2:7">
      <c r="B2610" t="str">
        <f>'Inputs&amp;PricesbyCrop'!$B$42</f>
        <v>Annual Cash Rent Payment</v>
      </c>
      <c r="C2610" s="464" t="s">
        <v>157</v>
      </c>
      <c r="D2610" s="166">
        <f>'Inputs&amp;PricesbyCrop'!$S$42</f>
        <v>170</v>
      </c>
      <c r="E2610" s="169">
        <f t="shared" si="216"/>
        <v>0</v>
      </c>
      <c r="F2610" s="166">
        <f t="shared" si="217"/>
        <v>0</v>
      </c>
      <c r="G2610" s="163" t="e">
        <f t="shared" si="214"/>
        <v>#DIV/0!</v>
      </c>
    </row>
    <row r="2611" spans="2:7">
      <c r="B2611" t="s">
        <v>484</v>
      </c>
      <c r="C2611" s="464" t="s">
        <v>157</v>
      </c>
      <c r="D2611" s="166">
        <f>'Sheet #16'!I105</f>
        <v>0</v>
      </c>
      <c r="E2611" s="169">
        <f t="shared" si="216"/>
        <v>0</v>
      </c>
      <c r="F2611" s="166">
        <f t="shared" ref="F2611" si="218">D2611*E2611</f>
        <v>0</v>
      </c>
      <c r="G2611" s="163" t="e">
        <f t="shared" si="214"/>
        <v>#DIV/0!</v>
      </c>
    </row>
    <row r="2612" spans="2:7">
      <c r="B2612" t="str">
        <f>'Inputs&amp;PricesbyCrop'!$B$49</f>
        <v>Licenses and Fees</v>
      </c>
      <c r="C2612" s="464" t="s">
        <v>157</v>
      </c>
      <c r="D2612" s="166">
        <f>'Inputs&amp;PricesbyCrop'!$S$49</f>
        <v>0</v>
      </c>
      <c r="E2612" s="169">
        <f t="shared" si="216"/>
        <v>0</v>
      </c>
      <c r="F2612" s="170">
        <f t="shared" si="217"/>
        <v>0</v>
      </c>
      <c r="G2612" s="163" t="e">
        <f t="shared" si="214"/>
        <v>#DIV/0!</v>
      </c>
    </row>
    <row r="2613" spans="2:7">
      <c r="B2613" t="s">
        <v>131</v>
      </c>
      <c r="D2613" s="454"/>
      <c r="F2613" s="37">
        <f>SUM(F2576:F2612)</f>
        <v>0</v>
      </c>
      <c r="G2613" s="163" t="e">
        <f t="shared" si="214"/>
        <v>#DIV/0!</v>
      </c>
    </row>
    <row r="2614" spans="2:7">
      <c r="D2614" s="454"/>
      <c r="G2614" s="163" t="e">
        <f t="shared" si="214"/>
        <v>#DIV/0!</v>
      </c>
    </row>
    <row r="2615" spans="2:7">
      <c r="B2615" t="s">
        <v>63</v>
      </c>
      <c r="D2615" s="454"/>
      <c r="F2615" s="37">
        <f>F2613+F2573</f>
        <v>0</v>
      </c>
      <c r="G2615" s="163" t="e">
        <f t="shared" si="214"/>
        <v>#DIV/0!</v>
      </c>
    </row>
    <row r="2616" spans="2:7">
      <c r="B2616" t="s">
        <v>64</v>
      </c>
      <c r="D2616" s="454"/>
      <c r="F2616" s="37">
        <f>F2462-F2615</f>
        <v>0</v>
      </c>
      <c r="G2616" s="163" t="e">
        <f t="shared" si="214"/>
        <v>#DIV/0!</v>
      </c>
    </row>
    <row r="2617" spans="2:7">
      <c r="B2617" s="249" t="s">
        <v>276</v>
      </c>
      <c r="C2617" s="249" t="s">
        <v>4</v>
      </c>
      <c r="D2617" s="250" t="s">
        <v>277</v>
      </c>
      <c r="E2617" s="249" t="s">
        <v>278</v>
      </c>
      <c r="F2617" s="249" t="s">
        <v>279</v>
      </c>
      <c r="G2617" s="249"/>
    </row>
    <row r="2618" spans="2:7">
      <c r="B2618" s="135" t="str">
        <f>B2623</f>
        <v>Alt Crop #4</v>
      </c>
      <c r="D2618" s="454"/>
    </row>
    <row r="2619" spans="2:7">
      <c r="B2619" t="s">
        <v>16</v>
      </c>
      <c r="C2619" s="457">
        <f>IF('AcresYieldsPrices&amp;Water'!D18=0,0,'AcresYieldsPrices&amp;Water'!D18)</f>
        <v>0</v>
      </c>
      <c r="D2619" s="454" t="s">
        <v>17</v>
      </c>
    </row>
    <row r="2620" spans="2:7">
      <c r="D2620" s="454"/>
    </row>
    <row r="2621" spans="2:7">
      <c r="B2621" t="s">
        <v>22</v>
      </c>
      <c r="D2621" s="454"/>
    </row>
    <row r="2622" spans="2:7">
      <c r="B2622" s="455" t="s">
        <v>23</v>
      </c>
      <c r="C2622" s="458" t="s">
        <v>1</v>
      </c>
      <c r="D2622" s="459" t="s">
        <v>24</v>
      </c>
      <c r="E2622" s="460" t="s">
        <v>25</v>
      </c>
      <c r="F2622" s="460" t="s">
        <v>0</v>
      </c>
      <c r="G2622" s="277"/>
    </row>
    <row r="2623" spans="2:7">
      <c r="B2623" t="str">
        <f>'AcresYieldsPrices&amp;Water'!J20</f>
        <v>Alt Crop #4</v>
      </c>
      <c r="C2623" s="137" t="str">
        <f>'AcresYieldsPrices&amp;Water'!L20</f>
        <v>bushel</v>
      </c>
      <c r="D2623" s="454">
        <f>'AcresYieldsPrices&amp;Water'!M20</f>
        <v>0</v>
      </c>
      <c r="E2623" s="462">
        <f>'AcresYieldsPrices&amp;Water'!N20*$C$2619</f>
        <v>0</v>
      </c>
      <c r="F2623" s="136">
        <f>D2623*E2623</f>
        <v>0</v>
      </c>
      <c r="G2623" s="136"/>
    </row>
    <row r="2624" spans="2:7">
      <c r="B2624" t="s">
        <v>27</v>
      </c>
      <c r="D2624" s="454"/>
      <c r="F2624" s="37">
        <f>SUM(F2623:F2623)</f>
        <v>0</v>
      </c>
      <c r="G2624" s="163" t="e">
        <f>F2624/C$2619</f>
        <v>#DIV/0!</v>
      </c>
    </row>
    <row r="2625" spans="2:7">
      <c r="D2625" s="454"/>
      <c r="G2625" s="163" t="e">
        <f t="shared" ref="G2625:G2688" si="219">F2625/C$2619</f>
        <v>#DIV/0!</v>
      </c>
    </row>
    <row r="2626" spans="2:7">
      <c r="B2626" s="455" t="s">
        <v>62</v>
      </c>
      <c r="C2626" s="458" t="s">
        <v>1</v>
      </c>
      <c r="D2626" s="459" t="s">
        <v>24</v>
      </c>
      <c r="E2626" s="460" t="s">
        <v>25</v>
      </c>
      <c r="F2626" s="460" t="s">
        <v>0</v>
      </c>
      <c r="G2626" s="163" t="e">
        <f t="shared" si="219"/>
        <v>#VALUE!</v>
      </c>
    </row>
    <row r="2627" spans="2:7">
      <c r="B2627" t="str">
        <f>'Inputs&amp;PricesbyCrop'!B$82</f>
        <v xml:space="preserve">   - Seed</v>
      </c>
      <c r="C2627" s="137" t="str">
        <f>'Inputs&amp;PricesbyCrop'!C$91</f>
        <v>pounds</v>
      </c>
      <c r="D2627" s="454">
        <f>'Inputs&amp;PricesbyCrop'!$T$5</f>
        <v>0</v>
      </c>
      <c r="E2627" s="462">
        <f>'Inputs&amp;PricesbyCrop'!$T$6*$C$2619</f>
        <v>0</v>
      </c>
      <c r="F2627" s="37">
        <f t="shared" ref="F2627:F2666" si="220">D2627*E2627</f>
        <v>0</v>
      </c>
      <c r="G2627" s="163" t="e">
        <f t="shared" si="219"/>
        <v>#DIV/0!</v>
      </c>
    </row>
    <row r="2628" spans="2:7">
      <c r="B2628" t="str">
        <f>GeneralInputPrices!$B$3</f>
        <v xml:space="preserve">   - Inoculant</v>
      </c>
      <c r="C2628" s="137" t="str">
        <f>GeneralInputPrices!$C$3</f>
        <v>pounds</v>
      </c>
      <c r="D2628" s="166">
        <f>GeneralInputPrices!$D$3</f>
        <v>3</v>
      </c>
      <c r="E2628" s="166">
        <f>'Inputs&amp;PricesbyCrop'!$T$22*$C$2619</f>
        <v>0</v>
      </c>
      <c r="F2628" s="166">
        <f t="shared" si="220"/>
        <v>0</v>
      </c>
      <c r="G2628" s="163" t="e">
        <f t="shared" si="219"/>
        <v>#DIV/0!</v>
      </c>
    </row>
    <row r="2629" spans="2:7">
      <c r="B2629" t="str">
        <f>GeneralInputPrices!B$5</f>
        <v xml:space="preserve">   - Nitrogen</v>
      </c>
      <c r="C2629" s="137" t="str">
        <f>GeneralInputPrices!$C$5</f>
        <v>pounds</v>
      </c>
      <c r="D2629" s="166">
        <f>GeneralInputPrices!$D$5</f>
        <v>0.46</v>
      </c>
      <c r="E2629" s="166">
        <f>'Inputs&amp;PricesbyCrop'!$T$23*$C$2619</f>
        <v>0</v>
      </c>
      <c r="F2629" s="166">
        <f t="shared" si="220"/>
        <v>0</v>
      </c>
      <c r="G2629" s="163" t="e">
        <f t="shared" si="219"/>
        <v>#DIV/0!</v>
      </c>
    </row>
    <row r="2630" spans="2:7">
      <c r="B2630" t="str">
        <f>GeneralInputPrices!B$6</f>
        <v xml:space="preserve">   - Phosphorus</v>
      </c>
      <c r="C2630" s="137" t="str">
        <f>GeneralInputPrices!$C$6</f>
        <v>pounds</v>
      </c>
      <c r="D2630" s="166">
        <f>GeneralInputPrices!$D$6</f>
        <v>0.36</v>
      </c>
      <c r="E2630" s="166">
        <f>'Inputs&amp;PricesbyCrop'!$T$24*$C$2619</f>
        <v>0</v>
      </c>
      <c r="F2630" s="166">
        <f t="shared" si="220"/>
        <v>0</v>
      </c>
      <c r="G2630" s="163" t="e">
        <f t="shared" si="219"/>
        <v>#DIV/0!</v>
      </c>
    </row>
    <row r="2631" spans="2:7">
      <c r="B2631" t="str">
        <f>GeneralInputPrices!B$7</f>
        <v xml:space="preserve">   - Anhydrous Ammonia</v>
      </c>
      <c r="C2631" s="137" t="str">
        <f>GeneralInputPrices!$C$7</f>
        <v>pounds</v>
      </c>
      <c r="D2631" s="166">
        <f>GeneralInputPrices!$D$7</f>
        <v>0.21</v>
      </c>
      <c r="E2631" s="166">
        <f>'Inputs&amp;PricesbyCrop'!$T$25*$C$2619</f>
        <v>0</v>
      </c>
      <c r="F2631" s="166">
        <f t="shared" si="220"/>
        <v>0</v>
      </c>
      <c r="G2631" s="163" t="e">
        <f t="shared" si="219"/>
        <v>#DIV/0!</v>
      </c>
    </row>
    <row r="2632" spans="2:7">
      <c r="B2632" t="str">
        <f>GeneralInputPrices!$B$8</f>
        <v xml:space="preserve">   - Trace Elements</v>
      </c>
      <c r="C2632" s="137" t="str">
        <f>GeneralInputPrices!$C$8</f>
        <v>pounds</v>
      </c>
      <c r="D2632" s="166">
        <f>GeneralInputPrices!$D$8</f>
        <v>0.24</v>
      </c>
      <c r="E2632" s="166">
        <f>'Inputs&amp;PricesbyCrop'!$T$26*$C$2619</f>
        <v>0</v>
      </c>
      <c r="F2632" s="166">
        <f t="shared" si="220"/>
        <v>0</v>
      </c>
      <c r="G2632" s="163" t="e">
        <f t="shared" si="219"/>
        <v>#DIV/0!</v>
      </c>
    </row>
    <row r="2633" spans="2:7">
      <c r="B2633" t="str">
        <f>'Inputs&amp;PricesbyCrop'!$B$32</f>
        <v xml:space="preserve">   - Nitrogen</v>
      </c>
      <c r="C2633" s="137" t="str">
        <f>'Inputs&amp;PricesbyCrop'!$C$32</f>
        <v>acre</v>
      </c>
      <c r="D2633" s="166">
        <f>'Inputs&amp;PricesbyCrop'!$T$32</f>
        <v>0</v>
      </c>
      <c r="E2633" s="166">
        <f>$C$2619</f>
        <v>0</v>
      </c>
      <c r="F2633" s="166">
        <f t="shared" si="220"/>
        <v>0</v>
      </c>
      <c r="G2633" s="163" t="e">
        <f t="shared" si="219"/>
        <v>#DIV/0!</v>
      </c>
    </row>
    <row r="2634" spans="2:7">
      <c r="B2634" t="str">
        <f>'Inputs&amp;PricesbyCrop'!$B$33</f>
        <v xml:space="preserve">   - Phosphorus</v>
      </c>
      <c r="C2634" s="137" t="str">
        <f>'Inputs&amp;PricesbyCrop'!$C$33</f>
        <v>acre</v>
      </c>
      <c r="D2634" s="166">
        <f>'Inputs&amp;PricesbyCrop'!$T$33</f>
        <v>0</v>
      </c>
      <c r="E2634" s="166">
        <f>$C$2619</f>
        <v>0</v>
      </c>
      <c r="F2634" s="166">
        <f t="shared" si="220"/>
        <v>0</v>
      </c>
      <c r="G2634" s="163" t="e">
        <f t="shared" si="219"/>
        <v>#DIV/0!</v>
      </c>
    </row>
    <row r="2635" spans="2:7">
      <c r="B2635" t="str">
        <f>'Inputs&amp;PricesbyCrop'!$B$34</f>
        <v xml:space="preserve">   - Fertilizer - Anhydrous Applicator</v>
      </c>
      <c r="C2635" s="137" t="str">
        <f>'Inputs&amp;PricesbyCrop'!$C$34</f>
        <v>acre</v>
      </c>
      <c r="D2635" s="166">
        <f>'Inputs&amp;PricesbyCrop'!$T$34</f>
        <v>0</v>
      </c>
      <c r="E2635" s="166">
        <f>$C$2619</f>
        <v>0</v>
      </c>
      <c r="F2635" s="166">
        <f t="shared" si="220"/>
        <v>0</v>
      </c>
      <c r="G2635" s="163" t="e">
        <f t="shared" si="219"/>
        <v>#DIV/0!</v>
      </c>
    </row>
    <row r="2636" spans="2:7">
      <c r="B2636" t="str">
        <f>GeneralInputPrices!$B$10</f>
        <v xml:space="preserve">   - Prowl</v>
      </c>
      <c r="C2636" s="137" t="str">
        <f>GeneralInputPrices!$C$10</f>
        <v>pints</v>
      </c>
      <c r="D2636" s="166">
        <f>GeneralInputPrices!$D$10</f>
        <v>6.0625</v>
      </c>
      <c r="E2636" s="166">
        <f>'Inputs&amp;PricesbyCrop'!$T$27*$C$2619</f>
        <v>0</v>
      </c>
      <c r="F2636" s="166">
        <f t="shared" si="220"/>
        <v>0</v>
      </c>
      <c r="G2636" s="163" t="e">
        <f t="shared" si="219"/>
        <v>#DIV/0!</v>
      </c>
    </row>
    <row r="2637" spans="2:7">
      <c r="B2637" t="str">
        <f>GeneralInputPrices!$B$11</f>
        <v xml:space="preserve">   - Aim</v>
      </c>
      <c r="C2637" s="137" t="str">
        <f>GeneralInputPrices!$C$11</f>
        <v>ounces</v>
      </c>
      <c r="D2637" s="166">
        <f>GeneralInputPrices!$D$11</f>
        <v>5.9375</v>
      </c>
      <c r="E2637" s="166">
        <f>'Inputs&amp;PricesbyCrop'!$T$28*$C$2619</f>
        <v>0</v>
      </c>
      <c r="F2637" s="166">
        <f t="shared" si="220"/>
        <v>0</v>
      </c>
      <c r="G2637" s="163" t="e">
        <f t="shared" si="219"/>
        <v>#DIV/0!</v>
      </c>
    </row>
    <row r="2638" spans="2:7">
      <c r="B2638" t="str">
        <f>GeneralInputPrices!$B$12</f>
        <v xml:space="preserve">   - Fusilade</v>
      </c>
      <c r="C2638" s="137" t="str">
        <f>GeneralInputPrices!$C$12</f>
        <v>ounces</v>
      </c>
      <c r="D2638" s="166">
        <f>GeneralInputPrices!$D$12</f>
        <v>1.25</v>
      </c>
      <c r="E2638" s="166">
        <f>'Inputs&amp;PricesbyCrop'!$T$29*$C$2619</f>
        <v>0</v>
      </c>
      <c r="F2638" s="166">
        <f t="shared" si="220"/>
        <v>0</v>
      </c>
      <c r="G2638" s="163" t="e">
        <f t="shared" si="219"/>
        <v>#DIV/0!</v>
      </c>
    </row>
    <row r="2639" spans="2:7">
      <c r="B2639" t="str">
        <f>'Inputs&amp;PricesbyCrop'!$B$35</f>
        <v xml:space="preserve">   - Herbicides</v>
      </c>
      <c r="C2639" s="137" t="str">
        <f>'Inputs&amp;PricesbyCrop'!$C$35</f>
        <v>acre</v>
      </c>
      <c r="D2639" s="166">
        <f>'Inputs&amp;PricesbyCrop'!$T$35</f>
        <v>0</v>
      </c>
      <c r="E2639" s="166">
        <f>$C$2619</f>
        <v>0</v>
      </c>
      <c r="F2639" s="166">
        <f t="shared" si="220"/>
        <v>0</v>
      </c>
      <c r="G2639" s="163" t="e">
        <f t="shared" si="219"/>
        <v>#DIV/0!</v>
      </c>
    </row>
    <row r="2640" spans="2:7">
      <c r="B2640" t="str">
        <f>'Inputs&amp;PricesbyCrop'!$B$36</f>
        <v xml:space="preserve">   - Herbicide - #2</v>
      </c>
      <c r="C2640" s="137" t="str">
        <f>'Inputs&amp;PricesbyCrop'!$C$36</f>
        <v>acre</v>
      </c>
      <c r="D2640" s="166">
        <f>'Inputs&amp;PricesbyCrop'!$T$36</f>
        <v>0</v>
      </c>
      <c r="E2640" s="166">
        <f>$C$2619</f>
        <v>0</v>
      </c>
      <c r="F2640" s="166">
        <f t="shared" si="220"/>
        <v>0</v>
      </c>
      <c r="G2640" s="163" t="e">
        <f t="shared" si="219"/>
        <v>#DIV/0!</v>
      </c>
    </row>
    <row r="2641" spans="2:7">
      <c r="B2641" t="str">
        <f>'Inputs&amp;PricesbyCrop'!$B$37</f>
        <v xml:space="preserve">   - Insecticides</v>
      </c>
      <c r="C2641" s="137" t="str">
        <f>'Inputs&amp;PricesbyCrop'!$C$37</f>
        <v>acre</v>
      </c>
      <c r="D2641" s="166">
        <f>'Inputs&amp;PricesbyCrop'!$T$37</f>
        <v>0</v>
      </c>
      <c r="E2641" s="166">
        <f>$C$2619</f>
        <v>0</v>
      </c>
      <c r="F2641" s="166">
        <f t="shared" si="220"/>
        <v>0</v>
      </c>
      <c r="G2641" s="163" t="e">
        <f t="shared" si="219"/>
        <v>#DIV/0!</v>
      </c>
    </row>
    <row r="2642" spans="2:7">
      <c r="B2642" t="str">
        <f>'Inputs&amp;PricesbyCrop'!$B$38</f>
        <v xml:space="preserve">   - Insecticide - #2</v>
      </c>
      <c r="C2642" s="137" t="str">
        <f>'Inputs&amp;PricesbyCrop'!$C$38</f>
        <v>acre</v>
      </c>
      <c r="D2642" s="166">
        <f>'Inputs&amp;PricesbyCrop'!$T$38</f>
        <v>0</v>
      </c>
      <c r="E2642" s="166">
        <f>$C$2619</f>
        <v>0</v>
      </c>
      <c r="F2642" s="166">
        <f t="shared" si="220"/>
        <v>0</v>
      </c>
      <c r="G2642" s="163" t="e">
        <f t="shared" si="219"/>
        <v>#DIV/0!</v>
      </c>
    </row>
    <row r="2643" spans="2:7">
      <c r="B2643" t="str">
        <f>'Inputs&amp;PricesbyCrop'!$B$7</f>
        <v>Flood - Irrigation Water</v>
      </c>
      <c r="C2643" s="137" t="str">
        <f>'Inputs&amp;PricesbyCrop'!$C$7</f>
        <v>ac ft</v>
      </c>
      <c r="D2643" s="166">
        <f>GeneralInputPrices!$D$13</f>
        <v>55</v>
      </c>
      <c r="E2643" s="102">
        <f>('AcresYieldsPrices&amp;Water'!$E$18*'Inputs&amp;PricesbyCrop'!$T$7)*$C2619</f>
        <v>0</v>
      </c>
      <c r="F2643" s="166">
        <f t="shared" si="220"/>
        <v>0</v>
      </c>
      <c r="G2643" s="163" t="e">
        <f t="shared" si="219"/>
        <v>#DIV/0!</v>
      </c>
    </row>
    <row r="2644" spans="2:7">
      <c r="B2644" t="str">
        <f>'Inputs&amp;PricesbyCrop'!$B$8</f>
        <v>Flood - Irrigation Labor</v>
      </c>
      <c r="C2644" s="137" t="str">
        <f>'Inputs&amp;PricesbyCrop'!$C$8</f>
        <v>hour</v>
      </c>
      <c r="D2644" s="166">
        <f>GeneralInputPrices!$D$28</f>
        <v>14.55</v>
      </c>
      <c r="E2644" s="166">
        <f>('AcresYieldsPrices&amp;Water'!$E$18*'Inputs&amp;PricesbyCrop'!$T$8)*$C2619</f>
        <v>0</v>
      </c>
      <c r="F2644" s="166">
        <f t="shared" si="220"/>
        <v>0</v>
      </c>
      <c r="G2644" s="163" t="e">
        <f t="shared" si="219"/>
        <v>#DIV/0!</v>
      </c>
    </row>
    <row r="2645" spans="2:7">
      <c r="B2645" t="str">
        <f>GeneralInputPrices!$B$18</f>
        <v xml:space="preserve">   - Annual Repairs &amp; Maintenance</v>
      </c>
      <c r="C2645" s="453" t="str">
        <f>GeneralInputPrices!$C$18</f>
        <v>acre</v>
      </c>
      <c r="D2645" s="166">
        <f>GeneralInputPrices!$D$18</f>
        <v>3</v>
      </c>
      <c r="E2645" s="166">
        <f>'AcresYieldsPrices&amp;Water'!$E$18*$C2619</f>
        <v>0</v>
      </c>
      <c r="F2645" s="166">
        <f t="shared" si="220"/>
        <v>0</v>
      </c>
      <c r="G2645" s="163" t="e">
        <f t="shared" si="219"/>
        <v>#DIV/0!</v>
      </c>
    </row>
    <row r="2646" spans="2:7">
      <c r="B2646" t="str">
        <f>'Inputs&amp;PricesbyCrop'!$B$9</f>
        <v>Drip-tape - Irrigation Water</v>
      </c>
      <c r="C2646" s="137" t="str">
        <f>'Inputs&amp;PricesbyCrop'!$C$9</f>
        <v>ac ft</v>
      </c>
      <c r="D2646" s="166">
        <f>GeneralInputPrices!$D$13</f>
        <v>55</v>
      </c>
      <c r="E2646" s="166">
        <f>('AcresYieldsPrices&amp;Water'!$F$18*'Inputs&amp;PricesbyCrop'!$T$9)*$C2619</f>
        <v>0</v>
      </c>
      <c r="F2646" s="166">
        <f t="shared" si="220"/>
        <v>0</v>
      </c>
      <c r="G2646" s="163" t="e">
        <f t="shared" si="219"/>
        <v>#DIV/0!</v>
      </c>
    </row>
    <row r="2647" spans="2:7">
      <c r="B2647" t="str">
        <f>'Inputs&amp;PricesbyCrop'!$B$10</f>
        <v>Drip-tape - Irrigation Labor</v>
      </c>
      <c r="C2647" s="137" t="str">
        <f>'Inputs&amp;PricesbyCrop'!$C$10</f>
        <v>hour</v>
      </c>
      <c r="D2647" s="166">
        <f>GeneralInputPrices!$D$28</f>
        <v>14.55</v>
      </c>
      <c r="E2647" s="166">
        <f>('AcresYieldsPrices&amp;Water'!$F$18*'Inputs&amp;PricesbyCrop'!$T$10)*$C2619</f>
        <v>0</v>
      </c>
      <c r="F2647" s="166">
        <f t="shared" si="220"/>
        <v>0</v>
      </c>
      <c r="G2647" s="163" t="e">
        <f t="shared" si="219"/>
        <v>#DIV/0!</v>
      </c>
    </row>
    <row r="2648" spans="2:7">
      <c r="B2648" t="str">
        <f>GeneralInputPrices!$B$22</f>
        <v xml:space="preserve">   - Annual Repairs &amp; Maintenance</v>
      </c>
      <c r="C2648" s="453" t="str">
        <f>GeneralInputPrices!$C$22</f>
        <v>acre</v>
      </c>
      <c r="D2648" s="166">
        <f>GeneralInputPrices!$D$22</f>
        <v>7.5</v>
      </c>
      <c r="E2648" s="166">
        <f>'AcresYieldsPrices&amp;Water'!$F$18*C2619</f>
        <v>0</v>
      </c>
      <c r="F2648" s="166">
        <f t="shared" si="220"/>
        <v>0</v>
      </c>
      <c r="G2648" s="163" t="e">
        <f t="shared" si="219"/>
        <v>#DIV/0!</v>
      </c>
    </row>
    <row r="2649" spans="2:7">
      <c r="B2649" t="str">
        <f>'Inputs&amp;PricesbyCrop'!$B$11</f>
        <v>Sprinkler - Irrigation Water</v>
      </c>
      <c r="C2649" s="137" t="str">
        <f>'Inputs&amp;PricesbyCrop'!$C$11</f>
        <v>ac ft</v>
      </c>
      <c r="D2649" s="166">
        <f>GeneralInputPrices!$D$13</f>
        <v>55</v>
      </c>
      <c r="E2649" s="166">
        <f>('AcresYieldsPrices&amp;Water'!$G$18*'Inputs&amp;PricesbyCrop'!$T$11)*$C2619</f>
        <v>0</v>
      </c>
      <c r="F2649" s="166">
        <f t="shared" si="220"/>
        <v>0</v>
      </c>
      <c r="G2649" s="163" t="e">
        <f t="shared" si="219"/>
        <v>#DIV/0!</v>
      </c>
    </row>
    <row r="2650" spans="2:7">
      <c r="B2650" t="str">
        <f>'Inputs&amp;PricesbyCrop'!$B$12</f>
        <v>Sprinkler - Irrigation Labor</v>
      </c>
      <c r="C2650" s="137" t="str">
        <f>'Inputs&amp;PricesbyCrop'!$C$12</f>
        <v>hour</v>
      </c>
      <c r="D2650" s="166">
        <f>GeneralInputPrices!$D$28</f>
        <v>14.55</v>
      </c>
      <c r="E2650" s="166">
        <f>('AcresYieldsPrices&amp;Water'!$G$18*'Inputs&amp;PricesbyCrop'!$T$12)*$C2619</f>
        <v>0</v>
      </c>
      <c r="F2650" s="166">
        <f t="shared" si="220"/>
        <v>0</v>
      </c>
      <c r="G2650" s="163" t="e">
        <f t="shared" si="219"/>
        <v>#DIV/0!</v>
      </c>
    </row>
    <row r="2651" spans="2:7">
      <c r="B2651" t="str">
        <f>GeneralInputPrices!$B$26</f>
        <v xml:space="preserve">   - Annual Repairs &amp; Maintenance</v>
      </c>
      <c r="C2651" s="453" t="str">
        <f>GeneralInputPrices!$C$26</f>
        <v>acre</v>
      </c>
      <c r="D2651" s="166">
        <f>GeneralInputPrices!$D$26</f>
        <v>15</v>
      </c>
      <c r="E2651" s="166">
        <f>'AcresYieldsPrices&amp;Water'!$G$18*$C2619</f>
        <v>0</v>
      </c>
      <c r="F2651" s="166">
        <f t="shared" si="220"/>
        <v>0</v>
      </c>
      <c r="G2651" s="163" t="e">
        <f t="shared" si="219"/>
        <v>#DIV/0!</v>
      </c>
    </row>
    <row r="2652" spans="2:7">
      <c r="B2652" t="str">
        <f>CustomOperations!$B$37</f>
        <v>Harvest, Custom</v>
      </c>
      <c r="C2652" s="137" t="str">
        <f>CustomOperations!$C$37</f>
        <v>acre</v>
      </c>
      <c r="D2652" s="166">
        <f>CustomOperations!$T$37</f>
        <v>25</v>
      </c>
      <c r="E2652" s="166">
        <f>CustomOperations!$T$38*$C$2619</f>
        <v>0</v>
      </c>
      <c r="F2652" s="166">
        <f t="shared" si="220"/>
        <v>0</v>
      </c>
      <c r="G2652" s="163" t="e">
        <f t="shared" si="219"/>
        <v>#DIV/0!</v>
      </c>
    </row>
    <row r="2653" spans="2:7">
      <c r="B2653" t="str">
        <f>CustomOperations!$B$39</f>
        <v>Hauling, Custom</v>
      </c>
      <c r="C2653" s="137" t="str">
        <f>CustomOperations!$C$39</f>
        <v>mile</v>
      </c>
      <c r="D2653" s="166">
        <f>CustomOperations!$T$39</f>
        <v>0</v>
      </c>
      <c r="E2653" s="166">
        <f>CustomOperations!$T$40*$C$2619</f>
        <v>0</v>
      </c>
      <c r="F2653" s="166">
        <f t="shared" si="220"/>
        <v>0</v>
      </c>
      <c r="G2653" s="163" t="e">
        <f t="shared" si="219"/>
        <v>#DIV/0!</v>
      </c>
    </row>
    <row r="2654" spans="2:7">
      <c r="B2654" t="str">
        <f>CustomOperations!$B$41</f>
        <v>Gin Cotton/Drying/Swathing, Custom</v>
      </c>
      <c r="C2654" s="137" t="str">
        <f>CustomOperations!$C$41</f>
        <v>bale</v>
      </c>
      <c r="D2654" s="166">
        <f>CustomOperations!$T$41</f>
        <v>0</v>
      </c>
      <c r="E2654" s="166">
        <f>CustomOperations!$T$42*$C$2619</f>
        <v>0</v>
      </c>
      <c r="F2654" s="166">
        <f t="shared" si="220"/>
        <v>0</v>
      </c>
      <c r="G2654" s="163" t="e">
        <f t="shared" si="219"/>
        <v>#DIV/0!</v>
      </c>
    </row>
    <row r="2655" spans="2:7">
      <c r="B2655" t="str">
        <f>CustomOperations!$B$24</f>
        <v>Drill, Custom</v>
      </c>
      <c r="C2655" s="137" t="str">
        <f>CustomOperations!$C$24</f>
        <v>acre</v>
      </c>
      <c r="D2655" s="166">
        <f>CustomOperations!$T$24</f>
        <v>0</v>
      </c>
      <c r="E2655" s="166">
        <f>CustomOperations!$T$25*$C$2619</f>
        <v>0</v>
      </c>
      <c r="F2655" s="166">
        <f t="shared" si="220"/>
        <v>0</v>
      </c>
      <c r="G2655" s="163" t="e">
        <f t="shared" si="219"/>
        <v>#DIV/0!</v>
      </c>
    </row>
    <row r="2656" spans="2:7">
      <c r="B2656" t="str">
        <f>CustomOperations!$B$26</f>
        <v>Row Planter, Custom</v>
      </c>
      <c r="C2656" s="137" t="str">
        <f>CustomOperations!$C$26</f>
        <v>acre</v>
      </c>
      <c r="D2656" s="166">
        <f>CustomOperations!$T$26</f>
        <v>0</v>
      </c>
      <c r="E2656" s="166">
        <f>CustomOperations!$T$27*$C$2619</f>
        <v>0</v>
      </c>
      <c r="F2656" s="166">
        <f t="shared" si="220"/>
        <v>0</v>
      </c>
      <c r="G2656" s="163" t="e">
        <f t="shared" si="219"/>
        <v>#DIV/0!</v>
      </c>
    </row>
    <row r="2657" spans="2:7">
      <c r="B2657" t="str">
        <f>CustomOperations!$B$28</f>
        <v>Row Cultivator, Custom</v>
      </c>
      <c r="C2657" s="137" t="str">
        <f>CustomOperations!$C$28</f>
        <v>acre</v>
      </c>
      <c r="D2657" s="166">
        <f>CustomOperations!$T$28</f>
        <v>0</v>
      </c>
      <c r="E2657" s="166">
        <f>CustomOperations!$T$29*$C$2619</f>
        <v>0</v>
      </c>
      <c r="F2657" s="166">
        <f t="shared" si="220"/>
        <v>0</v>
      </c>
      <c r="G2657" s="163" t="e">
        <f t="shared" si="219"/>
        <v>#DIV/0!</v>
      </c>
    </row>
    <row r="2658" spans="2:7">
      <c r="B2658" t="str">
        <f>CustomOperations!$B$5</f>
        <v>V Ripper, Custom</v>
      </c>
      <c r="C2658" s="137" t="str">
        <f>CustomOperations!$C$5</f>
        <v>acre</v>
      </c>
      <c r="D2658" s="166">
        <f>CustomOperations!$T$5</f>
        <v>44.25</v>
      </c>
      <c r="E2658" s="166">
        <f>CustomOperations!$T$6*$C$2619</f>
        <v>0</v>
      </c>
      <c r="F2658" s="166">
        <f t="shared" si="220"/>
        <v>0</v>
      </c>
      <c r="G2658" s="163" t="e">
        <f t="shared" si="219"/>
        <v>#DIV/0!</v>
      </c>
    </row>
    <row r="2659" spans="2:7">
      <c r="B2659" t="str">
        <f>CustomOperations!$B$7</f>
        <v>Disk, Custom</v>
      </c>
      <c r="C2659" s="137" t="str">
        <f>CustomOperations!$C$7</f>
        <v>acre</v>
      </c>
      <c r="D2659" s="166">
        <f>CustomOperations!$T$7</f>
        <v>0</v>
      </c>
      <c r="E2659" s="166">
        <f>CustomOperations!$T$8*$C$2619</f>
        <v>0</v>
      </c>
      <c r="F2659" s="166">
        <f t="shared" si="220"/>
        <v>0</v>
      </c>
      <c r="G2659" s="163" t="e">
        <f t="shared" si="219"/>
        <v>#DIV/0!</v>
      </c>
    </row>
    <row r="2660" spans="2:7">
      <c r="B2660" t="str">
        <f>CustomOperations!$B$9</f>
        <v>Drag, Custom</v>
      </c>
      <c r="C2660" s="137" t="str">
        <f>CustomOperations!$C$9</f>
        <v>acre</v>
      </c>
      <c r="D2660" s="166">
        <f>CustomOperations!$T$9</f>
        <v>0</v>
      </c>
      <c r="E2660" s="166">
        <f>CustomOperations!$T$10*$C$2619</f>
        <v>0</v>
      </c>
      <c r="F2660" s="166">
        <f t="shared" si="220"/>
        <v>0</v>
      </c>
      <c r="G2660" s="163" t="e">
        <f t="shared" si="219"/>
        <v>#DIV/0!</v>
      </c>
    </row>
    <row r="2661" spans="2:7">
      <c r="B2661" t="str">
        <f>CustomOperations!$B$11</f>
        <v>Chisel, Custom</v>
      </c>
      <c r="C2661" s="137" t="str">
        <f>CustomOperations!$C$11</f>
        <v>acre</v>
      </c>
      <c r="D2661" s="166">
        <f>CustomOperations!$T$11</f>
        <v>0</v>
      </c>
      <c r="E2661" s="166">
        <f>CustomOperations!$T$12*$C$2619</f>
        <v>0</v>
      </c>
      <c r="F2661" s="166">
        <f t="shared" si="220"/>
        <v>0</v>
      </c>
      <c r="G2661" s="163" t="e">
        <f t="shared" si="219"/>
        <v>#DIV/0!</v>
      </c>
    </row>
    <row r="2662" spans="2:7">
      <c r="B2662" t="str">
        <f>CustomOperations!$B$13</f>
        <v>Moldboard Plow, Custom</v>
      </c>
      <c r="C2662" s="137" t="str">
        <f>CustomOperations!$C$13</f>
        <v>acre</v>
      </c>
      <c r="D2662" s="166">
        <f>CustomOperations!$T$13</f>
        <v>0</v>
      </c>
      <c r="E2662" s="166">
        <f>CustomOperations!$T$14*$C$2619</f>
        <v>0</v>
      </c>
      <c r="F2662" s="166">
        <f t="shared" si="220"/>
        <v>0</v>
      </c>
      <c r="G2662" s="163" t="e">
        <f t="shared" si="219"/>
        <v>#DIV/0!</v>
      </c>
    </row>
    <row r="2663" spans="2:7">
      <c r="B2663" t="str">
        <f>CustomOperations!$B$15</f>
        <v>Landplane, Custom</v>
      </c>
      <c r="C2663" s="137" t="str">
        <f>CustomOperations!$C$15</f>
        <v>acre</v>
      </c>
      <c r="D2663" s="166">
        <f>CustomOperations!$T$15</f>
        <v>17.940000000000001</v>
      </c>
      <c r="E2663" s="166">
        <f>CustomOperations!$T$16*$C$2619</f>
        <v>0</v>
      </c>
      <c r="F2663" s="166">
        <f t="shared" si="220"/>
        <v>0</v>
      </c>
      <c r="G2663" s="163" t="e">
        <f t="shared" si="219"/>
        <v>#DIV/0!</v>
      </c>
    </row>
    <row r="2664" spans="2:7">
      <c r="B2664" t="str">
        <f>CustomOperations!$B$17</f>
        <v>Float, Custom</v>
      </c>
      <c r="C2664" s="137" t="str">
        <f>CustomOperations!$C$17</f>
        <v>acre</v>
      </c>
      <c r="D2664" s="166">
        <f>CustomOperations!$T$17</f>
        <v>17.940000000000001</v>
      </c>
      <c r="E2664" s="166">
        <f>CustomOperations!$T$18*$C$2619</f>
        <v>0</v>
      </c>
      <c r="F2664" s="166">
        <f t="shared" si="220"/>
        <v>0</v>
      </c>
      <c r="G2664" s="163" t="e">
        <f t="shared" si="219"/>
        <v>#DIV/0!</v>
      </c>
    </row>
    <row r="2665" spans="2:7">
      <c r="B2665" t="str">
        <f>CustomOperations!$B$19</f>
        <v>Lister, Custom</v>
      </c>
      <c r="C2665" s="137" t="str">
        <f>CustomOperations!$C$19</f>
        <v>acre</v>
      </c>
      <c r="D2665" s="166">
        <f>CustomOperations!$T$19</f>
        <v>20.38</v>
      </c>
      <c r="E2665" s="166">
        <f>CustomOperations!$T$20*$C$2619</f>
        <v>0</v>
      </c>
      <c r="F2665" s="166">
        <f t="shared" si="220"/>
        <v>0</v>
      </c>
      <c r="G2665" s="163" t="e">
        <f t="shared" si="219"/>
        <v>#DIV/0!</v>
      </c>
    </row>
    <row r="2666" spans="2:7">
      <c r="B2666" t="str">
        <f>CustomOperations!$B$21</f>
        <v>Bed Shape, Custom</v>
      </c>
      <c r="C2666" s="137" t="str">
        <f>CustomOperations!$C$21</f>
        <v>acre</v>
      </c>
      <c r="D2666" s="166">
        <f>CustomOperations!$T$21</f>
        <v>13.69</v>
      </c>
      <c r="E2666" s="166">
        <f>CustomOperations!$T$22*$C$2619</f>
        <v>0</v>
      </c>
      <c r="F2666" s="166">
        <f t="shared" si="220"/>
        <v>0</v>
      </c>
      <c r="G2666" s="163" t="e">
        <f t="shared" si="219"/>
        <v>#DIV/0!</v>
      </c>
    </row>
    <row r="2667" spans="2:7">
      <c r="B2667" t="str">
        <f>CustomOperations!$B$32</f>
        <v>Fertilizer Spreader, Custom</v>
      </c>
      <c r="C2667" s="137" t="str">
        <f>CustomOperations!$C$32</f>
        <v>acre</v>
      </c>
      <c r="D2667" s="166">
        <f>CustomOperations!$T$32</f>
        <v>10.08</v>
      </c>
      <c r="E2667" s="166">
        <f>CustomOperations!$T$33*$C$2619</f>
        <v>0</v>
      </c>
      <c r="F2667" s="166">
        <f>D2667*E2667</f>
        <v>0</v>
      </c>
      <c r="G2667" s="163" t="e">
        <f t="shared" si="219"/>
        <v>#DIV/0!</v>
      </c>
    </row>
    <row r="2668" spans="2:7">
      <c r="B2668" t="str">
        <f>CustomOperations!$B$34</f>
        <v>Laser Landplaning, Custom</v>
      </c>
      <c r="C2668" s="137" t="str">
        <f>CustomOperations!$C$34</f>
        <v>acre</v>
      </c>
      <c r="D2668" s="166">
        <f>CustomOperations!$T$34</f>
        <v>0</v>
      </c>
      <c r="E2668" s="166">
        <f>CustomOperations!$T$35*$C$2619</f>
        <v>0</v>
      </c>
      <c r="F2668" s="166">
        <f>D2668*E2668</f>
        <v>0</v>
      </c>
      <c r="G2668" s="163" t="e">
        <f t="shared" si="219"/>
        <v>#DIV/0!</v>
      </c>
    </row>
    <row r="2669" spans="2:7">
      <c r="B2669" t="str">
        <f>CustomOperations!$B$30</f>
        <v>Boom Sprayer, Custom</v>
      </c>
      <c r="C2669" s="137" t="str">
        <f>CustomOperations!$C$30</f>
        <v>acre</v>
      </c>
      <c r="D2669" s="166">
        <f>CustomOperations!$T$30</f>
        <v>10.050000000000001</v>
      </c>
      <c r="E2669" s="166">
        <f>CustomOperations!$T$31*$C$2619</f>
        <v>0</v>
      </c>
      <c r="F2669" s="166">
        <f t="shared" ref="F2669:F2691" si="221">D2669*E2669</f>
        <v>0</v>
      </c>
      <c r="G2669" s="163" t="e">
        <f t="shared" si="219"/>
        <v>#DIV/0!</v>
      </c>
    </row>
    <row r="2670" spans="2:7">
      <c r="B2670" s="463" t="str">
        <f>TillageOperations!$B$7&amp;" (Repairs, maint., fuel &amp; lube)"</f>
        <v>V-Ripper (Repairs, maint., fuel &amp; lube)</v>
      </c>
      <c r="C2670" s="464" t="s">
        <v>157</v>
      </c>
      <c r="D2670" s="166">
        <f>PubMachineryTables!$AM$49+PubMachineryTables!$AN$49</f>
        <v>30.16333889180672</v>
      </c>
      <c r="E2670" s="166">
        <f>TillageOperations!$S$7*$C$2619</f>
        <v>0</v>
      </c>
      <c r="F2670" s="166">
        <f t="shared" si="221"/>
        <v>0</v>
      </c>
      <c r="G2670" s="163" t="e">
        <f t="shared" si="219"/>
        <v>#DIV/0!</v>
      </c>
    </row>
    <row r="2671" spans="2:7">
      <c r="B2671" s="463" t="str">
        <f>TillageOperations!$B$7&amp;" (Labor)"</f>
        <v>V-Ripper (Labor)</v>
      </c>
      <c r="C2671" s="464" t="s">
        <v>157</v>
      </c>
      <c r="D2671" s="166">
        <f>PubMachineryTables!$AL$49</f>
        <v>13.529312500000001</v>
      </c>
      <c r="E2671" s="166">
        <f>TillageOperations!$S$7*$C$2619</f>
        <v>0</v>
      </c>
      <c r="F2671" s="166">
        <f t="shared" si="221"/>
        <v>0</v>
      </c>
      <c r="G2671" s="163" t="e">
        <f t="shared" si="219"/>
        <v>#DIV/0!</v>
      </c>
    </row>
    <row r="2672" spans="2:7">
      <c r="B2672" s="463" t="str">
        <f>TillageOperations!$B$8&amp;" (Repairs, maint., fuel &amp; lube)"</f>
        <v>Offset Disk (Repairs, maint., fuel &amp; lube)</v>
      </c>
      <c r="C2672" s="464" t="s">
        <v>157</v>
      </c>
      <c r="D2672" s="166">
        <f>PubMachineryTables!$AN$50+PubMachineryTables!$AM$50</f>
        <v>10.332318567950058</v>
      </c>
      <c r="E2672" s="166">
        <f>TillageOperations!$S$8*$C$2619</f>
        <v>0</v>
      </c>
      <c r="F2672" s="166">
        <f t="shared" si="221"/>
        <v>0</v>
      </c>
      <c r="G2672" s="163" t="e">
        <f t="shared" si="219"/>
        <v>#DIV/0!</v>
      </c>
    </row>
    <row r="2673" spans="2:7">
      <c r="B2673" s="463" t="str">
        <f>TillageOperations!$B$8&amp;" (Labor)"</f>
        <v>Offset Disk (Labor)</v>
      </c>
      <c r="C2673" s="464" t="s">
        <v>157</v>
      </c>
      <c r="D2673" s="166">
        <f>PubMachineryTables!$AL$50</f>
        <v>4.7161002178649252</v>
      </c>
      <c r="E2673" s="166">
        <f>TillageOperations!$S$8*$C$2619</f>
        <v>0</v>
      </c>
      <c r="F2673" s="166">
        <f t="shared" si="221"/>
        <v>0</v>
      </c>
      <c r="G2673" s="163" t="e">
        <f t="shared" si="219"/>
        <v>#DIV/0!</v>
      </c>
    </row>
    <row r="2674" spans="2:7">
      <c r="B2674" s="463" t="str">
        <f>TillageOperations!$B$9&amp;" (Repairs, maint., fuel &amp; lube)"</f>
        <v>Drag (Repairs, maint., fuel &amp; lube)</v>
      </c>
      <c r="C2674" s="464" t="s">
        <v>157</v>
      </c>
      <c r="D2674" s="166">
        <f>PubMachineryTables!$AN$51+PubMachineryTables!$AM$51</f>
        <v>2.4803921568627447</v>
      </c>
      <c r="E2674" s="166">
        <f>TillageOperations!$S$9*$C$2619</f>
        <v>0</v>
      </c>
      <c r="F2674" s="166">
        <f t="shared" si="221"/>
        <v>0</v>
      </c>
      <c r="G2674" s="163" t="e">
        <f t="shared" si="219"/>
        <v>#DIV/0!</v>
      </c>
    </row>
    <row r="2675" spans="2:7">
      <c r="B2675" s="463" t="str">
        <f>TillageOperations!$B$9&amp;" (Labor)"</f>
        <v>Drag (Labor)</v>
      </c>
      <c r="C2675" s="464" t="s">
        <v>157</v>
      </c>
      <c r="D2675" s="166">
        <f>PubMachineryTables!$AL$51</f>
        <v>2.1222450980392158</v>
      </c>
      <c r="E2675" s="166">
        <f>TillageOperations!$S$9*$C$2619</f>
        <v>0</v>
      </c>
      <c r="F2675" s="166">
        <f t="shared" si="221"/>
        <v>0</v>
      </c>
      <c r="G2675" s="163" t="e">
        <f t="shared" si="219"/>
        <v>#DIV/0!</v>
      </c>
    </row>
    <row r="2676" spans="2:7">
      <c r="B2676" s="463" t="str">
        <f>TillageOperations!$B$10&amp;" (Repairs, maint., fuel &amp; lube)"</f>
        <v>Chisel (Repairs, maint., fuel &amp; lube)</v>
      </c>
      <c r="C2676" s="464" t="s">
        <v>157</v>
      </c>
      <c r="D2676" s="166">
        <f>PubMachineryTables!$AN$52+PubMachineryTables!$AM$52</f>
        <v>8.5884820270019766</v>
      </c>
      <c r="E2676" s="166">
        <f>TillageOperations!$S$10*$C$2619</f>
        <v>0</v>
      </c>
      <c r="F2676" s="166">
        <f t="shared" si="221"/>
        <v>0</v>
      </c>
      <c r="G2676" s="163" t="e">
        <f t="shared" si="219"/>
        <v>#DIV/0!</v>
      </c>
    </row>
    <row r="2677" spans="2:7">
      <c r="B2677" s="463" t="str">
        <f>TillageOperations!$B$10&amp;" (Labor)"</f>
        <v>Chisel (Labor)</v>
      </c>
      <c r="C2677" s="464" t="s">
        <v>157</v>
      </c>
      <c r="D2677" s="166">
        <f>PubMachineryTables!$AL$52</f>
        <v>3.9792095588235301</v>
      </c>
      <c r="E2677" s="166">
        <f>TillageOperations!$S$10*$C$2619</f>
        <v>0</v>
      </c>
      <c r="F2677" s="166">
        <f t="shared" si="221"/>
        <v>0</v>
      </c>
      <c r="G2677" s="163" t="e">
        <f t="shared" si="219"/>
        <v>#DIV/0!</v>
      </c>
    </row>
    <row r="2678" spans="2:7">
      <c r="B2678" s="463" t="str">
        <f>TillageOperations!$B$11&amp;" (Repairs, maint., fuel &amp; lube)"</f>
        <v>Moldboard Plow (Repairs, maint., fuel &amp; lube)</v>
      </c>
      <c r="C2678" s="464" t="s">
        <v>157</v>
      </c>
      <c r="D2678" s="166">
        <f>PubMachineryTables!$AN$53+PubMachineryTables!$AM$53</f>
        <v>14.457142857142856</v>
      </c>
      <c r="E2678" s="166">
        <f>TillageOperations!$S$11*$C$2619</f>
        <v>0</v>
      </c>
      <c r="F2678" s="166">
        <f t="shared" si="221"/>
        <v>0</v>
      </c>
      <c r="G2678" s="163" t="e">
        <f t="shared" si="219"/>
        <v>#DIV/0!</v>
      </c>
    </row>
    <row r="2679" spans="2:7">
      <c r="B2679" s="463" t="str">
        <f>TillageOperations!$B$11&amp;" (Labor)"</f>
        <v>Moldboard Plow (Labor)</v>
      </c>
      <c r="C2679" s="464" t="s">
        <v>157</v>
      </c>
      <c r="D2679" s="166">
        <f>PubMachineryTables!$AL$53</f>
        <v>7.7310357142857153</v>
      </c>
      <c r="E2679" s="166">
        <f>TillageOperations!$S$11*$C$2619</f>
        <v>0</v>
      </c>
      <c r="F2679" s="166">
        <f t="shared" si="221"/>
        <v>0</v>
      </c>
      <c r="G2679" s="163" t="e">
        <f t="shared" si="219"/>
        <v>#DIV/0!</v>
      </c>
    </row>
    <row r="2680" spans="2:7">
      <c r="B2680" s="463" t="str">
        <f>TillageOperations!$B$12&amp;" (Repairs, maint., fuel &amp; lube)"</f>
        <v>Cultivator (Repairs, maint., fuel &amp; lube)</v>
      </c>
      <c r="C2680" s="464" t="s">
        <v>157</v>
      </c>
      <c r="D2680" s="166">
        <f>PubMachineryTables!$AN$54+PubMachineryTables!$AM$54</f>
        <v>5.7828571428571429</v>
      </c>
      <c r="E2680" s="166">
        <f>TillageOperations!$S$12*$C$2619</f>
        <v>0</v>
      </c>
      <c r="F2680" s="166">
        <f t="shared" si="221"/>
        <v>0</v>
      </c>
      <c r="G2680" s="163" t="e">
        <f t="shared" si="219"/>
        <v>#DIV/0!</v>
      </c>
    </row>
    <row r="2681" spans="2:7">
      <c r="B2681" s="463" t="str">
        <f>TillageOperations!$B$12&amp;" (Labor)"</f>
        <v>Cultivator (Labor)</v>
      </c>
      <c r="C2681" s="464" t="s">
        <v>157</v>
      </c>
      <c r="D2681" s="166">
        <f>PubMachineryTables!$AL$54</f>
        <v>3.0924142857142862</v>
      </c>
      <c r="E2681" s="166">
        <f>TillageOperations!$S$12*$C$2619</f>
        <v>0</v>
      </c>
      <c r="F2681" s="166">
        <f t="shared" si="221"/>
        <v>0</v>
      </c>
      <c r="G2681" s="163" t="e">
        <f t="shared" si="219"/>
        <v>#DIV/0!</v>
      </c>
    </row>
    <row r="2682" spans="2:7">
      <c r="B2682" s="463" t="str">
        <f>TillageOperations!$B$13&amp;" (Repairs, maint., fuel &amp; lube)"</f>
        <v>Landplane (Repairs, maint., fuel &amp; lube)</v>
      </c>
      <c r="C2682" s="464" t="s">
        <v>157</v>
      </c>
      <c r="D2682" s="166">
        <f>PubMachineryTables!$AN$55+PubMachineryTables!$AM$55</f>
        <v>8.0445253976590632</v>
      </c>
      <c r="E2682" s="166">
        <f>TillageOperations!$S$13*$C$2619</f>
        <v>0</v>
      </c>
      <c r="F2682" s="166">
        <f t="shared" si="221"/>
        <v>0</v>
      </c>
      <c r="G2682" s="163" t="e">
        <f t="shared" si="219"/>
        <v>#DIV/0!</v>
      </c>
    </row>
    <row r="2683" spans="2:7">
      <c r="B2683" s="463" t="str">
        <f>TillageOperations!$B$13&amp;" (Labor)"</f>
        <v>Landplane (Labor)</v>
      </c>
      <c r="C2683" s="464" t="s">
        <v>157</v>
      </c>
      <c r="D2683" s="166">
        <f>PubMachineryTables!$AL$55</f>
        <v>3.8655178571428577</v>
      </c>
      <c r="E2683" s="166">
        <f>TillageOperations!$S$13*$C$2619</f>
        <v>0</v>
      </c>
      <c r="F2683" s="166">
        <f t="shared" si="221"/>
        <v>0</v>
      </c>
      <c r="G2683" s="163" t="e">
        <f t="shared" si="219"/>
        <v>#DIV/0!</v>
      </c>
    </row>
    <row r="2684" spans="2:7">
      <c r="B2684" s="463" t="str">
        <f>TillageOperations!$B$14&amp;" (Repairs, maint., fuel &amp; lube)"</f>
        <v>Float (Repairs, maint., fuel &amp; lube)</v>
      </c>
      <c r="C2684" s="464" t="s">
        <v>157</v>
      </c>
      <c r="D2684" s="166">
        <f>PubMachineryTables!$AN$56+PubMachineryTables!$AM$56</f>
        <v>5.1632653061224492</v>
      </c>
      <c r="E2684" s="166">
        <f>TillageOperations!$S$14*$C$2619</f>
        <v>0</v>
      </c>
      <c r="F2684" s="166">
        <f t="shared" si="221"/>
        <v>0</v>
      </c>
      <c r="G2684" s="163" t="e">
        <f t="shared" si="219"/>
        <v>#DIV/0!</v>
      </c>
    </row>
    <row r="2685" spans="2:7">
      <c r="B2685" s="463" t="str">
        <f>TillageOperations!$B$14&amp;" (Labor)"</f>
        <v>Float (Labor)</v>
      </c>
      <c r="C2685" s="464" t="s">
        <v>157</v>
      </c>
      <c r="D2685" s="166">
        <f>PubMachineryTables!$AL$56</f>
        <v>4.4177346938775521</v>
      </c>
      <c r="E2685" s="166">
        <f>TillageOperations!$S$14*$C$2619</f>
        <v>0</v>
      </c>
      <c r="F2685" s="166">
        <f t="shared" si="221"/>
        <v>0</v>
      </c>
      <c r="G2685" s="163" t="e">
        <f t="shared" si="219"/>
        <v>#DIV/0!</v>
      </c>
    </row>
    <row r="2686" spans="2:7">
      <c r="B2686" s="463" t="str">
        <f>TillageOperations!$B$15&amp;" (Repairs, maint., fuel &amp; lube)"</f>
        <v>Lister (Repairs, maint., fuel &amp; lube)</v>
      </c>
      <c r="C2686" s="464" t="s">
        <v>157</v>
      </c>
      <c r="D2686" s="166">
        <f>PubMachineryTables!$AN$57+PubMachineryTables!$AM$57</f>
        <v>11.879642797844287</v>
      </c>
      <c r="E2686" s="166">
        <f>TillageOperations!$S$15*$C$2619</f>
        <v>0</v>
      </c>
      <c r="F2686" s="166">
        <f t="shared" si="221"/>
        <v>0</v>
      </c>
      <c r="G2686" s="163" t="e">
        <f t="shared" si="219"/>
        <v>#DIV/0!</v>
      </c>
    </row>
    <row r="2687" spans="2:7">
      <c r="B2687" s="463" t="str">
        <f>TillageOperations!$B$15&amp;" (Labor)"</f>
        <v>Lister (Labor)</v>
      </c>
      <c r="C2687" s="464" t="s">
        <v>157</v>
      </c>
      <c r="D2687" s="166">
        <f>PubMachineryTables!$AL$57</f>
        <v>6.1848285714285725</v>
      </c>
      <c r="E2687" s="166">
        <f>TillageOperations!$S$15*$C$2619</f>
        <v>0</v>
      </c>
      <c r="F2687" s="166">
        <f t="shared" si="221"/>
        <v>0</v>
      </c>
      <c r="G2687" s="163" t="e">
        <f t="shared" si="219"/>
        <v>#DIV/0!</v>
      </c>
    </row>
    <row r="2688" spans="2:7">
      <c r="B2688" s="463" t="str">
        <f>TillageOperations!$B$16&amp;" (Repairs, maint., fuel &amp; lube)"</f>
        <v>Bed Shaper (Repairs, maint., fuel &amp; lube)</v>
      </c>
      <c r="C2688" s="464" t="s">
        <v>157</v>
      </c>
      <c r="D2688" s="166">
        <f>PubMachineryTables!$AN$58+PubMachineryTables!$AM$58</f>
        <v>5.9574634784635725</v>
      </c>
      <c r="E2688" s="166">
        <f>TillageOperations!$S$16*$C$2619</f>
        <v>0</v>
      </c>
      <c r="F2688" s="166">
        <f t="shared" si="221"/>
        <v>0</v>
      </c>
      <c r="G2688" s="163" t="e">
        <f t="shared" si="219"/>
        <v>#DIV/0!</v>
      </c>
    </row>
    <row r="2689" spans="2:7">
      <c r="B2689" s="463" t="str">
        <f>TillageOperations!$B$16&amp;" (Labor)"</f>
        <v>Bed Shaper (Labor)</v>
      </c>
      <c r="C2689" s="464" t="s">
        <v>157</v>
      </c>
      <c r="D2689" s="166">
        <f>PubMachineryTables!$AL$58</f>
        <v>3.0924142857142862</v>
      </c>
      <c r="E2689" s="166">
        <f>TillageOperations!$S$16*$C$2619</f>
        <v>0</v>
      </c>
      <c r="F2689" s="166">
        <f t="shared" si="221"/>
        <v>0</v>
      </c>
      <c r="G2689" s="163" t="e">
        <f t="shared" ref="G2689:G2752" si="222">F2689/C$2619</f>
        <v>#DIV/0!</v>
      </c>
    </row>
    <row r="2690" spans="2:7">
      <c r="B2690" s="463" t="str">
        <f>TillageOperations!$B$19&amp;" (Repairs, maint., fuel &amp; lube)"</f>
        <v>Row Planter (Repairs, maint., fuel &amp; lube)</v>
      </c>
      <c r="C2690" s="464" t="s">
        <v>157</v>
      </c>
      <c r="D2690" s="166">
        <f>PubMachineryTables!$AN$60+PubMachineryTables!$AM$60</f>
        <v>8.8400048303091552</v>
      </c>
      <c r="E2690" s="166">
        <f>TillageOperations!$S$19*$C$2619</f>
        <v>0</v>
      </c>
      <c r="F2690" s="166">
        <f t="shared" si="221"/>
        <v>0</v>
      </c>
      <c r="G2690" s="163" t="e">
        <f t="shared" si="222"/>
        <v>#DIV/0!</v>
      </c>
    </row>
    <row r="2691" spans="2:7">
      <c r="B2691" s="463" t="str">
        <f>TillageOperations!$B$19&amp;" (Labor)"</f>
        <v>Row Planter (Labor)</v>
      </c>
      <c r="C2691" s="464" t="s">
        <v>157</v>
      </c>
      <c r="D2691" s="166">
        <f>PubMachineryTables!$AL$60</f>
        <v>4.5097708333333344</v>
      </c>
      <c r="E2691" s="166">
        <f>TillageOperations!$S$19*$C$2619</f>
        <v>0</v>
      </c>
      <c r="F2691" s="166">
        <f t="shared" si="221"/>
        <v>0</v>
      </c>
      <c r="G2691" s="163" t="e">
        <f t="shared" si="222"/>
        <v>#DIV/0!</v>
      </c>
    </row>
    <row r="2692" spans="2:7">
      <c r="B2692" s="463" t="str">
        <f>TillageOperations!$B$20&amp;" (Repairs, maint., fuel &amp; lube)"</f>
        <v>Row Cultivator (Repairs, maint., fuel &amp; lube)</v>
      </c>
      <c r="C2692" s="464" t="s">
        <v>157</v>
      </c>
      <c r="D2692" s="166">
        <f>PubMachineryTables!$AN$61+PubMachineryTables!$AM$61</f>
        <v>3.5823141032725374</v>
      </c>
      <c r="E2692" s="166">
        <f>TillageOperations!$S$20*$C$2619</f>
        <v>0</v>
      </c>
      <c r="F2692" s="166">
        <f>D2692*E2692</f>
        <v>0</v>
      </c>
      <c r="G2692" s="163" t="e">
        <f t="shared" si="222"/>
        <v>#DIV/0!</v>
      </c>
    </row>
    <row r="2693" spans="2:7">
      <c r="B2693" s="463" t="str">
        <f>TillageOperations!$B$20&amp;" (Labor)"</f>
        <v>Row Cultivator (Labor)</v>
      </c>
      <c r="C2693" s="464" t="s">
        <v>157</v>
      </c>
      <c r="D2693" s="166">
        <f>PubMachineryTables!$AL$61</f>
        <v>3.0065138888888892</v>
      </c>
      <c r="E2693" s="166">
        <f>TillageOperations!$S$20*$C$2619</f>
        <v>0</v>
      </c>
      <c r="F2693" s="166">
        <f>D2693*E2693</f>
        <v>0</v>
      </c>
      <c r="G2693" s="163" t="e">
        <f t="shared" si="222"/>
        <v>#DIV/0!</v>
      </c>
    </row>
    <row r="2694" spans="2:7">
      <c r="B2694" s="463" t="str">
        <f>TillageOperations!$B$21&amp;" (Repairs, maint., fuel &amp; lube)"</f>
        <v>Drill (Repairs, maint., fuel &amp; lube)</v>
      </c>
      <c r="C2694" s="464" t="s">
        <v>157</v>
      </c>
      <c r="D2694" s="166">
        <f>PubMachineryTables!$AN$62+PubMachineryTables!$AM$62</f>
        <v>7.6986395922631168</v>
      </c>
      <c r="E2694" s="166">
        <f>TillageOperations!$S$21*$C$2619</f>
        <v>0</v>
      </c>
      <c r="F2694" s="166">
        <f>D2694*E2694</f>
        <v>0</v>
      </c>
      <c r="G2694" s="163" t="e">
        <f t="shared" si="222"/>
        <v>#DIV/0!</v>
      </c>
    </row>
    <row r="2695" spans="2:7">
      <c r="B2695" s="463" t="str">
        <f>TillageOperations!$B$21&amp;" (Labor)"</f>
        <v>Drill (Labor)</v>
      </c>
      <c r="C2695" s="464" t="s">
        <v>157</v>
      </c>
      <c r="D2695" s="166">
        <f>PubMachineryTables!$AL$62</f>
        <v>5.4117250000000006</v>
      </c>
      <c r="E2695" s="166">
        <f>TillageOperations!$S$21*$C$2619</f>
        <v>0</v>
      </c>
      <c r="F2695" s="166">
        <f>D2695*E2695</f>
        <v>0</v>
      </c>
      <c r="G2695" s="163" t="e">
        <f t="shared" si="222"/>
        <v>#DIV/0!</v>
      </c>
    </row>
    <row r="2696" spans="2:7">
      <c r="B2696" s="75" t="str">
        <f>TillageOperations!$B$27&amp;" (Repairs, maint., fuel &amp; lube)"</f>
        <v>Cotton Picker (Repairs, maint., fuel &amp; lube)</v>
      </c>
      <c r="C2696" s="464" t="s">
        <v>157</v>
      </c>
      <c r="D2696" s="166">
        <f>PubMachineryTables!$AN$67+PubMachineryTables!$AM$67</f>
        <v>20.587703435804702</v>
      </c>
      <c r="E2696" s="166">
        <f>TillageOperations!$S$27*$C$2619</f>
        <v>0</v>
      </c>
      <c r="F2696" s="166">
        <f t="shared" ref="F2696:F2703" si="223">D2696*E2696</f>
        <v>0</v>
      </c>
      <c r="G2696" s="163" t="e">
        <f t="shared" si="222"/>
        <v>#DIV/0!</v>
      </c>
    </row>
    <row r="2697" spans="2:7">
      <c r="B2697" t="str">
        <f>TillageOperations!$B$27&amp;" (Labor)"</f>
        <v>Cotton Picker (Labor)</v>
      </c>
      <c r="C2697" s="464" t="s">
        <v>157</v>
      </c>
      <c r="D2697" s="166">
        <f>PubMachineryTables!$AL$67</f>
        <v>7.3395908679927677</v>
      </c>
      <c r="E2697" s="166">
        <f>TillageOperations!$S$27*$C$2619</f>
        <v>0</v>
      </c>
      <c r="F2697" s="166">
        <f t="shared" si="223"/>
        <v>0</v>
      </c>
      <c r="G2697" s="163" t="e">
        <f t="shared" si="222"/>
        <v>#DIV/0!</v>
      </c>
    </row>
    <row r="2698" spans="2:7">
      <c r="B2698" s="75" t="str">
        <f>TillageOperations!$B$28&amp;" (Repairs, maint., fuel &amp; lube)"</f>
        <v>Module Unit (Repairs, maint., fuel &amp; lube)</v>
      </c>
      <c r="C2698" s="464" t="s">
        <v>157</v>
      </c>
      <c r="D2698" s="166">
        <f>PubMachineryTables!$AN$68+PubMachineryTables!$AM$68</f>
        <v>7.0644080416976918</v>
      </c>
      <c r="E2698" s="166">
        <f>TillageOperations!$S$28*$C$2619</f>
        <v>0</v>
      </c>
      <c r="F2698" s="166">
        <f t="shared" si="223"/>
        <v>0</v>
      </c>
      <c r="G2698" s="163" t="e">
        <f t="shared" si="222"/>
        <v>#DIV/0!</v>
      </c>
    </row>
    <row r="2699" spans="2:7">
      <c r="B2699" t="str">
        <f>TillageOperations!$B$28&amp;" (Labor)"</f>
        <v>Module Unit (Labor)</v>
      </c>
      <c r="C2699" s="464" t="s">
        <v>157</v>
      </c>
      <c r="D2699" s="166">
        <f>PubMachineryTables!$AL$68</f>
        <v>6.0443689501116911</v>
      </c>
      <c r="E2699" s="166">
        <f>TillageOperations!$S$28*$C$2619</f>
        <v>0</v>
      </c>
      <c r="F2699" s="166">
        <f t="shared" si="223"/>
        <v>0</v>
      </c>
      <c r="G2699" s="163" t="e">
        <f t="shared" si="222"/>
        <v>#DIV/0!</v>
      </c>
    </row>
    <row r="2700" spans="2:7">
      <c r="B2700" t="str">
        <f>TillageOperations!$B$29&amp;" (Repairs, maint., fuel &amp; lube)"</f>
        <v>Haul Cotton (Repairs, maint., fuel &amp; lube)</v>
      </c>
      <c r="C2700" s="464" t="s">
        <v>157</v>
      </c>
      <c r="D2700" s="166">
        <f>PubMachineryTables!$AN$69+PubMachineryTables!$AM$69</f>
        <v>7.0644080416976918</v>
      </c>
      <c r="E2700" s="166">
        <f>TillageOperations!$S$29*$C$2619</f>
        <v>0</v>
      </c>
      <c r="F2700" s="166">
        <f t="shared" si="223"/>
        <v>0</v>
      </c>
      <c r="G2700" s="163" t="e">
        <f t="shared" si="222"/>
        <v>#DIV/0!</v>
      </c>
    </row>
    <row r="2701" spans="2:7">
      <c r="B2701" t="str">
        <f>TillageOperations!$B$29&amp;" (Labor)"</f>
        <v>Haul Cotton (Labor)</v>
      </c>
      <c r="C2701" s="464" t="s">
        <v>157</v>
      </c>
      <c r="D2701" s="166">
        <f>PubMachineryTables!$AL$69</f>
        <v>6.0443689501116911</v>
      </c>
      <c r="E2701" s="166">
        <f>TillageOperations!$S$29*$C$2619</f>
        <v>0</v>
      </c>
      <c r="F2701" s="166">
        <f t="shared" si="223"/>
        <v>0</v>
      </c>
      <c r="G2701" s="163" t="e">
        <f t="shared" si="222"/>
        <v>#DIV/0!</v>
      </c>
    </row>
    <row r="2702" spans="2:7">
      <c r="B2702" t="str">
        <f>TillageOperations!$B$17&amp;" (Repairs, maint., fuel &amp; lube)"</f>
        <v>Cotton Shredder/Root Puller (Repairs, maint., fuel &amp; lube)</v>
      </c>
      <c r="C2702" s="464" t="s">
        <v>157</v>
      </c>
      <c r="D2702" s="166">
        <f>PubMachineryTables!$AN$59+PubMachineryTables!$AM$59</f>
        <v>3.4657534246575339</v>
      </c>
      <c r="E2702" s="166">
        <f>TillageOperations!$S$17*$C$2619</f>
        <v>0</v>
      </c>
      <c r="F2702" s="166">
        <f t="shared" si="223"/>
        <v>0</v>
      </c>
      <c r="G2702" s="163" t="e">
        <f t="shared" si="222"/>
        <v>#DIV/0!</v>
      </c>
    </row>
    <row r="2703" spans="2:7">
      <c r="B2703" t="str">
        <f>TillageOperations!$B$17&amp;" (Labor)"</f>
        <v>Cotton Shredder/Root Puller (Labor)</v>
      </c>
      <c r="C2703" s="464" t="s">
        <v>157</v>
      </c>
      <c r="D2703" s="166">
        <f>PubMachineryTables!$AL$59</f>
        <v>2.965328767123288</v>
      </c>
      <c r="E2703" s="166">
        <f>TillageOperations!$S$17*$C$2619</f>
        <v>0</v>
      </c>
      <c r="F2703" s="166">
        <f t="shared" si="223"/>
        <v>0</v>
      </c>
      <c r="G2703" s="163" t="e">
        <f t="shared" si="222"/>
        <v>#DIV/0!</v>
      </c>
    </row>
    <row r="2704" spans="2:7">
      <c r="B2704" t="str">
        <f>TillageOperations!$B$30&amp;" (Repairs, maint., fuel &amp; lube)"</f>
        <v>Combine (Repairs, maint., fuel &amp; lube)</v>
      </c>
      <c r="C2704" s="464" t="s">
        <v>157</v>
      </c>
      <c r="D2704" s="166">
        <f>PubMachineryTables!$AN$70+PubMachineryTables!$AM$70</f>
        <v>4.8939818019913757</v>
      </c>
      <c r="E2704" s="166">
        <f>TillageOperations!$S$30*$C$2619</f>
        <v>0</v>
      </c>
      <c r="F2704" s="166">
        <f>D2704*E2704</f>
        <v>0</v>
      </c>
      <c r="G2704" s="163" t="e">
        <f t="shared" si="222"/>
        <v>#DIV/0!</v>
      </c>
    </row>
    <row r="2705" spans="2:7">
      <c r="B2705" t="str">
        <f>TillageOperations!$B$30&amp;" (Labor)"</f>
        <v>Combine (Labor)</v>
      </c>
      <c r="C2705" s="464" t="s">
        <v>157</v>
      </c>
      <c r="D2705" s="166">
        <f>PubMachineryTables!$AL$70</f>
        <v>1.591683823529412</v>
      </c>
      <c r="E2705" s="166">
        <f>TillageOperations!$S$30*$C$2619</f>
        <v>0</v>
      </c>
      <c r="F2705" s="166">
        <f>D2705*E2705</f>
        <v>0</v>
      </c>
      <c r="G2705" s="163" t="e">
        <f t="shared" si="222"/>
        <v>#DIV/0!</v>
      </c>
    </row>
    <row r="2706" spans="2:7">
      <c r="B2706" t="str">
        <f>TillageOperations!$B$31&amp;" (Repairs, maint., fuel &amp; lube)"</f>
        <v>Grain Cart (Repairs, maint., fuel &amp; lube)</v>
      </c>
      <c r="C2706" s="464" t="s">
        <v>157</v>
      </c>
      <c r="D2706" s="166">
        <f>PubMachineryTables!$AN$71+PubMachineryTables!$AM$71</f>
        <v>3.2163097667975675</v>
      </c>
      <c r="E2706" s="166">
        <f>TillageOperations!$S$31*$C$2619</f>
        <v>0</v>
      </c>
      <c r="F2706" s="166">
        <f>D2706*E2706</f>
        <v>0</v>
      </c>
      <c r="G2706" s="163" t="e">
        <f t="shared" si="222"/>
        <v>#DIV/0!</v>
      </c>
    </row>
    <row r="2707" spans="2:7">
      <c r="B2707" t="str">
        <f>TillageOperations!$B$31&amp;" (Labor)"</f>
        <v>Grain Cart (Labor)</v>
      </c>
      <c r="C2707" s="464" t="s">
        <v>157</v>
      </c>
      <c r="D2707" s="166">
        <f>PubMachineryTables!$AL$71</f>
        <v>1.591683823529412</v>
      </c>
      <c r="E2707" s="166">
        <f>TillageOperations!$S$31*$C$2619</f>
        <v>0</v>
      </c>
      <c r="F2707" s="166">
        <f>D2707*E2707</f>
        <v>0</v>
      </c>
      <c r="G2707" s="163" t="e">
        <f t="shared" si="222"/>
        <v>#DIV/0!</v>
      </c>
    </row>
    <row r="2708" spans="2:7">
      <c r="B2708" t="str">
        <f>TillageOperations!$B$32&amp;" (Repairs, maint., fuel &amp; lube)"</f>
        <v>Swather (Repairs, maint., fuel &amp; lube)</v>
      </c>
      <c r="C2708" s="464" t="s">
        <v>157</v>
      </c>
      <c r="D2708" s="166">
        <f>PubMachineryTables!$AN$72+PubMachineryTables!$AM$72</f>
        <v>2.0239999999999996</v>
      </c>
      <c r="E2708" s="166">
        <f>TillageOperations!$S$32*$C$2619</f>
        <v>0</v>
      </c>
      <c r="F2708" s="166">
        <f t="shared" ref="F2708:F2724" si="224">D2708*E2708</f>
        <v>0</v>
      </c>
      <c r="G2708" s="163" t="e">
        <f t="shared" si="222"/>
        <v>#DIV/0!</v>
      </c>
    </row>
    <row r="2709" spans="2:7">
      <c r="B2709" t="str">
        <f>TillageOperations!$B$32&amp;" (Labor)"</f>
        <v>Swather (Labor)</v>
      </c>
      <c r="C2709" s="464" t="s">
        <v>157</v>
      </c>
      <c r="D2709" s="166">
        <f>PubMachineryTables!$AL$72</f>
        <v>2.1646900000000002</v>
      </c>
      <c r="E2709" s="166">
        <f>TillageOperations!$S$32*$C$2619</f>
        <v>0</v>
      </c>
      <c r="F2709" s="166">
        <f t="shared" si="224"/>
        <v>0</v>
      </c>
      <c r="G2709" s="163" t="e">
        <f t="shared" si="222"/>
        <v>#DIV/0!</v>
      </c>
    </row>
    <row r="2710" spans="2:7">
      <c r="B2710" t="str">
        <f>TillageOperations!$B$33&amp;" (Repairs, maint., fuel &amp; lube)"</f>
        <v>Baler (Repairs, maint., fuel &amp; lube)</v>
      </c>
      <c r="C2710" s="464" t="s">
        <v>157</v>
      </c>
      <c r="D2710" s="166">
        <f>PubMachineryTables!$AN$73+PubMachineryTables!$AM$73</f>
        <v>3.953125</v>
      </c>
      <c r="E2710" s="166">
        <f>TillageOperations!$S$33*$C$2619</f>
        <v>0</v>
      </c>
      <c r="F2710" s="166">
        <f t="shared" si="224"/>
        <v>0</v>
      </c>
      <c r="G2710" s="163" t="e">
        <f t="shared" si="222"/>
        <v>#DIV/0!</v>
      </c>
    </row>
    <row r="2711" spans="2:7">
      <c r="B2711" t="str">
        <f>TillageOperations!$B$33&amp;" (Labor)"</f>
        <v>Baler (Labor)</v>
      </c>
      <c r="C2711" s="464" t="s">
        <v>157</v>
      </c>
      <c r="D2711" s="166">
        <f>PubMachineryTables!$AL$73</f>
        <v>3.3823281250000004</v>
      </c>
      <c r="E2711" s="166">
        <f>TillageOperations!$S$33*$C$2619</f>
        <v>0</v>
      </c>
      <c r="F2711" s="166">
        <f t="shared" si="224"/>
        <v>0</v>
      </c>
      <c r="G2711" s="163" t="e">
        <f t="shared" si="222"/>
        <v>#DIV/0!</v>
      </c>
    </row>
    <row r="2712" spans="2:7">
      <c r="B2712" t="str">
        <f>TillageOperations!$B$34&amp;" (Repairs, maint., fuel &amp; lube)"</f>
        <v>Swather (Repairs, maint., fuel &amp; lube)</v>
      </c>
      <c r="C2712" s="464" t="s">
        <v>157</v>
      </c>
      <c r="D2712" s="166">
        <f>PubMachineryTables!$AN$74+PubMachineryTables!$AM$74</f>
        <v>19.46153846153846</v>
      </c>
      <c r="E2712" s="166">
        <f>TillageOperations!$S$34*$C$2619</f>
        <v>0</v>
      </c>
      <c r="F2712" s="166">
        <f t="shared" si="224"/>
        <v>0</v>
      </c>
      <c r="G2712" s="163" t="e">
        <f t="shared" si="222"/>
        <v>#DIV/0!</v>
      </c>
    </row>
    <row r="2713" spans="2:7">
      <c r="B2713" t="str">
        <f>TillageOperations!$B$34&amp;" (Labor)"</f>
        <v>Swather (Labor)</v>
      </c>
      <c r="C2713" s="464" t="s">
        <v>157</v>
      </c>
      <c r="D2713" s="166">
        <f>PubMachineryTables!$AL$74</f>
        <v>20.814326923076923</v>
      </c>
      <c r="E2713" s="166">
        <f>TillageOperations!$S$34*$C$2619</f>
        <v>0</v>
      </c>
      <c r="F2713" s="166">
        <f t="shared" si="224"/>
        <v>0</v>
      </c>
      <c r="G2713" s="163" t="e">
        <f t="shared" si="222"/>
        <v>#DIV/0!</v>
      </c>
    </row>
    <row r="2714" spans="2:7">
      <c r="B2714" t="str">
        <f>TillageOperations!$B$35&amp;" (Repairs, maint., fuel &amp; lube)"</f>
        <v>Baler (Repairs, maint., fuel &amp; lube)</v>
      </c>
      <c r="C2714" s="464" t="s">
        <v>157</v>
      </c>
      <c r="D2714" s="166">
        <f>PubMachineryTables!$AN$75+PubMachineryTables!$AM$75</f>
        <v>24.326923076923073</v>
      </c>
      <c r="E2714" s="166">
        <f>TillageOperations!$S$35*$C$2619</f>
        <v>0</v>
      </c>
      <c r="F2714" s="166">
        <f t="shared" si="224"/>
        <v>0</v>
      </c>
      <c r="G2714" s="163" t="e">
        <f t="shared" si="222"/>
        <v>#DIV/0!</v>
      </c>
    </row>
    <row r="2715" spans="2:7">
      <c r="B2715" t="str">
        <f>TillageOperations!$B$35&amp;" (Labor)"</f>
        <v>Baler (Labor)</v>
      </c>
      <c r="C2715" s="464" t="s">
        <v>157</v>
      </c>
      <c r="D2715" s="166">
        <f>PubMachineryTables!$AL$75</f>
        <v>20.814326923076923</v>
      </c>
      <c r="E2715" s="166">
        <f>TillageOperations!$S$35*$C$2619</f>
        <v>0</v>
      </c>
      <c r="F2715" s="166">
        <f t="shared" si="224"/>
        <v>0</v>
      </c>
      <c r="G2715" s="163" t="e">
        <f t="shared" si="222"/>
        <v>#DIV/0!</v>
      </c>
    </row>
    <row r="2716" spans="2:7">
      <c r="B2716" t="str">
        <f>'Inputs&amp;PricesbyCrop'!$B$31</f>
        <v xml:space="preserve">   - Baling Twine</v>
      </c>
      <c r="C2716" s="137" t="str">
        <f>'Inputs&amp;PricesbyCrop'!$C$31</f>
        <v>acre</v>
      </c>
      <c r="D2716" s="166">
        <f>'Inputs&amp;PricesbyCrop'!$T$31</f>
        <v>0</v>
      </c>
      <c r="E2716" s="166">
        <f>$C$2619</f>
        <v>0</v>
      </c>
      <c r="F2716" s="166">
        <f t="shared" si="224"/>
        <v>0</v>
      </c>
      <c r="G2716" s="163" t="e">
        <f t="shared" si="222"/>
        <v>#DIV/0!</v>
      </c>
    </row>
    <row r="2717" spans="2:7">
      <c r="B2717" t="str">
        <f>TillageOperations!$B$36&amp;" (Repairs, maint., fuel &amp; lube)"</f>
        <v>Bale Wagon (Repairs, maint., fuel &amp; lube)</v>
      </c>
      <c r="C2717" s="464" t="s">
        <v>157</v>
      </c>
      <c r="D2717" s="166">
        <f>PubMachineryTables!$AN$76+PubMachineryTables!$AM$76</f>
        <v>3.1624999999999996</v>
      </c>
      <c r="E2717" s="166">
        <f>TillageOperations!$S$36*$C$2619</f>
        <v>0</v>
      </c>
      <c r="F2717" s="166">
        <f t="shared" si="224"/>
        <v>0</v>
      </c>
      <c r="G2717" s="163" t="e">
        <f t="shared" si="222"/>
        <v>#DIV/0!</v>
      </c>
    </row>
    <row r="2718" spans="2:7">
      <c r="B2718" t="str">
        <f>TillageOperations!$B$36&amp;" (Labor)"</f>
        <v>Bale Wagon (Labor)</v>
      </c>
      <c r="C2718" s="464" t="s">
        <v>157</v>
      </c>
      <c r="D2718" s="166">
        <f>PubMachineryTables!$AL$76</f>
        <v>3.3823281250000004</v>
      </c>
      <c r="E2718" s="166">
        <f>TillageOperations!$S$36*$C$2619</f>
        <v>0</v>
      </c>
      <c r="F2718" s="166">
        <f t="shared" si="224"/>
        <v>0</v>
      </c>
      <c r="G2718" s="163" t="e">
        <f t="shared" si="222"/>
        <v>#DIV/0!</v>
      </c>
    </row>
    <row r="2719" spans="2:7">
      <c r="B2719" t="str">
        <f>TillageOperations!$B$23&amp;" (Repairs, maint., fuel &amp; lube)"</f>
        <v>Fertilizer Spreader (Repairs, maint., fuel &amp; lube)</v>
      </c>
      <c r="C2719" s="464" t="s">
        <v>157</v>
      </c>
      <c r="D2719" s="166">
        <f>PubMachineryTables!$AM$64+PubMachineryTables!$AN$64</f>
        <v>2.6573732562743069</v>
      </c>
      <c r="E2719" s="166">
        <f>TillageOperations!$S$23*$C$2619</f>
        <v>0</v>
      </c>
      <c r="F2719" s="168">
        <f t="shared" si="224"/>
        <v>0</v>
      </c>
      <c r="G2719" s="163" t="e">
        <f t="shared" si="222"/>
        <v>#DIV/0!</v>
      </c>
    </row>
    <row r="2720" spans="2:7">
      <c r="B2720" t="str">
        <f>TillageOperations!$B$23&amp;" (Labor)"</f>
        <v>Fertilizer Spreader (Labor)</v>
      </c>
      <c r="C2720" s="464" t="s">
        <v>157</v>
      </c>
      <c r="D2720" s="166">
        <f>PubMachineryTables!$AL$64</f>
        <v>1.879071180555556</v>
      </c>
      <c r="E2720" s="166">
        <f>TillageOperations!$S$23*$C$2619</f>
        <v>0</v>
      </c>
      <c r="F2720" s="168">
        <f t="shared" si="224"/>
        <v>0</v>
      </c>
      <c r="G2720" s="163" t="e">
        <f t="shared" si="222"/>
        <v>#DIV/0!</v>
      </c>
    </row>
    <row r="2721" spans="2:7">
      <c r="B2721" t="str">
        <f>TillageOperations!$B$24&amp;" (Repairs, maint., fuel &amp; lube)"</f>
        <v>Fertilizer Injection System (Repairs, maint., fuel &amp; lube)</v>
      </c>
      <c r="C2721" s="464" t="s">
        <v>157</v>
      </c>
      <c r="D2721" s="166">
        <f>PubMachineryTables!$AM$65+PubMachineryTables!$AN$65</f>
        <v>8.4333333333333336</v>
      </c>
      <c r="E2721" s="166">
        <f>TillageOperations!$S$24*$C$2619</f>
        <v>0</v>
      </c>
      <c r="F2721" s="168">
        <f t="shared" si="224"/>
        <v>0</v>
      </c>
      <c r="G2721" s="163" t="e">
        <f t="shared" si="222"/>
        <v>#DIV/0!</v>
      </c>
    </row>
    <row r="2722" spans="2:7">
      <c r="B2722" t="str">
        <f>TillageOperations!$B$24&amp;" (Labor)"</f>
        <v>Fertilizer Injection System (Labor)</v>
      </c>
      <c r="C2722" s="464" t="s">
        <v>157</v>
      </c>
      <c r="D2722" s="166">
        <f>PubMachineryTables!$AL$65</f>
        <v>4.5097708333333344</v>
      </c>
      <c r="E2722" s="166">
        <f>TillageOperations!$S$24*$C$2619</f>
        <v>0</v>
      </c>
      <c r="F2722" s="168">
        <f t="shared" si="224"/>
        <v>0</v>
      </c>
      <c r="G2722" s="163" t="e">
        <f t="shared" si="222"/>
        <v>#DIV/0!</v>
      </c>
    </row>
    <row r="2723" spans="2:7">
      <c r="B2723" t="str">
        <f>TillageOperations!$B$25&amp;" (Repairs, maint., fuel &amp; lube)"</f>
        <v>Boom Sprayer (Repairs, maint., fuel &amp; lube)</v>
      </c>
      <c r="C2723" s="464" t="s">
        <v>157</v>
      </c>
      <c r="D2723" s="166">
        <f>PubMachineryTables!AN$66+PubMachineryTables!$AM$66</f>
        <v>1.5996307048468115</v>
      </c>
      <c r="E2723" s="166">
        <f>TillageOperations!$S$25*$C$2619</f>
        <v>0</v>
      </c>
      <c r="F2723" s="166">
        <f t="shared" si="224"/>
        <v>0</v>
      </c>
      <c r="G2723" s="163" t="e">
        <f t="shared" si="222"/>
        <v>#DIV/0!</v>
      </c>
    </row>
    <row r="2724" spans="2:7">
      <c r="B2724" t="str">
        <f>TillageOperations!$B$25&amp;" (Labor)"</f>
        <v>Boom Sprayer (Labor)</v>
      </c>
      <c r="C2724" s="464" t="s">
        <v>157</v>
      </c>
      <c r="D2724" s="166">
        <f>PubMachineryTables!$AL$66</f>
        <v>1.1893901098901098</v>
      </c>
      <c r="E2724" s="166">
        <f>TillageOperations!$S$25*$C$2619</f>
        <v>0</v>
      </c>
      <c r="F2724" s="166">
        <f t="shared" si="224"/>
        <v>0</v>
      </c>
      <c r="G2724" s="163" t="e">
        <f t="shared" si="222"/>
        <v>#DIV/0!</v>
      </c>
    </row>
    <row r="2725" spans="2:7">
      <c r="B2725" t="str">
        <f>TillageOperations!$B$22&amp;" (Repairs, maint., fuel &amp; lube)"</f>
        <v>Transplanter (Repairs, maint., fuel &amp; lube)</v>
      </c>
      <c r="C2725" s="464" t="s">
        <v>157</v>
      </c>
      <c r="D2725" s="166">
        <f>PubMachineryTables!AN$63+PubMachineryTables!$AM$63</f>
        <v>61.668749999999996</v>
      </c>
      <c r="E2725" s="166">
        <f>TillageOperations!$S$22*$C$2619</f>
        <v>0</v>
      </c>
      <c r="F2725" s="166">
        <f>D2725*E2725</f>
        <v>0</v>
      </c>
      <c r="G2725" s="163" t="e">
        <f t="shared" si="222"/>
        <v>#DIV/0!</v>
      </c>
    </row>
    <row r="2726" spans="2:7">
      <c r="B2726" t="str">
        <f>TillageOperations!$B$22&amp;" (Labor)"</f>
        <v>Transplanter (Labor)</v>
      </c>
      <c r="C2726" s="464" t="s">
        <v>157</v>
      </c>
      <c r="D2726" s="166">
        <f>PubMachineryTables!$AL$63</f>
        <v>20.293968750000001</v>
      </c>
      <c r="E2726" s="166">
        <f>TillageOperations!$S$22*$C$2619</f>
        <v>0</v>
      </c>
      <c r="F2726" s="166">
        <f t="shared" ref="F2726:F2732" si="225">D2726*E2726</f>
        <v>0</v>
      </c>
      <c r="G2726" s="163" t="e">
        <f t="shared" si="222"/>
        <v>#DIV/0!</v>
      </c>
    </row>
    <row r="2727" spans="2:7">
      <c r="B2727" t="str">
        <f>'Inputs&amp;PricesbyCrop'!$B$14</f>
        <v>Additional Land Prep. Labor</v>
      </c>
      <c r="C2727" s="137" t="str">
        <f>'Inputs&amp;PricesbyCrop'!$C$14</f>
        <v>hour</v>
      </c>
      <c r="D2727" s="166">
        <f>GeneralInputPrices!$D$30</f>
        <v>14.55</v>
      </c>
      <c r="E2727" s="166">
        <f>'Inputs&amp;PricesbyCrop'!$T$14*BASEBUDGETS!$C2619</f>
        <v>0</v>
      </c>
      <c r="F2727" s="166">
        <f t="shared" si="225"/>
        <v>0</v>
      </c>
      <c r="G2727" s="163" t="e">
        <f t="shared" si="222"/>
        <v>#DIV/0!</v>
      </c>
    </row>
    <row r="2728" spans="2:7">
      <c r="B2728" t="str">
        <f>'Inputs&amp;PricesbyCrop'!$B$15</f>
        <v>Additional Land Prep. Labor</v>
      </c>
      <c r="C2728" s="137" t="str">
        <f>'Inputs&amp;PricesbyCrop'!$C$15</f>
        <v>hour</v>
      </c>
      <c r="D2728" s="166">
        <f>GeneralInputPrices!$D$30</f>
        <v>14.55</v>
      </c>
      <c r="E2728" s="166">
        <f>'Inputs&amp;PricesbyCrop'!$T$15*BASEBUDGETS!$C2619</f>
        <v>0</v>
      </c>
      <c r="F2728" s="166">
        <f t="shared" si="225"/>
        <v>0</v>
      </c>
      <c r="G2728" s="163" t="e">
        <f t="shared" si="222"/>
        <v>#DIV/0!</v>
      </c>
    </row>
    <row r="2729" spans="2:7">
      <c r="B2729" t="str">
        <f>'Inputs&amp;PricesbyCrop'!$B$17</f>
        <v>Additional Crop Prod. Labor</v>
      </c>
      <c r="C2729" s="137" t="str">
        <f>'Inputs&amp;PricesbyCrop'!$C$17</f>
        <v>hour</v>
      </c>
      <c r="D2729" s="166">
        <f>GeneralInputPrices!$D$31</f>
        <v>14.55</v>
      </c>
      <c r="E2729" s="166">
        <f>'Inputs&amp;PricesbyCrop'!$T$17*BASEBUDGETS!$C2619</f>
        <v>0</v>
      </c>
      <c r="F2729" s="166">
        <f t="shared" si="225"/>
        <v>0</v>
      </c>
      <c r="G2729" s="163" t="e">
        <f t="shared" si="222"/>
        <v>#DIV/0!</v>
      </c>
    </row>
    <row r="2730" spans="2:7">
      <c r="B2730" t="str">
        <f>'Inputs&amp;PricesbyCrop'!$B$18</f>
        <v>Additional Crop Prod. Labor</v>
      </c>
      <c r="C2730" s="137" t="str">
        <f>'Inputs&amp;PricesbyCrop'!$C$18</f>
        <v>hour</v>
      </c>
      <c r="D2730" s="166">
        <f>GeneralInputPrices!$D$31</f>
        <v>14.55</v>
      </c>
      <c r="E2730" s="166">
        <f>'Inputs&amp;PricesbyCrop'!$T$18*BASEBUDGETS!$C2619</f>
        <v>0</v>
      </c>
      <c r="F2730" s="166">
        <f t="shared" si="225"/>
        <v>0</v>
      </c>
      <c r="G2730" s="163" t="e">
        <f t="shared" si="222"/>
        <v>#DIV/0!</v>
      </c>
    </row>
    <row r="2731" spans="2:7">
      <c r="B2731" t="str">
        <f>'Inputs&amp;PricesbyCrop'!$B$20</f>
        <v>Additional Harvest Labor</v>
      </c>
      <c r="C2731" s="137" t="str">
        <f>'Inputs&amp;PricesbyCrop'!$C$20</f>
        <v>hour</v>
      </c>
      <c r="D2731" s="166">
        <f>GeneralInputPrices!$D$32</f>
        <v>17.89</v>
      </c>
      <c r="E2731" s="166">
        <f>'Inputs&amp;PricesbyCrop'!$T$20*BASEBUDGETS!$C2619</f>
        <v>0</v>
      </c>
      <c r="F2731" s="166">
        <f t="shared" si="225"/>
        <v>0</v>
      </c>
      <c r="G2731" s="163" t="e">
        <f t="shared" si="222"/>
        <v>#DIV/0!</v>
      </c>
    </row>
    <row r="2732" spans="2:7">
      <c r="B2732" t="str">
        <f>'Inputs&amp;PricesbyCrop'!$B$21</f>
        <v>Additional Harvest Labor</v>
      </c>
      <c r="C2732" s="137" t="str">
        <f>'Inputs&amp;PricesbyCrop'!$C$21</f>
        <v>hour</v>
      </c>
      <c r="D2732" s="166">
        <f>GeneralInputPrices!$D$32</f>
        <v>17.89</v>
      </c>
      <c r="E2732" s="166">
        <f>'Inputs&amp;PricesbyCrop'!$T$21*BASEBUDGETS!$C2619</f>
        <v>0</v>
      </c>
      <c r="F2732" s="166">
        <f t="shared" si="225"/>
        <v>0</v>
      </c>
      <c r="G2732" s="163" t="e">
        <f t="shared" si="222"/>
        <v>#DIV/0!</v>
      </c>
    </row>
    <row r="2733" spans="2:7">
      <c r="B2733" t="s">
        <v>59</v>
      </c>
      <c r="C2733" s="137" t="str">
        <f>GeneralInputPrices!$C$34</f>
        <v>percent</v>
      </c>
      <c r="D2733" s="138">
        <f>GeneralInputPrices!$D$34</f>
        <v>0.05</v>
      </c>
      <c r="E2733" s="75" t="s">
        <v>10</v>
      </c>
      <c r="F2733" s="37">
        <f>SUM(F2627:F2732)*D2733</f>
        <v>0</v>
      </c>
      <c r="G2733" s="163" t="e">
        <f t="shared" si="222"/>
        <v>#DIV/0!</v>
      </c>
    </row>
    <row r="2734" spans="2:7">
      <c r="B2734" t="s">
        <v>60</v>
      </c>
      <c r="C2734" s="137" t="str">
        <f>GeneralInputPrices!$C$34</f>
        <v>percent</v>
      </c>
      <c r="D2734" s="138">
        <f>GeneralInputPrices!$D$35</f>
        <v>0.06</v>
      </c>
      <c r="F2734" s="139">
        <f>SUM(F2627:F2733)*((D2734/12)*GeneralInputPrices!$D$39)</f>
        <v>0</v>
      </c>
      <c r="G2734" s="163" t="e">
        <f t="shared" si="222"/>
        <v>#DIV/0!</v>
      </c>
    </row>
    <row r="2735" spans="2:7">
      <c r="B2735" t="s">
        <v>61</v>
      </c>
      <c r="D2735" s="454"/>
      <c r="F2735" s="37">
        <f>SUM(F2627:F2734)</f>
        <v>0</v>
      </c>
      <c r="G2735" s="163" t="e">
        <f t="shared" si="222"/>
        <v>#DIV/0!</v>
      </c>
    </row>
    <row r="2736" spans="2:7">
      <c r="D2736" s="454"/>
      <c r="G2736" s="163" t="e">
        <f t="shared" si="222"/>
        <v>#DIV/0!</v>
      </c>
    </row>
    <row r="2737" spans="2:7">
      <c r="B2737" s="140" t="s">
        <v>129</v>
      </c>
      <c r="C2737" s="458" t="s">
        <v>1</v>
      </c>
      <c r="D2737" s="459" t="s">
        <v>24</v>
      </c>
      <c r="E2737" s="460" t="s">
        <v>25</v>
      </c>
      <c r="F2737" s="460" t="s">
        <v>0</v>
      </c>
      <c r="G2737" s="163" t="e">
        <f t="shared" si="222"/>
        <v>#VALUE!</v>
      </c>
    </row>
    <row r="2738" spans="2:7">
      <c r="B2738" t="str">
        <f>GeneralInputPrices!$B$15&amp;" - Upfront Costs for New System"</f>
        <v>Flood - Upfront Costs for New System</v>
      </c>
      <c r="C2738" s="453" t="str">
        <f>GeneralInputPrices!$C$16</f>
        <v>acre</v>
      </c>
      <c r="D2738">
        <f>IF('BreakevenInputs&amp;Resources'!T$16=0,0,(('BreakevenInputs&amp;Resources'!T$16/GeneralInputPrices!$D$17)*('AcresYieldsPrices&amp;Water'!$Q$24/'AcresYieldsPrices&amp;Water'!$Q$31))/$C2619)</f>
        <v>0</v>
      </c>
      <c r="E2738" s="166">
        <f>$C2619</f>
        <v>0</v>
      </c>
      <c r="F2738" s="166">
        <f>D2738*E2738</f>
        <v>0</v>
      </c>
      <c r="G2738" s="163" t="e">
        <f t="shared" si="222"/>
        <v>#DIV/0!</v>
      </c>
    </row>
    <row r="2739" spans="2:7">
      <c r="B2739" t="str">
        <f>GeneralInputPrices!$B$19&amp;" - Upfront Costs for New System"</f>
        <v>Drip-tape - Upfront Costs for New System</v>
      </c>
      <c r="C2739" s="453" t="str">
        <f>GeneralInputPrices!$C$20</f>
        <v>acre</v>
      </c>
      <c r="D2739">
        <f>IF('BreakevenInputs&amp;Resources'!T$17=0,0,(('BreakevenInputs&amp;Resources'!T$17/GeneralInputPrices!$D$21)*('AcresYieldsPrices&amp;Water'!$Q$24/'AcresYieldsPrices&amp;Water'!$Q$31))/$C2619)</f>
        <v>0</v>
      </c>
      <c r="E2739" s="166">
        <f>$C2619</f>
        <v>0</v>
      </c>
      <c r="F2739" s="166">
        <f>D2739*E2739</f>
        <v>0</v>
      </c>
      <c r="G2739" s="163" t="e">
        <f t="shared" si="222"/>
        <v>#DIV/0!</v>
      </c>
    </row>
    <row r="2740" spans="2:7">
      <c r="B2740" t="str">
        <f>GeneralInputPrices!$B$23&amp;" - Upfront Costs for New System"</f>
        <v>Sprinkler - Upfront Costs for New System</v>
      </c>
      <c r="C2740" s="453" t="str">
        <f>GeneralInputPrices!$C$24</f>
        <v>acre</v>
      </c>
      <c r="D2740">
        <f>IF('BreakevenInputs&amp;Resources'!T$18=0,0,(('BreakevenInputs&amp;Resources'!T$18/GeneralInputPrices!$D$25)*('AcresYieldsPrices&amp;Water'!$Q$24/'AcresYieldsPrices&amp;Water'!$Q$31))/$C2619)</f>
        <v>0</v>
      </c>
      <c r="E2740" s="166">
        <f>$C2619</f>
        <v>0</v>
      </c>
      <c r="F2740" s="166">
        <f>D2740*E2740</f>
        <v>0</v>
      </c>
      <c r="G2740" s="163" t="e">
        <f t="shared" si="222"/>
        <v>#DIV/0!</v>
      </c>
    </row>
    <row r="2741" spans="2:7">
      <c r="B2741" s="463" t="str">
        <f>TillageOperations!$B$7</f>
        <v>V-Ripper</v>
      </c>
      <c r="C2741" s="464" t="s">
        <v>157</v>
      </c>
      <c r="D2741" s="166">
        <f>PubMachineryTables!$AO$49</f>
        <v>209.18701372031111</v>
      </c>
      <c r="E2741" s="166">
        <f>E2670</f>
        <v>0</v>
      </c>
      <c r="F2741" s="168">
        <f t="shared" ref="F2741:F2757" si="226">D2741*E2741</f>
        <v>0</v>
      </c>
      <c r="G2741" s="163" t="e">
        <f t="shared" si="222"/>
        <v>#DIV/0!</v>
      </c>
    </row>
    <row r="2742" spans="2:7">
      <c r="B2742" s="463" t="str">
        <f>TillageOperations!$B$8</f>
        <v>Offset Disk</v>
      </c>
      <c r="C2742" s="464" t="s">
        <v>157</v>
      </c>
      <c r="D2742" s="166">
        <f>PubMachineryTables!$AO$50</f>
        <v>42.467441655558019</v>
      </c>
      <c r="E2742" s="166">
        <f>E2672</f>
        <v>0</v>
      </c>
      <c r="F2742" s="166">
        <f t="shared" si="226"/>
        <v>0</v>
      </c>
      <c r="G2742" s="163" t="e">
        <f t="shared" si="222"/>
        <v>#DIV/0!</v>
      </c>
    </row>
    <row r="2743" spans="2:7">
      <c r="B2743" s="463" t="str">
        <f>TillageOperations!$B$9</f>
        <v>Drag</v>
      </c>
      <c r="C2743" s="464" t="s">
        <v>157</v>
      </c>
      <c r="D2743" s="166">
        <f>PubMachineryTables!$AO$51</f>
        <v>0</v>
      </c>
      <c r="E2743" s="166">
        <f>E2674</f>
        <v>0</v>
      </c>
      <c r="F2743" s="166">
        <f t="shared" si="226"/>
        <v>0</v>
      </c>
      <c r="G2743" s="163" t="e">
        <f t="shared" si="222"/>
        <v>#DIV/0!</v>
      </c>
    </row>
    <row r="2744" spans="2:7">
      <c r="B2744" s="463" t="str">
        <f>TillageOperations!$B$10</f>
        <v>Chisel</v>
      </c>
      <c r="C2744" s="464" t="s">
        <v>157</v>
      </c>
      <c r="D2744" s="166">
        <f>PubMachineryTables!$AO$52</f>
        <v>40.724752902248241</v>
      </c>
      <c r="E2744" s="166">
        <f>E2676</f>
        <v>0</v>
      </c>
      <c r="F2744" s="166">
        <f t="shared" si="226"/>
        <v>0</v>
      </c>
      <c r="G2744" s="163" t="e">
        <f t="shared" si="222"/>
        <v>#DIV/0!</v>
      </c>
    </row>
    <row r="2745" spans="2:7">
      <c r="B2745" s="463" t="str">
        <f>TillageOperations!$B$11</f>
        <v>Moldboard Plow</v>
      </c>
      <c r="C2745" s="464" t="s">
        <v>157</v>
      </c>
      <c r="D2745" s="166">
        <f>PubMachineryTables!$AO$53</f>
        <v>0</v>
      </c>
      <c r="E2745" s="166">
        <f>E2678</f>
        <v>0</v>
      </c>
      <c r="F2745" s="166">
        <f t="shared" si="226"/>
        <v>0</v>
      </c>
      <c r="G2745" s="163" t="e">
        <f t="shared" si="222"/>
        <v>#DIV/0!</v>
      </c>
    </row>
    <row r="2746" spans="2:7">
      <c r="B2746" s="463" t="str">
        <f>TillageOperations!$B$12</f>
        <v>Cultivator</v>
      </c>
      <c r="C2746" s="464" t="s">
        <v>157</v>
      </c>
      <c r="D2746" s="166">
        <f>PubMachineryTables!$AO$54</f>
        <v>0</v>
      </c>
      <c r="E2746" s="166">
        <f>E2680</f>
        <v>0</v>
      </c>
      <c r="F2746" s="166">
        <f t="shared" si="226"/>
        <v>0</v>
      </c>
      <c r="G2746" s="163" t="e">
        <f t="shared" si="222"/>
        <v>#DIV/0!</v>
      </c>
    </row>
    <row r="2747" spans="2:7">
      <c r="B2747" s="463" t="str">
        <f>TillageOperations!$B$13</f>
        <v>Landplane</v>
      </c>
      <c r="C2747" s="464" t="s">
        <v>157</v>
      </c>
      <c r="D2747" s="166">
        <f>PubMachineryTables!$AO$55</f>
        <v>107.77752986339607</v>
      </c>
      <c r="E2747" s="166">
        <f>E2682</f>
        <v>0</v>
      </c>
      <c r="F2747" s="166">
        <f t="shared" si="226"/>
        <v>0</v>
      </c>
      <c r="G2747" s="163" t="e">
        <f t="shared" si="222"/>
        <v>#DIV/0!</v>
      </c>
    </row>
    <row r="2748" spans="2:7">
      <c r="B2748" s="463" t="str">
        <f>TillageOperations!$B$14</f>
        <v>Float</v>
      </c>
      <c r="C2748" s="464" t="s">
        <v>157</v>
      </c>
      <c r="D2748" s="166">
        <f>PubMachineryTables!$AO$56</f>
        <v>0</v>
      </c>
      <c r="E2748" s="166">
        <f>E2684</f>
        <v>0</v>
      </c>
      <c r="F2748" s="166">
        <f t="shared" si="226"/>
        <v>0</v>
      </c>
      <c r="G2748" s="163" t="e">
        <f t="shared" si="222"/>
        <v>#DIV/0!</v>
      </c>
    </row>
    <row r="2749" spans="2:7">
      <c r="B2749" s="463" t="str">
        <f>TillageOperations!$B$15</f>
        <v>Lister</v>
      </c>
      <c r="C2749" s="464" t="s">
        <v>157</v>
      </c>
      <c r="D2749" s="166">
        <f>PubMachineryTables!$AO$57</f>
        <v>72.676050764764099</v>
      </c>
      <c r="E2749" s="166">
        <f>E2686</f>
        <v>0</v>
      </c>
      <c r="F2749" s="166">
        <f t="shared" si="226"/>
        <v>0</v>
      </c>
      <c r="G2749" s="163" t="e">
        <f t="shared" si="222"/>
        <v>#DIV/0!</v>
      </c>
    </row>
    <row r="2750" spans="2:7">
      <c r="B2750" s="463" t="str">
        <f>TillageOperations!$B$16</f>
        <v>Bed Shaper</v>
      </c>
      <c r="C2750" s="464" t="s">
        <v>157</v>
      </c>
      <c r="D2750" s="166">
        <f>PubMachineryTables!$AO$58</f>
        <v>50.420091551988918</v>
      </c>
      <c r="E2750" s="166">
        <f>E2688</f>
        <v>0</v>
      </c>
      <c r="F2750" s="166">
        <f t="shared" si="226"/>
        <v>0</v>
      </c>
      <c r="G2750" s="163" t="e">
        <f t="shared" si="222"/>
        <v>#DIV/0!</v>
      </c>
    </row>
    <row r="2751" spans="2:7">
      <c r="B2751" s="463" t="str">
        <f>TillageOperations!$B$19</f>
        <v>Row Planter</v>
      </c>
      <c r="C2751" s="464" t="s">
        <v>157</v>
      </c>
      <c r="D2751" s="166">
        <f>PubMachineryTables!$AO$60</f>
        <v>218.60367298033367</v>
      </c>
      <c r="E2751" s="166">
        <f>E2690</f>
        <v>0</v>
      </c>
      <c r="F2751" s="166">
        <f t="shared" si="226"/>
        <v>0</v>
      </c>
      <c r="G2751" s="163" t="e">
        <f t="shared" si="222"/>
        <v>#DIV/0!</v>
      </c>
    </row>
    <row r="2752" spans="2:7">
      <c r="B2752" s="463" t="str">
        <f>TillageOperations!$B$20</f>
        <v>Row Cultivator</v>
      </c>
      <c r="C2752" s="464" t="s">
        <v>157</v>
      </c>
      <c r="D2752" s="166">
        <f>PubMachineryTables!$AO$61</f>
        <v>74.064902712939798</v>
      </c>
      <c r="E2752" s="166">
        <f>E2692</f>
        <v>0</v>
      </c>
      <c r="F2752" s="166">
        <f t="shared" si="226"/>
        <v>0</v>
      </c>
      <c r="G2752" s="163" t="e">
        <f t="shared" si="222"/>
        <v>#DIV/0!</v>
      </c>
    </row>
    <row r="2753" spans="2:7">
      <c r="B2753" s="465" t="str">
        <f>TillageOperations!$B$21</f>
        <v>Drill</v>
      </c>
      <c r="C2753" s="464" t="s">
        <v>157</v>
      </c>
      <c r="D2753" s="166">
        <f>PubMachineryTables!$AO$62</f>
        <v>51.837941761576523</v>
      </c>
      <c r="E2753" s="166">
        <f>E2694</f>
        <v>0</v>
      </c>
      <c r="F2753" s="166">
        <f t="shared" si="226"/>
        <v>0</v>
      </c>
      <c r="G2753" s="163" t="e">
        <f t="shared" ref="G2753:G2778" si="227">F2753/C$2619</f>
        <v>#DIV/0!</v>
      </c>
    </row>
    <row r="2754" spans="2:7">
      <c r="B2754" s="463" t="str">
        <f>TillageOperations!$B$27</f>
        <v>Cotton Picker</v>
      </c>
      <c r="C2754" s="464" t="s">
        <v>157</v>
      </c>
      <c r="D2754" s="166">
        <f>PubMachineryTables!$AO$67</f>
        <v>0</v>
      </c>
      <c r="E2754" s="166">
        <f>E2696</f>
        <v>0</v>
      </c>
      <c r="F2754" s="166">
        <f t="shared" si="226"/>
        <v>0</v>
      </c>
      <c r="G2754" s="163" t="e">
        <f t="shared" si="227"/>
        <v>#DIV/0!</v>
      </c>
    </row>
    <row r="2755" spans="2:7">
      <c r="B2755" s="463" t="str">
        <f>TillageOperations!$B$28</f>
        <v>Module Unit</v>
      </c>
      <c r="C2755" s="464" t="s">
        <v>157</v>
      </c>
      <c r="D2755" s="166">
        <f>PubMachineryTables!$AO$68</f>
        <v>0</v>
      </c>
      <c r="E2755" s="166">
        <f>E2698</f>
        <v>0</v>
      </c>
      <c r="F2755" s="166">
        <f t="shared" si="226"/>
        <v>0</v>
      </c>
      <c r="G2755" s="163" t="e">
        <f t="shared" si="227"/>
        <v>#DIV/0!</v>
      </c>
    </row>
    <row r="2756" spans="2:7">
      <c r="B2756" s="463" t="str">
        <f>TillageOperations!$B$29</f>
        <v>Haul Cotton</v>
      </c>
      <c r="C2756" s="464" t="s">
        <v>157</v>
      </c>
      <c r="D2756" s="166">
        <f>PubMachineryTables!$AO$69</f>
        <v>0</v>
      </c>
      <c r="E2756" s="166">
        <f>E2700</f>
        <v>0</v>
      </c>
      <c r="F2756" s="166">
        <f t="shared" si="226"/>
        <v>0</v>
      </c>
      <c r="G2756" s="163" t="e">
        <f t="shared" si="227"/>
        <v>#DIV/0!</v>
      </c>
    </row>
    <row r="2757" spans="2:7">
      <c r="B2757" s="465" t="str">
        <f>TillageOperations!$B$17</f>
        <v>Cotton Shredder/Root Puller</v>
      </c>
      <c r="C2757" s="464" t="s">
        <v>157</v>
      </c>
      <c r="D2757" s="166">
        <f>PubMachineryTables!$AO$59</f>
        <v>0</v>
      </c>
      <c r="E2757" s="166">
        <f>E2702</f>
        <v>0</v>
      </c>
      <c r="F2757" s="166">
        <f t="shared" si="226"/>
        <v>0</v>
      </c>
      <c r="G2757" s="163" t="e">
        <f t="shared" si="227"/>
        <v>#DIV/0!</v>
      </c>
    </row>
    <row r="2758" spans="2:7">
      <c r="B2758" s="102" t="str">
        <f>TillageOperations!$B$30</f>
        <v>Combine</v>
      </c>
      <c r="C2758" s="464" t="s">
        <v>157</v>
      </c>
      <c r="D2758" s="166">
        <f>PubMachineryTables!$AO$70</f>
        <v>154.43457969840463</v>
      </c>
      <c r="E2758" s="166">
        <f>E2704</f>
        <v>0</v>
      </c>
      <c r="F2758" s="166">
        <f>D2758*E2758</f>
        <v>0</v>
      </c>
      <c r="G2758" s="163" t="e">
        <f t="shared" si="227"/>
        <v>#DIV/0!</v>
      </c>
    </row>
    <row r="2759" spans="2:7">
      <c r="B2759" s="102" t="str">
        <f>TillageOperations!$B$31</f>
        <v>Grain Cart</v>
      </c>
      <c r="C2759" s="464" t="s">
        <v>157</v>
      </c>
      <c r="D2759" s="166">
        <f>PubMachineryTables!$AO$71</f>
        <v>25.28843211678571</v>
      </c>
      <c r="E2759" s="166">
        <f>E2706</f>
        <v>0</v>
      </c>
      <c r="F2759" s="166">
        <f>D2759*E2759</f>
        <v>0</v>
      </c>
      <c r="G2759" s="163" t="e">
        <f t="shared" si="227"/>
        <v>#DIV/0!</v>
      </c>
    </row>
    <row r="2760" spans="2:7">
      <c r="B2760" s="102" t="str">
        <f>TillageOperations!$B$32</f>
        <v>Swather</v>
      </c>
      <c r="C2760" s="464" t="s">
        <v>157</v>
      </c>
      <c r="D2760" s="166">
        <f>PubMachineryTables!$AO$72</f>
        <v>0</v>
      </c>
      <c r="E2760" s="166">
        <f>E2708</f>
        <v>0</v>
      </c>
      <c r="F2760" s="166">
        <f t="shared" ref="F2760:F2768" si="228">D2760*E2760</f>
        <v>0</v>
      </c>
      <c r="G2760" s="163" t="e">
        <f t="shared" si="227"/>
        <v>#DIV/0!</v>
      </c>
    </row>
    <row r="2761" spans="2:7">
      <c r="B2761" s="102" t="str">
        <f>TillageOperations!$B$33</f>
        <v>Baler</v>
      </c>
      <c r="C2761" s="464" t="s">
        <v>157</v>
      </c>
      <c r="D2761" s="166">
        <f>PubMachineryTables!$AO$73</f>
        <v>0</v>
      </c>
      <c r="E2761" s="166">
        <f>E2710</f>
        <v>0</v>
      </c>
      <c r="F2761" s="166">
        <f t="shared" si="228"/>
        <v>0</v>
      </c>
      <c r="G2761" s="163" t="e">
        <f t="shared" si="227"/>
        <v>#DIV/0!</v>
      </c>
    </row>
    <row r="2762" spans="2:7">
      <c r="B2762" s="102" t="str">
        <f>TillageOperations!$B$34</f>
        <v>Swather</v>
      </c>
      <c r="C2762" s="464" t="s">
        <v>157</v>
      </c>
      <c r="D2762" s="166">
        <f>PubMachineryTables!$AO$74</f>
        <v>0</v>
      </c>
      <c r="E2762" s="166">
        <f>E2712</f>
        <v>0</v>
      </c>
      <c r="F2762" s="166">
        <f t="shared" si="228"/>
        <v>0</v>
      </c>
      <c r="G2762" s="163" t="e">
        <f t="shared" si="227"/>
        <v>#DIV/0!</v>
      </c>
    </row>
    <row r="2763" spans="2:7">
      <c r="B2763" s="102" t="str">
        <f>TillageOperations!$B$35</f>
        <v>Baler</v>
      </c>
      <c r="C2763" s="464" t="s">
        <v>157</v>
      </c>
      <c r="D2763" s="166">
        <f>PubMachineryTables!$AO$75</f>
        <v>0</v>
      </c>
      <c r="E2763" s="166">
        <f>E2714</f>
        <v>0</v>
      </c>
      <c r="F2763" s="166">
        <f t="shared" si="228"/>
        <v>0</v>
      </c>
      <c r="G2763" s="163" t="e">
        <f t="shared" si="227"/>
        <v>#DIV/0!</v>
      </c>
    </row>
    <row r="2764" spans="2:7">
      <c r="B2764" s="102" t="str">
        <f>TillageOperations!$B$36</f>
        <v>Bale Wagon</v>
      </c>
      <c r="C2764" s="464" t="s">
        <v>157</v>
      </c>
      <c r="D2764" s="166">
        <f>PubMachineryTables!$AO$76</f>
        <v>0</v>
      </c>
      <c r="E2764" s="166">
        <f>E2717</f>
        <v>0</v>
      </c>
      <c r="F2764" s="166">
        <f t="shared" si="228"/>
        <v>0</v>
      </c>
      <c r="G2764" s="163" t="e">
        <f t="shared" si="227"/>
        <v>#DIV/0!</v>
      </c>
    </row>
    <row r="2765" spans="2:7">
      <c r="B2765" s="102" t="str">
        <f>TillageOperations!$B$23</f>
        <v>Fertilizer Spreader</v>
      </c>
      <c r="C2765" s="464" t="s">
        <v>157</v>
      </c>
      <c r="D2765" s="166">
        <f>PubMachineryTables!$AO$64</f>
        <v>93.913865291400512</v>
      </c>
      <c r="E2765" s="166">
        <f>E2719</f>
        <v>0</v>
      </c>
      <c r="F2765" s="166">
        <f t="shared" si="228"/>
        <v>0</v>
      </c>
      <c r="G2765" s="163" t="e">
        <f t="shared" si="227"/>
        <v>#DIV/0!</v>
      </c>
    </row>
    <row r="2766" spans="2:7">
      <c r="B2766" s="102" t="str">
        <f>TillageOperations!$B$24</f>
        <v>Fertilizer Injection System</v>
      </c>
      <c r="C2766" s="464" t="s">
        <v>157</v>
      </c>
      <c r="D2766" s="166">
        <f>PubMachineryTables!$AO$65</f>
        <v>0</v>
      </c>
      <c r="E2766" s="166">
        <f>E2721</f>
        <v>0</v>
      </c>
      <c r="F2766" s="166">
        <f t="shared" si="228"/>
        <v>0</v>
      </c>
      <c r="G2766" s="163" t="e">
        <f t="shared" si="227"/>
        <v>#DIV/0!</v>
      </c>
    </row>
    <row r="2767" spans="2:7">
      <c r="B2767" s="102" t="str">
        <f>TillageOperations!$B$25</f>
        <v>Boom Sprayer</v>
      </c>
      <c r="C2767" s="464" t="s">
        <v>157</v>
      </c>
      <c r="D2767" s="166">
        <f>PubMachineryTables!$AO$66</f>
        <v>9.6826493425933542</v>
      </c>
      <c r="E2767" s="166">
        <f>E2723</f>
        <v>0</v>
      </c>
      <c r="F2767" s="166">
        <f t="shared" si="228"/>
        <v>0</v>
      </c>
      <c r="G2767" s="163" t="e">
        <f t="shared" si="227"/>
        <v>#DIV/0!</v>
      </c>
    </row>
    <row r="2768" spans="2:7">
      <c r="B2768" s="102" t="str">
        <f>TillageOperations!$B$22</f>
        <v>Transplanter</v>
      </c>
      <c r="C2768" s="464" t="s">
        <v>157</v>
      </c>
      <c r="D2768" s="166">
        <f>PubMachineryTables!$AO$63</f>
        <v>0</v>
      </c>
      <c r="E2768" s="166">
        <f>E2725</f>
        <v>0</v>
      </c>
      <c r="F2768" s="166">
        <f t="shared" si="228"/>
        <v>0</v>
      </c>
      <c r="G2768" s="163" t="e">
        <f t="shared" si="227"/>
        <v>#DIV/0!</v>
      </c>
    </row>
    <row r="2769" spans="2:7">
      <c r="B2769" t="str">
        <f>'Inputs&amp;PricesbyCrop'!$B$39</f>
        <v>Crop Insurance</v>
      </c>
      <c r="C2769" s="464" t="s">
        <v>157</v>
      </c>
      <c r="D2769" s="166">
        <f>'Inputs&amp;PricesbyCrop'!$T$39</f>
        <v>0</v>
      </c>
      <c r="E2769" s="169">
        <f t="shared" ref="E2769:E2774" si="229">$C$2619</f>
        <v>0</v>
      </c>
      <c r="F2769" s="166">
        <f>D2769*E2769</f>
        <v>0</v>
      </c>
      <c r="G2769" s="163" t="e">
        <f t="shared" si="227"/>
        <v>#DIV/0!</v>
      </c>
    </row>
    <row r="2770" spans="2:7">
      <c r="B2770" t="str">
        <f>'Inputs&amp;PricesbyCrop'!$B$40</f>
        <v>Property Insurance</v>
      </c>
      <c r="C2770" s="464" t="s">
        <v>157</v>
      </c>
      <c r="D2770" s="166">
        <f>'Inputs&amp;PricesbyCrop'!$T$40</f>
        <v>0</v>
      </c>
      <c r="E2770" s="169">
        <f t="shared" si="229"/>
        <v>0</v>
      </c>
      <c r="F2770" s="166">
        <f>D2770*E2770</f>
        <v>0</v>
      </c>
      <c r="G2770" s="163" t="e">
        <f t="shared" si="227"/>
        <v>#DIV/0!</v>
      </c>
    </row>
    <row r="2771" spans="2:7">
      <c r="B2771" t="str">
        <f>'Inputs&amp;PricesbyCrop'!$B$41</f>
        <v>Property Taxes</v>
      </c>
      <c r="C2771" s="464" t="s">
        <v>157</v>
      </c>
      <c r="D2771" s="166">
        <f>'Inputs&amp;PricesbyCrop'!$T$41</f>
        <v>0</v>
      </c>
      <c r="E2771" s="169">
        <f t="shared" si="229"/>
        <v>0</v>
      </c>
      <c r="F2771" s="166">
        <f t="shared" ref="F2771:F2774" si="230">D2771*E2771</f>
        <v>0</v>
      </c>
      <c r="G2771" s="163" t="e">
        <f t="shared" si="227"/>
        <v>#DIV/0!</v>
      </c>
    </row>
    <row r="2772" spans="2:7">
      <c r="B2772" t="str">
        <f>'Inputs&amp;PricesbyCrop'!$B$42</f>
        <v>Annual Cash Rent Payment</v>
      </c>
      <c r="C2772" s="464" t="s">
        <v>157</v>
      </c>
      <c r="D2772" s="166">
        <f>'Inputs&amp;PricesbyCrop'!$T$42</f>
        <v>170</v>
      </c>
      <c r="E2772" s="169">
        <f t="shared" si="229"/>
        <v>0</v>
      </c>
      <c r="F2772" s="166">
        <f t="shared" si="230"/>
        <v>0</v>
      </c>
      <c r="G2772" s="163" t="e">
        <f t="shared" si="227"/>
        <v>#DIV/0!</v>
      </c>
    </row>
    <row r="2773" spans="2:7">
      <c r="B2773" t="s">
        <v>484</v>
      </c>
      <c r="C2773" s="464" t="s">
        <v>157</v>
      </c>
      <c r="D2773" s="166">
        <f>'Sheet #17'!I105</f>
        <v>0</v>
      </c>
      <c r="E2773" s="169">
        <f t="shared" si="229"/>
        <v>0</v>
      </c>
      <c r="F2773" s="166">
        <f t="shared" ref="F2773" si="231">D2773*E2773</f>
        <v>0</v>
      </c>
      <c r="G2773" s="163" t="e">
        <f t="shared" si="227"/>
        <v>#DIV/0!</v>
      </c>
    </row>
    <row r="2774" spans="2:7">
      <c r="B2774" t="str">
        <f>'Inputs&amp;PricesbyCrop'!$B$49</f>
        <v>Licenses and Fees</v>
      </c>
      <c r="C2774" s="464" t="s">
        <v>157</v>
      </c>
      <c r="D2774" s="166">
        <f>'Inputs&amp;PricesbyCrop'!$T$49</f>
        <v>0</v>
      </c>
      <c r="E2774" s="169">
        <f t="shared" si="229"/>
        <v>0</v>
      </c>
      <c r="F2774" s="170">
        <f t="shared" si="230"/>
        <v>0</v>
      </c>
      <c r="G2774" s="163" t="e">
        <f t="shared" si="227"/>
        <v>#DIV/0!</v>
      </c>
    </row>
    <row r="2775" spans="2:7">
      <c r="B2775" t="s">
        <v>131</v>
      </c>
      <c r="D2775" s="454"/>
      <c r="F2775" s="37">
        <f>SUM(F2738:F2774)</f>
        <v>0</v>
      </c>
      <c r="G2775" s="163" t="e">
        <f t="shared" si="227"/>
        <v>#DIV/0!</v>
      </c>
    </row>
    <row r="2776" spans="2:7">
      <c r="D2776" s="454"/>
      <c r="G2776" s="163" t="e">
        <f t="shared" si="227"/>
        <v>#DIV/0!</v>
      </c>
    </row>
    <row r="2777" spans="2:7">
      <c r="B2777" t="s">
        <v>63</v>
      </c>
      <c r="D2777" s="454"/>
      <c r="F2777" s="37">
        <f>F2775+F2735</f>
        <v>0</v>
      </c>
      <c r="G2777" s="163" t="e">
        <f t="shared" si="227"/>
        <v>#DIV/0!</v>
      </c>
    </row>
    <row r="2778" spans="2:7">
      <c r="B2778" t="s">
        <v>64</v>
      </c>
      <c r="D2778" s="454"/>
      <c r="F2778" s="37">
        <f>F2624-F2777</f>
        <v>0</v>
      </c>
      <c r="G2778" s="163" t="e">
        <f t="shared" si="227"/>
        <v>#DIV/0!</v>
      </c>
    </row>
    <row r="2779" spans="2:7">
      <c r="B2779" s="249" t="s">
        <v>276</v>
      </c>
      <c r="C2779" s="249" t="s">
        <v>4</v>
      </c>
      <c r="D2779" s="250" t="s">
        <v>277</v>
      </c>
      <c r="E2779" s="249" t="s">
        <v>278</v>
      </c>
      <c r="F2779" s="249" t="s">
        <v>279</v>
      </c>
      <c r="G2779" s="249"/>
    </row>
    <row r="2780" spans="2:7">
      <c r="B2780" s="135" t="str">
        <f>B2785</f>
        <v>Alfalfa Hay Estab.</v>
      </c>
      <c r="D2780" s="454"/>
    </row>
    <row r="2781" spans="2:7">
      <c r="B2781" t="s">
        <v>16</v>
      </c>
      <c r="C2781" s="457">
        <f>IF('AcresYieldsPrices&amp;Water'!D19=0,0,'AcresYieldsPrices&amp;Water'!D19)</f>
        <v>0</v>
      </c>
      <c r="D2781" s="454" t="s">
        <v>17</v>
      </c>
    </row>
    <row r="2782" spans="2:7">
      <c r="D2782" s="454"/>
    </row>
    <row r="2783" spans="2:7">
      <c r="B2783" t="s">
        <v>22</v>
      </c>
      <c r="D2783" s="454"/>
    </row>
    <row r="2784" spans="2:7">
      <c r="B2784" s="455" t="s">
        <v>23</v>
      </c>
      <c r="C2784" s="458" t="s">
        <v>1</v>
      </c>
      <c r="D2784" s="459" t="s">
        <v>24</v>
      </c>
      <c r="E2784" s="460" t="s">
        <v>25</v>
      </c>
      <c r="F2784" s="460" t="s">
        <v>0</v>
      </c>
      <c r="G2784" s="277"/>
    </row>
    <row r="2785" spans="2:7">
      <c r="B2785" t="str">
        <f>'AcresYieldsPrices&amp;Water'!J21</f>
        <v>Alfalfa Hay Estab.</v>
      </c>
      <c r="C2785" s="466" t="str">
        <f>'AcresYieldsPrices&amp;Water'!L21</f>
        <v>ton</v>
      </c>
      <c r="D2785" s="454">
        <f>'AcresYieldsPrices&amp;Water'!$M$21</f>
        <v>250</v>
      </c>
      <c r="E2785" s="462">
        <f>'AcresYieldsPrices&amp;Water'!$N$21*$C$2781</f>
        <v>0</v>
      </c>
      <c r="F2785" s="136">
        <f>D2785*E2785</f>
        <v>0</v>
      </c>
      <c r="G2785" s="136"/>
    </row>
    <row r="2786" spans="2:7">
      <c r="B2786" t="s">
        <v>27</v>
      </c>
      <c r="D2786" s="454"/>
      <c r="F2786" s="37">
        <f>SUM(F2785:F2785)</f>
        <v>0</v>
      </c>
      <c r="G2786" s="163" t="e">
        <f>F2786/C$2781</f>
        <v>#DIV/0!</v>
      </c>
    </row>
    <row r="2787" spans="2:7">
      <c r="D2787" s="454"/>
      <c r="G2787" s="163" t="e">
        <f t="shared" ref="G2787:G2850" si="232">F2787/C$2781</f>
        <v>#DIV/0!</v>
      </c>
    </row>
    <row r="2788" spans="2:7">
      <c r="B2788" s="455" t="s">
        <v>62</v>
      </c>
      <c r="C2788" s="458" t="s">
        <v>1</v>
      </c>
      <c r="D2788" s="459" t="s">
        <v>24</v>
      </c>
      <c r="E2788" s="460" t="s">
        <v>25</v>
      </c>
      <c r="F2788" s="460" t="s">
        <v>0</v>
      </c>
      <c r="G2788" s="163" t="e">
        <f t="shared" si="232"/>
        <v>#VALUE!</v>
      </c>
    </row>
    <row r="2789" spans="2:7">
      <c r="B2789" t="str">
        <f>'Inputs&amp;PricesbyCrop'!B$82</f>
        <v xml:space="preserve">   - Seed</v>
      </c>
      <c r="C2789" s="137" t="str">
        <f>'Inputs&amp;PricesbyCrop'!C$54</f>
        <v>acre</v>
      </c>
      <c r="D2789" s="454">
        <f>'Inputs&amp;PricesbyCrop'!$U$5</f>
        <v>140</v>
      </c>
      <c r="E2789" s="462">
        <f>'Inputs&amp;PricesbyCrop'!$U$6*$C$2781</f>
        <v>0</v>
      </c>
      <c r="F2789" s="37">
        <f t="shared" ref="F2789:F2813" si="233">D2789*E2789</f>
        <v>0</v>
      </c>
      <c r="G2789" s="163" t="e">
        <f t="shared" si="232"/>
        <v>#DIV/0!</v>
      </c>
    </row>
    <row r="2790" spans="2:7">
      <c r="B2790" t="str">
        <f>GeneralInputPrices!$B$3</f>
        <v xml:space="preserve">   - Inoculant</v>
      </c>
      <c r="C2790" s="137" t="str">
        <f>GeneralInputPrices!$C$3</f>
        <v>pounds</v>
      </c>
      <c r="D2790" s="166">
        <f>GeneralInputPrices!$D$3</f>
        <v>3</v>
      </c>
      <c r="E2790" s="166">
        <f>'Inputs&amp;PricesbyCrop'!$U$22*$C$2781</f>
        <v>0</v>
      </c>
      <c r="F2790" s="166">
        <f t="shared" si="233"/>
        <v>0</v>
      </c>
      <c r="G2790" s="163" t="e">
        <f t="shared" si="232"/>
        <v>#DIV/0!</v>
      </c>
    </row>
    <row r="2791" spans="2:7">
      <c r="B2791" t="str">
        <f>GeneralInputPrices!B$5</f>
        <v xml:space="preserve">   - Nitrogen</v>
      </c>
      <c r="C2791" s="137" t="str">
        <f>GeneralInputPrices!$C$5</f>
        <v>pounds</v>
      </c>
      <c r="D2791" s="166">
        <f>GeneralInputPrices!$D$5</f>
        <v>0.46</v>
      </c>
      <c r="E2791" s="166">
        <f>'Inputs&amp;PricesbyCrop'!$U$23*$C$2781</f>
        <v>0</v>
      </c>
      <c r="F2791" s="166">
        <f t="shared" si="233"/>
        <v>0</v>
      </c>
      <c r="G2791" s="163" t="e">
        <f t="shared" si="232"/>
        <v>#DIV/0!</v>
      </c>
    </row>
    <row r="2792" spans="2:7">
      <c r="B2792" t="str">
        <f>GeneralInputPrices!B$6</f>
        <v xml:space="preserve">   - Phosphorus</v>
      </c>
      <c r="C2792" s="137" t="str">
        <f>GeneralInputPrices!$C$6</f>
        <v>pounds</v>
      </c>
      <c r="D2792" s="166">
        <f>GeneralInputPrices!$D$6</f>
        <v>0.36</v>
      </c>
      <c r="E2792" s="166">
        <f>'Inputs&amp;PricesbyCrop'!$U$24*$C$2781</f>
        <v>0</v>
      </c>
      <c r="F2792" s="166">
        <f t="shared" si="233"/>
        <v>0</v>
      </c>
      <c r="G2792" s="163" t="e">
        <f t="shared" si="232"/>
        <v>#DIV/0!</v>
      </c>
    </row>
    <row r="2793" spans="2:7">
      <c r="B2793" t="str">
        <f>GeneralInputPrices!B$7</f>
        <v xml:space="preserve">   - Anhydrous Ammonia</v>
      </c>
      <c r="C2793" s="137" t="str">
        <f>GeneralInputPrices!$C$7</f>
        <v>pounds</v>
      </c>
      <c r="D2793" s="166">
        <f>GeneralInputPrices!$D$7</f>
        <v>0.21</v>
      </c>
      <c r="E2793" s="166">
        <f>'Inputs&amp;PricesbyCrop'!$U$25*$C$2781</f>
        <v>0</v>
      </c>
      <c r="F2793" s="166">
        <f t="shared" si="233"/>
        <v>0</v>
      </c>
      <c r="G2793" s="163" t="e">
        <f t="shared" si="232"/>
        <v>#DIV/0!</v>
      </c>
    </row>
    <row r="2794" spans="2:7">
      <c r="B2794" t="str">
        <f>GeneralInputPrices!$B$8</f>
        <v xml:space="preserve">   - Trace Elements</v>
      </c>
      <c r="C2794" s="137" t="str">
        <f>GeneralInputPrices!$C$8</f>
        <v>pounds</v>
      </c>
      <c r="D2794" s="166">
        <f>GeneralInputPrices!$D$8</f>
        <v>0.24</v>
      </c>
      <c r="E2794" s="166">
        <f>'Inputs&amp;PricesbyCrop'!$U$26*$C$2781</f>
        <v>0</v>
      </c>
      <c r="F2794" s="166">
        <f t="shared" si="233"/>
        <v>0</v>
      </c>
      <c r="G2794" s="163" t="e">
        <f t="shared" si="232"/>
        <v>#DIV/0!</v>
      </c>
    </row>
    <row r="2795" spans="2:7">
      <c r="B2795" t="str">
        <f>'Inputs&amp;PricesbyCrop'!$B$32</f>
        <v xml:space="preserve">   - Nitrogen</v>
      </c>
      <c r="C2795" s="137" t="str">
        <f>'Inputs&amp;PricesbyCrop'!$C$32</f>
        <v>acre</v>
      </c>
      <c r="D2795" s="166">
        <f>'Inputs&amp;PricesbyCrop'!$U$32</f>
        <v>68</v>
      </c>
      <c r="E2795" s="166">
        <f>$C$2781</f>
        <v>0</v>
      </c>
      <c r="F2795" s="166">
        <f t="shared" si="233"/>
        <v>0</v>
      </c>
      <c r="G2795" s="163" t="e">
        <f t="shared" si="232"/>
        <v>#DIV/0!</v>
      </c>
    </row>
    <row r="2796" spans="2:7">
      <c r="B2796" t="str">
        <f>'Inputs&amp;PricesbyCrop'!$B$33</f>
        <v xml:space="preserve">   - Phosphorus</v>
      </c>
      <c r="C2796" s="137" t="str">
        <f>'Inputs&amp;PricesbyCrop'!$C$33</f>
        <v>acre</v>
      </c>
      <c r="D2796" s="166">
        <f>'Inputs&amp;PricesbyCrop'!$U$33</f>
        <v>0</v>
      </c>
      <c r="E2796" s="166">
        <f>$C$2781</f>
        <v>0</v>
      </c>
      <c r="F2796" s="166">
        <f t="shared" si="233"/>
        <v>0</v>
      </c>
      <c r="G2796" s="163" t="e">
        <f t="shared" si="232"/>
        <v>#DIV/0!</v>
      </c>
    </row>
    <row r="2797" spans="2:7">
      <c r="B2797" t="str">
        <f>'Inputs&amp;PricesbyCrop'!$B$34</f>
        <v xml:space="preserve">   - Fertilizer - Anhydrous Applicator</v>
      </c>
      <c r="C2797" s="137" t="str">
        <f>'Inputs&amp;PricesbyCrop'!$C$34</f>
        <v>acre</v>
      </c>
      <c r="D2797" s="166">
        <f>'Inputs&amp;PricesbyCrop'!$U$34</f>
        <v>0</v>
      </c>
      <c r="E2797" s="166">
        <f>$C$2781</f>
        <v>0</v>
      </c>
      <c r="F2797" s="166">
        <f t="shared" si="233"/>
        <v>0</v>
      </c>
      <c r="G2797" s="163" t="e">
        <f t="shared" si="232"/>
        <v>#DIV/0!</v>
      </c>
    </row>
    <row r="2798" spans="2:7">
      <c r="B2798" t="str">
        <f>GeneralInputPrices!$B$10</f>
        <v xml:space="preserve">   - Prowl</v>
      </c>
      <c r="C2798" s="137" t="str">
        <f>GeneralInputPrices!$C$10</f>
        <v>pints</v>
      </c>
      <c r="D2798" s="166">
        <f>GeneralInputPrices!$D$10</f>
        <v>6.0625</v>
      </c>
      <c r="E2798" s="166">
        <f>'Inputs&amp;PricesbyCrop'!$U$27*$C$2781</f>
        <v>0</v>
      </c>
      <c r="F2798" s="166">
        <f t="shared" si="233"/>
        <v>0</v>
      </c>
      <c r="G2798" s="163" t="e">
        <f t="shared" si="232"/>
        <v>#DIV/0!</v>
      </c>
    </row>
    <row r="2799" spans="2:7">
      <c r="B2799" t="str">
        <f>GeneralInputPrices!$B$11</f>
        <v xml:space="preserve">   - Aim</v>
      </c>
      <c r="C2799" s="137" t="str">
        <f>GeneralInputPrices!$C$11</f>
        <v>ounces</v>
      </c>
      <c r="D2799" s="166">
        <f>GeneralInputPrices!$D$11</f>
        <v>5.9375</v>
      </c>
      <c r="E2799" s="166">
        <f>'Inputs&amp;PricesbyCrop'!$U$28*$C$2781</f>
        <v>0</v>
      </c>
      <c r="F2799" s="166">
        <f t="shared" si="233"/>
        <v>0</v>
      </c>
      <c r="G2799" s="163" t="e">
        <f t="shared" si="232"/>
        <v>#DIV/0!</v>
      </c>
    </row>
    <row r="2800" spans="2:7">
      <c r="B2800" t="str">
        <f>GeneralInputPrices!$B$12</f>
        <v xml:space="preserve">   - Fusilade</v>
      </c>
      <c r="C2800" s="137" t="str">
        <f>GeneralInputPrices!$C$12</f>
        <v>ounces</v>
      </c>
      <c r="D2800" s="166">
        <f>GeneralInputPrices!$D$12</f>
        <v>1.25</v>
      </c>
      <c r="E2800" s="166">
        <f>'Inputs&amp;PricesbyCrop'!$U$29*$C$2781</f>
        <v>0</v>
      </c>
      <c r="F2800" s="166">
        <f t="shared" si="233"/>
        <v>0</v>
      </c>
      <c r="G2800" s="163" t="e">
        <f t="shared" si="232"/>
        <v>#DIV/0!</v>
      </c>
    </row>
    <row r="2801" spans="2:7">
      <c r="B2801" t="str">
        <f>'Inputs&amp;PricesbyCrop'!$B$35</f>
        <v xml:space="preserve">   - Herbicides</v>
      </c>
      <c r="C2801" s="137" t="str">
        <f>'Inputs&amp;PricesbyCrop'!$C$35</f>
        <v>acre</v>
      </c>
      <c r="D2801" s="166">
        <f>'Inputs&amp;PricesbyCrop'!$U$35</f>
        <v>50</v>
      </c>
      <c r="E2801" s="166">
        <f>$C$2781</f>
        <v>0</v>
      </c>
      <c r="F2801" s="166">
        <f t="shared" si="233"/>
        <v>0</v>
      </c>
      <c r="G2801" s="163" t="e">
        <f t="shared" si="232"/>
        <v>#DIV/0!</v>
      </c>
    </row>
    <row r="2802" spans="2:7">
      <c r="B2802" t="str">
        <f>'Inputs&amp;PricesbyCrop'!$B$36</f>
        <v xml:space="preserve">   - Herbicide - #2</v>
      </c>
      <c r="C2802" s="137" t="str">
        <f>'Inputs&amp;PricesbyCrop'!$C$36</f>
        <v>acre</v>
      </c>
      <c r="D2802" s="166">
        <f>'Inputs&amp;PricesbyCrop'!$U$36</f>
        <v>0</v>
      </c>
      <c r="E2802" s="166">
        <f>$C$2781</f>
        <v>0</v>
      </c>
      <c r="F2802" s="166">
        <f t="shared" si="233"/>
        <v>0</v>
      </c>
      <c r="G2802" s="163" t="e">
        <f t="shared" si="232"/>
        <v>#DIV/0!</v>
      </c>
    </row>
    <row r="2803" spans="2:7">
      <c r="B2803" t="str">
        <f>'Inputs&amp;PricesbyCrop'!$B$37</f>
        <v xml:space="preserve">   - Insecticides</v>
      </c>
      <c r="C2803" s="137" t="str">
        <f>'Inputs&amp;PricesbyCrop'!$C$37</f>
        <v>acre</v>
      </c>
      <c r="D2803" s="166">
        <f>'Inputs&amp;PricesbyCrop'!$U$37</f>
        <v>40</v>
      </c>
      <c r="E2803" s="166">
        <f>$C$2781</f>
        <v>0</v>
      </c>
      <c r="F2803" s="166">
        <f t="shared" si="233"/>
        <v>0</v>
      </c>
      <c r="G2803" s="163" t="e">
        <f t="shared" si="232"/>
        <v>#DIV/0!</v>
      </c>
    </row>
    <row r="2804" spans="2:7">
      <c r="B2804" t="str">
        <f>'Inputs&amp;PricesbyCrop'!$B$38</f>
        <v xml:space="preserve">   - Insecticide - #2</v>
      </c>
      <c r="C2804" s="137" t="str">
        <f>'Inputs&amp;PricesbyCrop'!$C$38</f>
        <v>acre</v>
      </c>
      <c r="D2804" s="166">
        <f>'Inputs&amp;PricesbyCrop'!$U$38</f>
        <v>0</v>
      </c>
      <c r="E2804" s="166">
        <f>$C$2781</f>
        <v>0</v>
      </c>
      <c r="F2804" s="166">
        <f t="shared" si="233"/>
        <v>0</v>
      </c>
      <c r="G2804" s="163" t="e">
        <f t="shared" si="232"/>
        <v>#DIV/0!</v>
      </c>
    </row>
    <row r="2805" spans="2:7">
      <c r="B2805" t="str">
        <f>'Inputs&amp;PricesbyCrop'!$B$7</f>
        <v>Flood - Irrigation Water</v>
      </c>
      <c r="C2805" s="137" t="str">
        <f>'Inputs&amp;PricesbyCrop'!$C$7</f>
        <v>ac ft</v>
      </c>
      <c r="D2805" s="166">
        <f>GeneralInputPrices!$D$13</f>
        <v>55</v>
      </c>
      <c r="E2805" s="102">
        <f>('AcresYieldsPrices&amp;Water'!$E$19*'Inputs&amp;PricesbyCrop'!$U$7)*$C2781</f>
        <v>0</v>
      </c>
      <c r="F2805" s="166">
        <f t="shared" si="233"/>
        <v>0</v>
      </c>
      <c r="G2805" s="163" t="e">
        <f t="shared" si="232"/>
        <v>#DIV/0!</v>
      </c>
    </row>
    <row r="2806" spans="2:7">
      <c r="B2806" t="str">
        <f>'Inputs&amp;PricesbyCrop'!$B$8</f>
        <v>Flood - Irrigation Labor</v>
      </c>
      <c r="C2806" s="137" t="str">
        <f>'Inputs&amp;PricesbyCrop'!$C$8</f>
        <v>hour</v>
      </c>
      <c r="D2806" s="166">
        <f>GeneralInputPrices!$D$28</f>
        <v>14.55</v>
      </c>
      <c r="E2806" s="166">
        <f>('AcresYieldsPrices&amp;Water'!$E$19*'Inputs&amp;PricesbyCrop'!$U$8)*$C2781</f>
        <v>0</v>
      </c>
      <c r="F2806" s="166">
        <f t="shared" si="233"/>
        <v>0</v>
      </c>
      <c r="G2806" s="163" t="e">
        <f t="shared" si="232"/>
        <v>#DIV/0!</v>
      </c>
    </row>
    <row r="2807" spans="2:7">
      <c r="B2807" t="str">
        <f>GeneralInputPrices!$B$18</f>
        <v xml:space="preserve">   - Annual Repairs &amp; Maintenance</v>
      </c>
      <c r="C2807" s="453" t="str">
        <f>GeneralInputPrices!$C$18</f>
        <v>acre</v>
      </c>
      <c r="D2807" s="166">
        <f>GeneralInputPrices!$D$18</f>
        <v>3</v>
      </c>
      <c r="E2807" s="166">
        <f>'AcresYieldsPrices&amp;Water'!$E$19*$C2781</f>
        <v>0</v>
      </c>
      <c r="F2807" s="166">
        <f t="shared" si="233"/>
        <v>0</v>
      </c>
      <c r="G2807" s="163" t="e">
        <f t="shared" si="232"/>
        <v>#DIV/0!</v>
      </c>
    </row>
    <row r="2808" spans="2:7">
      <c r="B2808" t="str">
        <f>'Inputs&amp;PricesbyCrop'!$B$9</f>
        <v>Drip-tape - Irrigation Water</v>
      </c>
      <c r="C2808" s="137" t="str">
        <f>'Inputs&amp;PricesbyCrop'!$C$9</f>
        <v>ac ft</v>
      </c>
      <c r="D2808" s="166">
        <f>GeneralInputPrices!$D$13</f>
        <v>55</v>
      </c>
      <c r="E2808" s="166">
        <f>('AcresYieldsPrices&amp;Water'!$F$19*'Inputs&amp;PricesbyCrop'!$U$9)*$C2781</f>
        <v>0</v>
      </c>
      <c r="F2808" s="166">
        <f t="shared" si="233"/>
        <v>0</v>
      </c>
      <c r="G2808" s="163" t="e">
        <f t="shared" si="232"/>
        <v>#DIV/0!</v>
      </c>
    </row>
    <row r="2809" spans="2:7">
      <c r="B2809" t="str">
        <f>'Inputs&amp;PricesbyCrop'!$B$10</f>
        <v>Drip-tape - Irrigation Labor</v>
      </c>
      <c r="C2809" s="137" t="str">
        <f>'Inputs&amp;PricesbyCrop'!$C$10</f>
        <v>hour</v>
      </c>
      <c r="D2809" s="166">
        <f>GeneralInputPrices!$D$28</f>
        <v>14.55</v>
      </c>
      <c r="E2809" s="166">
        <f>('AcresYieldsPrices&amp;Water'!$F$19*'Inputs&amp;PricesbyCrop'!$U$10)*$C2781</f>
        <v>0</v>
      </c>
      <c r="F2809" s="166">
        <f t="shared" si="233"/>
        <v>0</v>
      </c>
      <c r="G2809" s="163" t="e">
        <f t="shared" si="232"/>
        <v>#DIV/0!</v>
      </c>
    </row>
    <row r="2810" spans="2:7">
      <c r="B2810" t="str">
        <f>GeneralInputPrices!$B$22</f>
        <v xml:space="preserve">   - Annual Repairs &amp; Maintenance</v>
      </c>
      <c r="C2810" s="453" t="str">
        <f>GeneralInputPrices!$C$22</f>
        <v>acre</v>
      </c>
      <c r="D2810" s="166">
        <f>GeneralInputPrices!$D$22</f>
        <v>7.5</v>
      </c>
      <c r="E2810" s="166">
        <f>'AcresYieldsPrices&amp;Water'!$F$19*C2781</f>
        <v>0</v>
      </c>
      <c r="F2810" s="166">
        <f t="shared" si="233"/>
        <v>0</v>
      </c>
      <c r="G2810" s="163" t="e">
        <f t="shared" si="232"/>
        <v>#DIV/0!</v>
      </c>
    </row>
    <row r="2811" spans="2:7">
      <c r="B2811" t="str">
        <f>'Inputs&amp;PricesbyCrop'!$B$11</f>
        <v>Sprinkler - Irrigation Water</v>
      </c>
      <c r="C2811" s="137" t="str">
        <f>'Inputs&amp;PricesbyCrop'!$C$11</f>
        <v>ac ft</v>
      </c>
      <c r="D2811" s="166">
        <f>GeneralInputPrices!$D$13</f>
        <v>55</v>
      </c>
      <c r="E2811" s="166">
        <f>('AcresYieldsPrices&amp;Water'!$G$19*'Inputs&amp;PricesbyCrop'!$U$11)*$C2781</f>
        <v>0</v>
      </c>
      <c r="F2811" s="166">
        <f t="shared" si="233"/>
        <v>0</v>
      </c>
      <c r="G2811" s="163" t="e">
        <f t="shared" si="232"/>
        <v>#DIV/0!</v>
      </c>
    </row>
    <row r="2812" spans="2:7">
      <c r="B2812" t="str">
        <f>'Inputs&amp;PricesbyCrop'!$B$12</f>
        <v>Sprinkler - Irrigation Labor</v>
      </c>
      <c r="C2812" s="137" t="str">
        <f>'Inputs&amp;PricesbyCrop'!$C$12</f>
        <v>hour</v>
      </c>
      <c r="D2812" s="166">
        <f>GeneralInputPrices!$D$28</f>
        <v>14.55</v>
      </c>
      <c r="E2812" s="166">
        <f>('AcresYieldsPrices&amp;Water'!$G$19*'Inputs&amp;PricesbyCrop'!$U$12)*$C2781</f>
        <v>0</v>
      </c>
      <c r="F2812" s="166">
        <f t="shared" si="233"/>
        <v>0</v>
      </c>
      <c r="G2812" s="163" t="e">
        <f t="shared" si="232"/>
        <v>#DIV/0!</v>
      </c>
    </row>
    <row r="2813" spans="2:7">
      <c r="B2813" t="str">
        <f>GeneralInputPrices!$B$26</f>
        <v xml:space="preserve">   - Annual Repairs &amp; Maintenance</v>
      </c>
      <c r="C2813" s="453" t="str">
        <f>GeneralInputPrices!$C$26</f>
        <v>acre</v>
      </c>
      <c r="D2813" s="166">
        <f>GeneralInputPrices!$D$26</f>
        <v>15</v>
      </c>
      <c r="E2813" s="166">
        <f>'AcresYieldsPrices&amp;Water'!$G$19*$C2781</f>
        <v>0</v>
      </c>
      <c r="F2813" s="166">
        <f t="shared" si="233"/>
        <v>0</v>
      </c>
      <c r="G2813" s="163" t="e">
        <f t="shared" si="232"/>
        <v>#DIV/0!</v>
      </c>
    </row>
    <row r="2814" spans="2:7">
      <c r="B2814" t="str">
        <f>CustomOperations!$B$37</f>
        <v>Harvest, Custom</v>
      </c>
      <c r="C2814" s="137" t="str">
        <f>'Inputs&amp;PricesbyCrop'!$C$102</f>
        <v>tons</v>
      </c>
      <c r="D2814" s="166">
        <f>CustomOperations!$U$37</f>
        <v>75</v>
      </c>
      <c r="E2814" s="166">
        <f>CustomOperations!$U$38*$C$2781</f>
        <v>0</v>
      </c>
      <c r="F2814" s="166">
        <f t="shared" ref="F2814:F2828" si="234">D2814*E2814</f>
        <v>0</v>
      </c>
      <c r="G2814" s="163" t="e">
        <f t="shared" si="232"/>
        <v>#DIV/0!</v>
      </c>
    </row>
    <row r="2815" spans="2:7">
      <c r="B2815" t="str">
        <f>CustomOperations!$B$39</f>
        <v>Hauling, Custom</v>
      </c>
      <c r="C2815" s="137" t="str">
        <f>CustomOperations!$C$39</f>
        <v>mile</v>
      </c>
      <c r="D2815" s="166">
        <f>CustomOperations!$U$39</f>
        <v>0</v>
      </c>
      <c r="E2815" s="166">
        <f>CustomOperations!$U$40*$C$2781</f>
        <v>0</v>
      </c>
      <c r="F2815" s="166">
        <f t="shared" si="234"/>
        <v>0</v>
      </c>
      <c r="G2815" s="163" t="e">
        <f t="shared" si="232"/>
        <v>#DIV/0!</v>
      </c>
    </row>
    <row r="2816" spans="2:7">
      <c r="B2816" t="str">
        <f>CustomOperations!$B$41</f>
        <v>Gin Cotton/Drying/Swathing, Custom</v>
      </c>
      <c r="C2816" s="137" t="str">
        <f>CustomOperations!$C$41</f>
        <v>bale</v>
      </c>
      <c r="D2816" s="166">
        <f>CustomOperations!$U$41</f>
        <v>0</v>
      </c>
      <c r="E2816" s="166">
        <f>CustomOperations!$U$42*$C$2781</f>
        <v>0</v>
      </c>
      <c r="F2816" s="166">
        <f t="shared" si="234"/>
        <v>0</v>
      </c>
      <c r="G2816" s="163" t="e">
        <f t="shared" si="232"/>
        <v>#DIV/0!</v>
      </c>
    </row>
    <row r="2817" spans="2:7">
      <c r="B2817" t="str">
        <f>CustomOperations!$B$24</f>
        <v>Drill, Custom</v>
      </c>
      <c r="C2817" s="137" t="str">
        <f>CustomOperations!$C$24</f>
        <v>acre</v>
      </c>
      <c r="D2817" s="166">
        <f>CustomOperations!$U$24</f>
        <v>0</v>
      </c>
      <c r="E2817" s="166">
        <f>CustomOperations!$U$25*$C$2781</f>
        <v>0</v>
      </c>
      <c r="F2817" s="166">
        <f t="shared" si="234"/>
        <v>0</v>
      </c>
      <c r="G2817" s="163" t="e">
        <f t="shared" si="232"/>
        <v>#DIV/0!</v>
      </c>
    </row>
    <row r="2818" spans="2:7">
      <c r="B2818" t="str">
        <f>CustomOperations!$B$26</f>
        <v>Row Planter, Custom</v>
      </c>
      <c r="C2818" s="137" t="str">
        <f>CustomOperations!$C$26</f>
        <v>acre</v>
      </c>
      <c r="D2818" s="166">
        <f>CustomOperations!$U$26</f>
        <v>0</v>
      </c>
      <c r="E2818" s="166">
        <f>CustomOperations!$U$27*$C$2781</f>
        <v>0</v>
      </c>
      <c r="F2818" s="166">
        <f t="shared" si="234"/>
        <v>0</v>
      </c>
      <c r="G2818" s="163" t="e">
        <f t="shared" si="232"/>
        <v>#DIV/0!</v>
      </c>
    </row>
    <row r="2819" spans="2:7">
      <c r="B2819" t="str">
        <f>CustomOperations!$B$28</f>
        <v>Row Cultivator, Custom</v>
      </c>
      <c r="C2819" s="137" t="str">
        <f>CustomOperations!$C$28</f>
        <v>acre</v>
      </c>
      <c r="D2819" s="166">
        <f>CustomOperations!$U$28</f>
        <v>0</v>
      </c>
      <c r="E2819" s="166">
        <f>CustomOperations!$U$29*$C$2781</f>
        <v>0</v>
      </c>
      <c r="F2819" s="166">
        <f t="shared" si="234"/>
        <v>0</v>
      </c>
      <c r="G2819" s="163" t="e">
        <f t="shared" si="232"/>
        <v>#DIV/0!</v>
      </c>
    </row>
    <row r="2820" spans="2:7">
      <c r="B2820" t="str">
        <f>CustomOperations!$B$5</f>
        <v>V Ripper, Custom</v>
      </c>
      <c r="C2820" s="137" t="str">
        <f>CustomOperations!$C$5</f>
        <v>acre</v>
      </c>
      <c r="D2820" s="166">
        <f>CustomOperations!$U$5</f>
        <v>44.25</v>
      </c>
      <c r="E2820" s="166">
        <f>CustomOperations!$U$6*$C$2781</f>
        <v>0</v>
      </c>
      <c r="F2820" s="166">
        <f t="shared" si="234"/>
        <v>0</v>
      </c>
      <c r="G2820" s="163" t="e">
        <f t="shared" si="232"/>
        <v>#DIV/0!</v>
      </c>
    </row>
    <row r="2821" spans="2:7">
      <c r="B2821" t="str">
        <f>CustomOperations!$B$7</f>
        <v>Disk, Custom</v>
      </c>
      <c r="C2821" s="137" t="str">
        <f>CustomOperations!$C$7</f>
        <v>acre</v>
      </c>
      <c r="D2821" s="166">
        <f>CustomOperations!$U$7</f>
        <v>0</v>
      </c>
      <c r="E2821" s="166">
        <f>CustomOperations!$U$8*$C$2781</f>
        <v>0</v>
      </c>
      <c r="F2821" s="166">
        <f t="shared" si="234"/>
        <v>0</v>
      </c>
      <c r="G2821" s="163" t="e">
        <f t="shared" si="232"/>
        <v>#DIV/0!</v>
      </c>
    </row>
    <row r="2822" spans="2:7">
      <c r="B2822" t="str">
        <f>CustomOperations!$B$9</f>
        <v>Drag, Custom</v>
      </c>
      <c r="C2822" s="137" t="str">
        <f>CustomOperations!$C$9</f>
        <v>acre</v>
      </c>
      <c r="D2822" s="166">
        <f>CustomOperations!$U$9</f>
        <v>0</v>
      </c>
      <c r="E2822" s="166">
        <f>CustomOperations!$U$10*$C$2781</f>
        <v>0</v>
      </c>
      <c r="F2822" s="166">
        <f t="shared" si="234"/>
        <v>0</v>
      </c>
      <c r="G2822" s="163" t="e">
        <f t="shared" si="232"/>
        <v>#DIV/0!</v>
      </c>
    </row>
    <row r="2823" spans="2:7">
      <c r="B2823" t="str">
        <f>CustomOperations!$B$11</f>
        <v>Chisel, Custom</v>
      </c>
      <c r="C2823" s="137" t="str">
        <f>CustomOperations!$C$11</f>
        <v>acre</v>
      </c>
      <c r="D2823" s="166">
        <f>CustomOperations!$U$11</f>
        <v>0</v>
      </c>
      <c r="E2823" s="166">
        <f>CustomOperations!$U$12*$C$2781</f>
        <v>0</v>
      </c>
      <c r="F2823" s="166">
        <f t="shared" si="234"/>
        <v>0</v>
      </c>
      <c r="G2823" s="163" t="e">
        <f t="shared" si="232"/>
        <v>#DIV/0!</v>
      </c>
    </row>
    <row r="2824" spans="2:7">
      <c r="B2824" t="str">
        <f>CustomOperations!$B$13</f>
        <v>Moldboard Plow, Custom</v>
      </c>
      <c r="C2824" s="137" t="str">
        <f>CustomOperations!$C$13</f>
        <v>acre</v>
      </c>
      <c r="D2824" s="166">
        <f>CustomOperations!$U$13</f>
        <v>0</v>
      </c>
      <c r="E2824" s="166">
        <f>CustomOperations!$U$14*$C$2781</f>
        <v>0</v>
      </c>
      <c r="F2824" s="166">
        <f t="shared" si="234"/>
        <v>0</v>
      </c>
      <c r="G2824" s="163" t="e">
        <f t="shared" si="232"/>
        <v>#DIV/0!</v>
      </c>
    </row>
    <row r="2825" spans="2:7">
      <c r="B2825" t="str">
        <f>CustomOperations!$B$15</f>
        <v>Landplane, Custom</v>
      </c>
      <c r="C2825" s="137" t="str">
        <f>CustomOperations!$C$15</f>
        <v>acre</v>
      </c>
      <c r="D2825" s="166">
        <f>CustomOperations!$U$15</f>
        <v>17.940000000000001</v>
      </c>
      <c r="E2825" s="166">
        <f>CustomOperations!$U$16*$C$2781</f>
        <v>0</v>
      </c>
      <c r="F2825" s="166">
        <f t="shared" si="234"/>
        <v>0</v>
      </c>
      <c r="G2825" s="163" t="e">
        <f t="shared" si="232"/>
        <v>#DIV/0!</v>
      </c>
    </row>
    <row r="2826" spans="2:7">
      <c r="B2826" t="str">
        <f>CustomOperations!$B$17</f>
        <v>Float, Custom</v>
      </c>
      <c r="C2826" s="137" t="str">
        <f>CustomOperations!$C$17</f>
        <v>acre</v>
      </c>
      <c r="D2826" s="166">
        <f>CustomOperations!$U$17</f>
        <v>17.940000000000001</v>
      </c>
      <c r="E2826" s="166">
        <f>CustomOperations!$U$18*$C$2781</f>
        <v>0</v>
      </c>
      <c r="F2826" s="166">
        <f t="shared" si="234"/>
        <v>0</v>
      </c>
      <c r="G2826" s="163" t="e">
        <f t="shared" si="232"/>
        <v>#DIV/0!</v>
      </c>
    </row>
    <row r="2827" spans="2:7">
      <c r="B2827" t="str">
        <f>CustomOperations!$B$19</f>
        <v>Lister, Custom</v>
      </c>
      <c r="C2827" s="137" t="str">
        <f>CustomOperations!$C$19</f>
        <v>acre</v>
      </c>
      <c r="D2827" s="166">
        <f>CustomOperations!$U$19</f>
        <v>20.38</v>
      </c>
      <c r="E2827" s="166">
        <f>CustomOperations!$U$20*$C$2781</f>
        <v>0</v>
      </c>
      <c r="F2827" s="166">
        <f t="shared" si="234"/>
        <v>0</v>
      </c>
      <c r="G2827" s="163" t="e">
        <f t="shared" si="232"/>
        <v>#DIV/0!</v>
      </c>
    </row>
    <row r="2828" spans="2:7">
      <c r="B2828" t="str">
        <f>CustomOperations!$B$21</f>
        <v>Bed Shape, Custom</v>
      </c>
      <c r="C2828" s="137" t="str">
        <f>CustomOperations!$C$21</f>
        <v>acre</v>
      </c>
      <c r="D2828" s="166">
        <f>CustomOperations!$U$21</f>
        <v>13.69</v>
      </c>
      <c r="E2828" s="166">
        <f>CustomOperations!$U$22*$C$2781</f>
        <v>0</v>
      </c>
      <c r="F2828" s="166">
        <f t="shared" si="234"/>
        <v>0</v>
      </c>
      <c r="G2828" s="163" t="e">
        <f t="shared" si="232"/>
        <v>#DIV/0!</v>
      </c>
    </row>
    <row r="2829" spans="2:7">
      <c r="B2829" t="str">
        <f>CustomOperations!$B$32</f>
        <v>Fertilizer Spreader, Custom</v>
      </c>
      <c r="C2829" s="137" t="str">
        <f>CustomOperations!$C$32</f>
        <v>acre</v>
      </c>
      <c r="D2829" s="166">
        <f>CustomOperations!$U$32</f>
        <v>10.08</v>
      </c>
      <c r="E2829" s="166">
        <f>CustomOperations!$U$33*$C$2781</f>
        <v>0</v>
      </c>
      <c r="F2829" s="166">
        <f>D2829*E2829</f>
        <v>0</v>
      </c>
      <c r="G2829" s="163" t="e">
        <f t="shared" si="232"/>
        <v>#DIV/0!</v>
      </c>
    </row>
    <row r="2830" spans="2:7">
      <c r="B2830" t="str">
        <f>CustomOperations!$B$34</f>
        <v>Laser Landplaning, Custom</v>
      </c>
      <c r="C2830" s="137" t="str">
        <f>CustomOperations!$C$34</f>
        <v>acre</v>
      </c>
      <c r="D2830" s="166">
        <f>CustomOperations!$U$34</f>
        <v>0</v>
      </c>
      <c r="E2830" s="166">
        <f>CustomOperations!$U$35*$C$2781</f>
        <v>0</v>
      </c>
      <c r="F2830" s="166">
        <f>D2830*E2830</f>
        <v>0</v>
      </c>
      <c r="G2830" s="163" t="e">
        <f t="shared" si="232"/>
        <v>#DIV/0!</v>
      </c>
    </row>
    <row r="2831" spans="2:7">
      <c r="B2831" t="str">
        <f>CustomOperations!$B$30</f>
        <v>Boom Sprayer, Custom</v>
      </c>
      <c r="C2831" s="137" t="str">
        <f>CustomOperations!$C$30</f>
        <v>acre</v>
      </c>
      <c r="D2831" s="166">
        <f>CustomOperations!$U$30</f>
        <v>10.050000000000001</v>
      </c>
      <c r="E2831" s="166">
        <f>CustomOperations!$U$31*$C$2781</f>
        <v>0</v>
      </c>
      <c r="F2831" s="166">
        <f t="shared" ref="F2831:F2853" si="235">D2831*E2831</f>
        <v>0</v>
      </c>
      <c r="G2831" s="163" t="e">
        <f t="shared" si="232"/>
        <v>#DIV/0!</v>
      </c>
    </row>
    <row r="2832" spans="2:7">
      <c r="B2832" s="463" t="str">
        <f>TillageOperations!$B$7&amp;" (Repairs, maint., fuel &amp; lube)"</f>
        <v>V-Ripper (Repairs, maint., fuel &amp; lube)</v>
      </c>
      <c r="C2832" s="464" t="s">
        <v>157</v>
      </c>
      <c r="D2832" s="166">
        <f>PubMachineryTables!$AM$49+PubMachineryTables!$AN$49</f>
        <v>30.16333889180672</v>
      </c>
      <c r="E2832" s="166">
        <f>TillageOperations!$T$7*$C$2781</f>
        <v>0</v>
      </c>
      <c r="F2832" s="166">
        <f t="shared" si="235"/>
        <v>0</v>
      </c>
      <c r="G2832" s="163" t="e">
        <f t="shared" si="232"/>
        <v>#DIV/0!</v>
      </c>
    </row>
    <row r="2833" spans="2:7">
      <c r="B2833" s="463" t="str">
        <f>TillageOperations!$B$7&amp;" (Labor)"</f>
        <v>V-Ripper (Labor)</v>
      </c>
      <c r="C2833" s="464" t="s">
        <v>157</v>
      </c>
      <c r="D2833" s="166">
        <f>PubMachineryTables!$AL$49</f>
        <v>13.529312500000001</v>
      </c>
      <c r="E2833" s="166">
        <f>TillageOperations!$T$7*$C$2781</f>
        <v>0</v>
      </c>
      <c r="F2833" s="166">
        <f t="shared" si="235"/>
        <v>0</v>
      </c>
      <c r="G2833" s="163" t="e">
        <f t="shared" si="232"/>
        <v>#DIV/0!</v>
      </c>
    </row>
    <row r="2834" spans="2:7">
      <c r="B2834" s="463" t="str">
        <f>TillageOperations!$B$8&amp;" (Repairs, maint., fuel &amp; lube)"</f>
        <v>Offset Disk (Repairs, maint., fuel &amp; lube)</v>
      </c>
      <c r="C2834" s="464" t="s">
        <v>157</v>
      </c>
      <c r="D2834" s="166">
        <f>PubMachineryTables!$AN$50+PubMachineryTables!$AM$50</f>
        <v>10.332318567950058</v>
      </c>
      <c r="E2834" s="166">
        <f>TillageOperations!$T$8*$C$2781</f>
        <v>0</v>
      </c>
      <c r="F2834" s="166">
        <f t="shared" si="235"/>
        <v>0</v>
      </c>
      <c r="G2834" s="163" t="e">
        <f t="shared" si="232"/>
        <v>#DIV/0!</v>
      </c>
    </row>
    <row r="2835" spans="2:7">
      <c r="B2835" s="463" t="str">
        <f>TillageOperations!$B$8&amp;" (Labor)"</f>
        <v>Offset Disk (Labor)</v>
      </c>
      <c r="C2835" s="464" t="s">
        <v>157</v>
      </c>
      <c r="D2835" s="166">
        <f>PubMachineryTables!$AL$50</f>
        <v>4.7161002178649252</v>
      </c>
      <c r="E2835" s="166">
        <f>TillageOperations!$T$8*$C$2781</f>
        <v>0</v>
      </c>
      <c r="F2835" s="166">
        <f t="shared" si="235"/>
        <v>0</v>
      </c>
      <c r="G2835" s="163" t="e">
        <f t="shared" si="232"/>
        <v>#DIV/0!</v>
      </c>
    </row>
    <row r="2836" spans="2:7">
      <c r="B2836" s="463" t="str">
        <f>TillageOperations!$B$9&amp;" (Repairs, maint., fuel &amp; lube)"</f>
        <v>Drag (Repairs, maint., fuel &amp; lube)</v>
      </c>
      <c r="C2836" s="464" t="s">
        <v>157</v>
      </c>
      <c r="D2836" s="166">
        <f>PubMachineryTables!$AN$51+PubMachineryTables!$AM$51</f>
        <v>2.4803921568627447</v>
      </c>
      <c r="E2836" s="166">
        <f>TillageOperations!$T$9*$C$2781</f>
        <v>0</v>
      </c>
      <c r="F2836" s="166">
        <f t="shared" si="235"/>
        <v>0</v>
      </c>
      <c r="G2836" s="163" t="e">
        <f t="shared" si="232"/>
        <v>#DIV/0!</v>
      </c>
    </row>
    <row r="2837" spans="2:7">
      <c r="B2837" s="463" t="str">
        <f>TillageOperations!$B$9&amp;" (Labor)"</f>
        <v>Drag (Labor)</v>
      </c>
      <c r="C2837" s="464" t="s">
        <v>157</v>
      </c>
      <c r="D2837" s="166">
        <f>PubMachineryTables!$AL$51</f>
        <v>2.1222450980392158</v>
      </c>
      <c r="E2837" s="166">
        <f>TillageOperations!$T$9*$C$2781</f>
        <v>0</v>
      </c>
      <c r="F2837" s="166">
        <f t="shared" si="235"/>
        <v>0</v>
      </c>
      <c r="G2837" s="163" t="e">
        <f t="shared" si="232"/>
        <v>#DIV/0!</v>
      </c>
    </row>
    <row r="2838" spans="2:7">
      <c r="B2838" s="463" t="str">
        <f>TillageOperations!$B$10&amp;" (Repairs, maint., fuel &amp; lube)"</f>
        <v>Chisel (Repairs, maint., fuel &amp; lube)</v>
      </c>
      <c r="C2838" s="464" t="s">
        <v>157</v>
      </c>
      <c r="D2838" s="166">
        <f>PubMachineryTables!$AN$52+PubMachineryTables!$AM$52</f>
        <v>8.5884820270019766</v>
      </c>
      <c r="E2838" s="166">
        <f>TillageOperations!$T$10*$C$2781</f>
        <v>0</v>
      </c>
      <c r="F2838" s="166">
        <f t="shared" si="235"/>
        <v>0</v>
      </c>
      <c r="G2838" s="163" t="e">
        <f t="shared" si="232"/>
        <v>#DIV/0!</v>
      </c>
    </row>
    <row r="2839" spans="2:7">
      <c r="B2839" s="463" t="str">
        <f>TillageOperations!$B$10&amp;" (Labor)"</f>
        <v>Chisel (Labor)</v>
      </c>
      <c r="C2839" s="464" t="s">
        <v>157</v>
      </c>
      <c r="D2839" s="166">
        <f>PubMachineryTables!$AL$52</f>
        <v>3.9792095588235301</v>
      </c>
      <c r="E2839" s="166">
        <f>TillageOperations!$T$10*$C$2781</f>
        <v>0</v>
      </c>
      <c r="F2839" s="166">
        <f t="shared" si="235"/>
        <v>0</v>
      </c>
      <c r="G2839" s="163" t="e">
        <f t="shared" si="232"/>
        <v>#DIV/0!</v>
      </c>
    </row>
    <row r="2840" spans="2:7">
      <c r="B2840" s="463" t="str">
        <f>TillageOperations!$B$11&amp;" (Repairs, maint., fuel &amp; lube)"</f>
        <v>Moldboard Plow (Repairs, maint., fuel &amp; lube)</v>
      </c>
      <c r="C2840" s="464" t="s">
        <v>157</v>
      </c>
      <c r="D2840" s="166">
        <f>PubMachineryTables!$AN$53+PubMachineryTables!$AM$53</f>
        <v>14.457142857142856</v>
      </c>
      <c r="E2840" s="166">
        <f>TillageOperations!$T$11*$C$2781</f>
        <v>0</v>
      </c>
      <c r="F2840" s="166">
        <f t="shared" si="235"/>
        <v>0</v>
      </c>
      <c r="G2840" s="163" t="e">
        <f t="shared" si="232"/>
        <v>#DIV/0!</v>
      </c>
    </row>
    <row r="2841" spans="2:7">
      <c r="B2841" s="463" t="str">
        <f>TillageOperations!$B$11&amp;" (Labor)"</f>
        <v>Moldboard Plow (Labor)</v>
      </c>
      <c r="C2841" s="464" t="s">
        <v>157</v>
      </c>
      <c r="D2841" s="166">
        <f>PubMachineryTables!$AL$53</f>
        <v>7.7310357142857153</v>
      </c>
      <c r="E2841" s="166">
        <f>TillageOperations!$T$11*$C$2781</f>
        <v>0</v>
      </c>
      <c r="F2841" s="166">
        <f t="shared" si="235"/>
        <v>0</v>
      </c>
      <c r="G2841" s="163" t="e">
        <f t="shared" si="232"/>
        <v>#DIV/0!</v>
      </c>
    </row>
    <row r="2842" spans="2:7">
      <c r="B2842" s="463" t="str">
        <f>TillageOperations!$B$12&amp;" (Repairs, maint., fuel &amp; lube)"</f>
        <v>Cultivator (Repairs, maint., fuel &amp; lube)</v>
      </c>
      <c r="C2842" s="464" t="s">
        <v>157</v>
      </c>
      <c r="D2842" s="166">
        <f>PubMachineryTables!$AN$54+PubMachineryTables!$AM$54</f>
        <v>5.7828571428571429</v>
      </c>
      <c r="E2842" s="166">
        <f>TillageOperations!$T$12*$C$2781</f>
        <v>0</v>
      </c>
      <c r="F2842" s="166">
        <f t="shared" si="235"/>
        <v>0</v>
      </c>
      <c r="G2842" s="163" t="e">
        <f t="shared" si="232"/>
        <v>#DIV/0!</v>
      </c>
    </row>
    <row r="2843" spans="2:7">
      <c r="B2843" s="463" t="str">
        <f>TillageOperations!$B$12&amp;" (Labor)"</f>
        <v>Cultivator (Labor)</v>
      </c>
      <c r="C2843" s="464" t="s">
        <v>157</v>
      </c>
      <c r="D2843" s="166">
        <f>PubMachineryTables!$AL$54</f>
        <v>3.0924142857142862</v>
      </c>
      <c r="E2843" s="166">
        <f>TillageOperations!$T$12*$C$2781</f>
        <v>0</v>
      </c>
      <c r="F2843" s="166">
        <f t="shared" si="235"/>
        <v>0</v>
      </c>
      <c r="G2843" s="163" t="e">
        <f t="shared" si="232"/>
        <v>#DIV/0!</v>
      </c>
    </row>
    <row r="2844" spans="2:7">
      <c r="B2844" s="463" t="str">
        <f>TillageOperations!$B$13&amp;" (Repairs, maint., fuel &amp; lube)"</f>
        <v>Landplane (Repairs, maint., fuel &amp; lube)</v>
      </c>
      <c r="C2844" s="464" t="s">
        <v>157</v>
      </c>
      <c r="D2844" s="166">
        <f>PubMachineryTables!$AN$55+PubMachineryTables!$AM$55</f>
        <v>8.0445253976590632</v>
      </c>
      <c r="E2844" s="166">
        <f>TillageOperations!$T$13*$C$2781</f>
        <v>0</v>
      </c>
      <c r="F2844" s="166">
        <f t="shared" si="235"/>
        <v>0</v>
      </c>
      <c r="G2844" s="163" t="e">
        <f t="shared" si="232"/>
        <v>#DIV/0!</v>
      </c>
    </row>
    <row r="2845" spans="2:7">
      <c r="B2845" s="463" t="str">
        <f>TillageOperations!$B$13&amp;" (Labor)"</f>
        <v>Landplane (Labor)</v>
      </c>
      <c r="C2845" s="464" t="s">
        <v>157</v>
      </c>
      <c r="D2845" s="166">
        <f>PubMachineryTables!$AL$55</f>
        <v>3.8655178571428577</v>
      </c>
      <c r="E2845" s="166">
        <f>TillageOperations!$T$13*$C$2781</f>
        <v>0</v>
      </c>
      <c r="F2845" s="166">
        <f t="shared" si="235"/>
        <v>0</v>
      </c>
      <c r="G2845" s="163" t="e">
        <f t="shared" si="232"/>
        <v>#DIV/0!</v>
      </c>
    </row>
    <row r="2846" spans="2:7">
      <c r="B2846" s="463" t="str">
        <f>TillageOperations!$B$14&amp;" (Repairs, maint., fuel &amp; lube)"</f>
        <v>Float (Repairs, maint., fuel &amp; lube)</v>
      </c>
      <c r="C2846" s="464" t="s">
        <v>157</v>
      </c>
      <c r="D2846" s="166">
        <f>PubMachineryTables!$AN$56+PubMachineryTables!$AM$56</f>
        <v>5.1632653061224492</v>
      </c>
      <c r="E2846" s="166">
        <f>TillageOperations!$T$14*$C$2781</f>
        <v>0</v>
      </c>
      <c r="F2846" s="166">
        <f t="shared" si="235"/>
        <v>0</v>
      </c>
      <c r="G2846" s="163" t="e">
        <f t="shared" si="232"/>
        <v>#DIV/0!</v>
      </c>
    </row>
    <row r="2847" spans="2:7">
      <c r="B2847" s="463" t="str">
        <f>TillageOperations!$B$14&amp;" (Labor)"</f>
        <v>Float (Labor)</v>
      </c>
      <c r="C2847" s="464" t="s">
        <v>157</v>
      </c>
      <c r="D2847" s="166">
        <f>PubMachineryTables!$AL$56</f>
        <v>4.4177346938775521</v>
      </c>
      <c r="E2847" s="166">
        <f>TillageOperations!$T$14*$C$2781</f>
        <v>0</v>
      </c>
      <c r="F2847" s="166">
        <f t="shared" si="235"/>
        <v>0</v>
      </c>
      <c r="G2847" s="163" t="e">
        <f t="shared" si="232"/>
        <v>#DIV/0!</v>
      </c>
    </row>
    <row r="2848" spans="2:7">
      <c r="B2848" s="463" t="str">
        <f>TillageOperations!$B$15&amp;" (Repairs, maint., fuel &amp; lube)"</f>
        <v>Lister (Repairs, maint., fuel &amp; lube)</v>
      </c>
      <c r="C2848" s="464" t="s">
        <v>157</v>
      </c>
      <c r="D2848" s="166">
        <f>PubMachineryTables!$AN$57+PubMachineryTables!$AM$57</f>
        <v>11.879642797844287</v>
      </c>
      <c r="E2848" s="166">
        <f>TillageOperations!$T$15*$C$2781</f>
        <v>0</v>
      </c>
      <c r="F2848" s="166">
        <f t="shared" si="235"/>
        <v>0</v>
      </c>
      <c r="G2848" s="163" t="e">
        <f t="shared" si="232"/>
        <v>#DIV/0!</v>
      </c>
    </row>
    <row r="2849" spans="2:7">
      <c r="B2849" s="463" t="str">
        <f>TillageOperations!$B$15&amp;" (Labor)"</f>
        <v>Lister (Labor)</v>
      </c>
      <c r="C2849" s="464" t="s">
        <v>157</v>
      </c>
      <c r="D2849" s="166">
        <f>PubMachineryTables!$AL$57</f>
        <v>6.1848285714285725</v>
      </c>
      <c r="E2849" s="166">
        <f>TillageOperations!$T$15*$C$2781</f>
        <v>0</v>
      </c>
      <c r="F2849" s="166">
        <f t="shared" si="235"/>
        <v>0</v>
      </c>
      <c r="G2849" s="163" t="e">
        <f t="shared" si="232"/>
        <v>#DIV/0!</v>
      </c>
    </row>
    <row r="2850" spans="2:7">
      <c r="B2850" s="463" t="str">
        <f>TillageOperations!$B$16&amp;" (Repairs, maint., fuel &amp; lube)"</f>
        <v>Bed Shaper (Repairs, maint., fuel &amp; lube)</v>
      </c>
      <c r="C2850" s="464" t="s">
        <v>157</v>
      </c>
      <c r="D2850" s="166">
        <f>PubMachineryTables!$AN$58+PubMachineryTables!$AM$58</f>
        <v>5.9574634784635725</v>
      </c>
      <c r="E2850" s="166">
        <f>TillageOperations!$T$16*$C$2781</f>
        <v>0</v>
      </c>
      <c r="F2850" s="166">
        <f t="shared" si="235"/>
        <v>0</v>
      </c>
      <c r="G2850" s="163" t="e">
        <f t="shared" si="232"/>
        <v>#DIV/0!</v>
      </c>
    </row>
    <row r="2851" spans="2:7">
      <c r="B2851" s="463" t="str">
        <f>TillageOperations!$B$16&amp;" (Labor)"</f>
        <v>Bed Shaper (Labor)</v>
      </c>
      <c r="C2851" s="464" t="s">
        <v>157</v>
      </c>
      <c r="D2851" s="166">
        <f>PubMachineryTables!$AL$58</f>
        <v>3.0924142857142862</v>
      </c>
      <c r="E2851" s="166">
        <f>TillageOperations!$T$16*$C$2781</f>
        <v>0</v>
      </c>
      <c r="F2851" s="166">
        <f t="shared" si="235"/>
        <v>0</v>
      </c>
      <c r="G2851" s="163" t="e">
        <f t="shared" ref="G2851:G2914" si="236">F2851/C$2781</f>
        <v>#DIV/0!</v>
      </c>
    </row>
    <row r="2852" spans="2:7">
      <c r="B2852" s="463" t="str">
        <f>TillageOperations!$B$19&amp;" (Repairs, maint., fuel &amp; lube)"</f>
        <v>Row Planter (Repairs, maint., fuel &amp; lube)</v>
      </c>
      <c r="C2852" s="464" t="s">
        <v>157</v>
      </c>
      <c r="D2852" s="166">
        <f>PubMachineryTables!$AN$60+PubMachineryTables!$AM$60</f>
        <v>8.8400048303091552</v>
      </c>
      <c r="E2852" s="166">
        <f>TillageOperations!$T$19*$C$2781</f>
        <v>0</v>
      </c>
      <c r="F2852" s="166">
        <f t="shared" si="235"/>
        <v>0</v>
      </c>
      <c r="G2852" s="163" t="e">
        <f t="shared" si="236"/>
        <v>#DIV/0!</v>
      </c>
    </row>
    <row r="2853" spans="2:7">
      <c r="B2853" s="463" t="str">
        <f>TillageOperations!$B$19&amp;" (Labor)"</f>
        <v>Row Planter (Labor)</v>
      </c>
      <c r="C2853" s="464" t="s">
        <v>157</v>
      </c>
      <c r="D2853" s="166">
        <f>PubMachineryTables!$AL$60</f>
        <v>4.5097708333333344</v>
      </c>
      <c r="E2853" s="166">
        <f>TillageOperations!$T$19*$C$2781</f>
        <v>0</v>
      </c>
      <c r="F2853" s="166">
        <f t="shared" si="235"/>
        <v>0</v>
      </c>
      <c r="G2853" s="163" t="e">
        <f t="shared" si="236"/>
        <v>#DIV/0!</v>
      </c>
    </row>
    <row r="2854" spans="2:7">
      <c r="B2854" s="463" t="str">
        <f>TillageOperations!$B$20&amp;" (Repairs, maint., fuel &amp; lube)"</f>
        <v>Row Cultivator (Repairs, maint., fuel &amp; lube)</v>
      </c>
      <c r="C2854" s="464" t="s">
        <v>157</v>
      </c>
      <c r="D2854" s="166">
        <f>PubMachineryTables!$AN$61+PubMachineryTables!$AM$61</f>
        <v>3.5823141032725374</v>
      </c>
      <c r="E2854" s="166">
        <f>TillageOperations!$T$20*$C$2781</f>
        <v>0</v>
      </c>
      <c r="F2854" s="166">
        <f>D2854*E2854</f>
        <v>0</v>
      </c>
      <c r="G2854" s="163" t="e">
        <f t="shared" si="236"/>
        <v>#DIV/0!</v>
      </c>
    </row>
    <row r="2855" spans="2:7">
      <c r="B2855" s="463" t="str">
        <f>TillageOperations!$B$20&amp;" (Labor)"</f>
        <v>Row Cultivator (Labor)</v>
      </c>
      <c r="C2855" s="464" t="s">
        <v>157</v>
      </c>
      <c r="D2855" s="166">
        <f>PubMachineryTables!$AL$61</f>
        <v>3.0065138888888892</v>
      </c>
      <c r="E2855" s="166">
        <f>TillageOperations!$T$20*$C$2781</f>
        <v>0</v>
      </c>
      <c r="F2855" s="166">
        <f>D2855*E2855</f>
        <v>0</v>
      </c>
      <c r="G2855" s="163" t="e">
        <f t="shared" si="236"/>
        <v>#DIV/0!</v>
      </c>
    </row>
    <row r="2856" spans="2:7">
      <c r="B2856" s="463" t="str">
        <f>TillageOperations!$B$21&amp;" (Repairs, maint., fuel &amp; lube)"</f>
        <v>Drill (Repairs, maint., fuel &amp; lube)</v>
      </c>
      <c r="C2856" s="464" t="s">
        <v>157</v>
      </c>
      <c r="D2856" s="166">
        <f>PubMachineryTables!$AN$62+PubMachineryTables!$AM$62</f>
        <v>7.6986395922631168</v>
      </c>
      <c r="E2856" s="166">
        <f>TillageOperations!$T$21*$C$2781</f>
        <v>0</v>
      </c>
      <c r="F2856" s="166">
        <f>D2856*E2856</f>
        <v>0</v>
      </c>
      <c r="G2856" s="163" t="e">
        <f t="shared" si="236"/>
        <v>#DIV/0!</v>
      </c>
    </row>
    <row r="2857" spans="2:7">
      <c r="B2857" s="463" t="str">
        <f>TillageOperations!$B$21&amp;" (Labor)"</f>
        <v>Drill (Labor)</v>
      </c>
      <c r="C2857" s="464" t="s">
        <v>157</v>
      </c>
      <c r="D2857" s="166">
        <f>PubMachineryTables!$AL$62</f>
        <v>5.4117250000000006</v>
      </c>
      <c r="E2857" s="166">
        <f>TillageOperations!$T$21*$C$2781</f>
        <v>0</v>
      </c>
      <c r="F2857" s="166">
        <f>D2857*E2857</f>
        <v>0</v>
      </c>
      <c r="G2857" s="163" t="e">
        <f t="shared" si="236"/>
        <v>#DIV/0!</v>
      </c>
    </row>
    <row r="2858" spans="2:7">
      <c r="B2858" s="75" t="str">
        <f>TillageOperations!$B$27&amp;" (Repairs, maint., fuel &amp; lube)"</f>
        <v>Cotton Picker (Repairs, maint., fuel &amp; lube)</v>
      </c>
      <c r="C2858" s="464" t="s">
        <v>157</v>
      </c>
      <c r="D2858" s="166">
        <f>PubMachineryTables!$AN$67+PubMachineryTables!$AM$67</f>
        <v>20.587703435804702</v>
      </c>
      <c r="E2858" s="166">
        <f>TillageOperations!$T$27*$C$2781</f>
        <v>0</v>
      </c>
      <c r="F2858" s="166">
        <f t="shared" ref="F2858:F2865" si="237">D2858*E2858</f>
        <v>0</v>
      </c>
      <c r="G2858" s="163" t="e">
        <f t="shared" si="236"/>
        <v>#DIV/0!</v>
      </c>
    </row>
    <row r="2859" spans="2:7">
      <c r="B2859" t="str">
        <f>TillageOperations!$B$27&amp;" (Labor)"</f>
        <v>Cotton Picker (Labor)</v>
      </c>
      <c r="C2859" s="464" t="s">
        <v>157</v>
      </c>
      <c r="D2859" s="166">
        <f>PubMachineryTables!$AL$67</f>
        <v>7.3395908679927677</v>
      </c>
      <c r="E2859" s="166">
        <f>TillageOperations!$T$27*$C$2781</f>
        <v>0</v>
      </c>
      <c r="F2859" s="166">
        <f t="shared" si="237"/>
        <v>0</v>
      </c>
      <c r="G2859" s="163" t="e">
        <f t="shared" si="236"/>
        <v>#DIV/0!</v>
      </c>
    </row>
    <row r="2860" spans="2:7">
      <c r="B2860" s="75" t="str">
        <f>TillageOperations!$B$28&amp;" (Repairs, maint., fuel &amp; lube)"</f>
        <v>Module Unit (Repairs, maint., fuel &amp; lube)</v>
      </c>
      <c r="C2860" s="464" t="s">
        <v>157</v>
      </c>
      <c r="D2860" s="166">
        <f>PubMachineryTables!$AN$68+PubMachineryTables!$AM$68</f>
        <v>7.0644080416976918</v>
      </c>
      <c r="E2860" s="166">
        <f>TillageOperations!$T$28*$C$2781</f>
        <v>0</v>
      </c>
      <c r="F2860" s="166">
        <f t="shared" ref="F2860:F2861" si="238">D2860*E2860</f>
        <v>0</v>
      </c>
      <c r="G2860" s="163" t="e">
        <f t="shared" si="236"/>
        <v>#DIV/0!</v>
      </c>
    </row>
    <row r="2861" spans="2:7">
      <c r="B2861" t="str">
        <f>TillageOperations!$B$28&amp;" (Labor)"</f>
        <v>Module Unit (Labor)</v>
      </c>
      <c r="C2861" s="464" t="s">
        <v>157</v>
      </c>
      <c r="D2861" s="166">
        <f>PubMachineryTables!$AL$68</f>
        <v>6.0443689501116911</v>
      </c>
      <c r="E2861" s="166">
        <f>TillageOperations!$T$28*$C$2781</f>
        <v>0</v>
      </c>
      <c r="F2861" s="166">
        <f t="shared" si="238"/>
        <v>0</v>
      </c>
      <c r="G2861" s="163" t="e">
        <f t="shared" si="236"/>
        <v>#DIV/0!</v>
      </c>
    </row>
    <row r="2862" spans="2:7">
      <c r="B2862" t="str">
        <f>TillageOperations!$B$29&amp;" (Repairs, maint., fuel &amp; lube)"</f>
        <v>Haul Cotton (Repairs, maint., fuel &amp; lube)</v>
      </c>
      <c r="C2862" s="464" t="s">
        <v>157</v>
      </c>
      <c r="D2862" s="166">
        <f>PubMachineryTables!$AN$69+PubMachineryTables!$AM$69</f>
        <v>7.0644080416976918</v>
      </c>
      <c r="E2862" s="166">
        <f>TillageOperations!$T$29*$C$2781</f>
        <v>0</v>
      </c>
      <c r="F2862" s="166">
        <f t="shared" si="237"/>
        <v>0</v>
      </c>
      <c r="G2862" s="163" t="e">
        <f t="shared" si="236"/>
        <v>#DIV/0!</v>
      </c>
    </row>
    <row r="2863" spans="2:7">
      <c r="B2863" t="str">
        <f>TillageOperations!$B$29&amp;" (Labor)"</f>
        <v>Haul Cotton (Labor)</v>
      </c>
      <c r="C2863" s="464" t="s">
        <v>157</v>
      </c>
      <c r="D2863" s="166">
        <f>PubMachineryTables!$AL$69</f>
        <v>6.0443689501116911</v>
      </c>
      <c r="E2863" s="166">
        <f>TillageOperations!$T$29*$C$2781</f>
        <v>0</v>
      </c>
      <c r="F2863" s="166">
        <f t="shared" si="237"/>
        <v>0</v>
      </c>
      <c r="G2863" s="163" t="e">
        <f t="shared" si="236"/>
        <v>#DIV/0!</v>
      </c>
    </row>
    <row r="2864" spans="2:7">
      <c r="B2864" t="str">
        <f>TillageOperations!$B$17&amp;" (Repairs, maint., fuel &amp; lube)"</f>
        <v>Cotton Shredder/Root Puller (Repairs, maint., fuel &amp; lube)</v>
      </c>
      <c r="C2864" s="464" t="s">
        <v>157</v>
      </c>
      <c r="D2864" s="166">
        <f>PubMachineryTables!$AN$59+PubMachineryTables!$AM$59</f>
        <v>3.4657534246575339</v>
      </c>
      <c r="E2864" s="166">
        <f>TillageOperations!$T$17*$C$2781</f>
        <v>0</v>
      </c>
      <c r="F2864" s="166">
        <f t="shared" si="237"/>
        <v>0</v>
      </c>
      <c r="G2864" s="163" t="e">
        <f t="shared" si="236"/>
        <v>#DIV/0!</v>
      </c>
    </row>
    <row r="2865" spans="2:7">
      <c r="B2865" t="str">
        <f>TillageOperations!$B$17&amp;" (Labor)"</f>
        <v>Cotton Shredder/Root Puller (Labor)</v>
      </c>
      <c r="C2865" s="464" t="s">
        <v>157</v>
      </c>
      <c r="D2865" s="166">
        <f>PubMachineryTables!$AL$59</f>
        <v>2.965328767123288</v>
      </c>
      <c r="E2865" s="166">
        <f>TillageOperations!$T$17*$C$2781</f>
        <v>0</v>
      </c>
      <c r="F2865" s="166">
        <f t="shared" si="237"/>
        <v>0</v>
      </c>
      <c r="G2865" s="163" t="e">
        <f t="shared" si="236"/>
        <v>#DIV/0!</v>
      </c>
    </row>
    <row r="2866" spans="2:7">
      <c r="B2866" t="str">
        <f>TillageOperations!$B$30&amp;" (Repairs, maint., fuel &amp; lube)"</f>
        <v>Combine (Repairs, maint., fuel &amp; lube)</v>
      </c>
      <c r="C2866" s="464" t="s">
        <v>157</v>
      </c>
      <c r="D2866" s="166">
        <f>PubMachineryTables!$AN$70+PubMachineryTables!$AM$70</f>
        <v>4.8939818019913757</v>
      </c>
      <c r="E2866" s="166">
        <f>TillageOperations!$T$30*$C$2781</f>
        <v>0</v>
      </c>
      <c r="F2866" s="166">
        <f>D2866*E2866</f>
        <v>0</v>
      </c>
      <c r="G2866" s="163" t="e">
        <f t="shared" si="236"/>
        <v>#DIV/0!</v>
      </c>
    </row>
    <row r="2867" spans="2:7">
      <c r="B2867" t="str">
        <f>TillageOperations!$B$30&amp;" (Labor)"</f>
        <v>Combine (Labor)</v>
      </c>
      <c r="C2867" s="464" t="s">
        <v>157</v>
      </c>
      <c r="D2867" s="166">
        <f>PubMachineryTables!$AL$70</f>
        <v>1.591683823529412</v>
      </c>
      <c r="E2867" s="166">
        <f>TillageOperations!$T$30*$C$2781</f>
        <v>0</v>
      </c>
      <c r="F2867" s="166">
        <f>D2867*E2867</f>
        <v>0</v>
      </c>
      <c r="G2867" s="163" t="e">
        <f t="shared" si="236"/>
        <v>#DIV/0!</v>
      </c>
    </row>
    <row r="2868" spans="2:7">
      <c r="B2868" t="str">
        <f>TillageOperations!$B$31&amp;" (Repairs, maint., fuel &amp; lube)"</f>
        <v>Grain Cart (Repairs, maint., fuel &amp; lube)</v>
      </c>
      <c r="C2868" s="464" t="s">
        <v>157</v>
      </c>
      <c r="D2868" s="166">
        <f>PubMachineryTables!$AN$71+PubMachineryTables!$AM$71</f>
        <v>3.2163097667975675</v>
      </c>
      <c r="E2868" s="166">
        <f>TillageOperations!$T$31*$C$2781</f>
        <v>0</v>
      </c>
      <c r="F2868" s="166">
        <f>D2868*E2868</f>
        <v>0</v>
      </c>
      <c r="G2868" s="163" t="e">
        <f t="shared" si="236"/>
        <v>#DIV/0!</v>
      </c>
    </row>
    <row r="2869" spans="2:7">
      <c r="B2869" t="str">
        <f>TillageOperations!$B$31&amp;" (Labor)"</f>
        <v>Grain Cart (Labor)</v>
      </c>
      <c r="C2869" s="464" t="s">
        <v>157</v>
      </c>
      <c r="D2869" s="166">
        <f>PubMachineryTables!$AL$71</f>
        <v>1.591683823529412</v>
      </c>
      <c r="E2869" s="166">
        <f>TillageOperations!$T$31*$C$2781</f>
        <v>0</v>
      </c>
      <c r="F2869" s="166">
        <f>D2869*E2869</f>
        <v>0</v>
      </c>
      <c r="G2869" s="163" t="e">
        <f t="shared" si="236"/>
        <v>#DIV/0!</v>
      </c>
    </row>
    <row r="2870" spans="2:7">
      <c r="B2870" t="str">
        <f>TillageOperations!$B$32&amp;" (Repairs, maint., fuel &amp; lube)"</f>
        <v>Swather (Repairs, maint., fuel &amp; lube)</v>
      </c>
      <c r="C2870" s="464" t="s">
        <v>157</v>
      </c>
      <c r="D2870" s="166">
        <f>PubMachineryTables!$AN$72+PubMachineryTables!$AM$72</f>
        <v>2.0239999999999996</v>
      </c>
      <c r="E2870" s="166">
        <f>TillageOperations!$T$32*$C$2781</f>
        <v>0</v>
      </c>
      <c r="F2870" s="166">
        <f t="shared" ref="F2870:F2894" si="239">D2870*E2870</f>
        <v>0</v>
      </c>
      <c r="G2870" s="163" t="e">
        <f t="shared" si="236"/>
        <v>#DIV/0!</v>
      </c>
    </row>
    <row r="2871" spans="2:7">
      <c r="B2871" t="str">
        <f>TillageOperations!$B$32&amp;" (Labor)"</f>
        <v>Swather (Labor)</v>
      </c>
      <c r="C2871" s="464" t="s">
        <v>157</v>
      </c>
      <c r="D2871" s="166">
        <f>PubMachineryTables!$AL$72</f>
        <v>2.1646900000000002</v>
      </c>
      <c r="E2871" s="166">
        <f>TillageOperations!$T$32*$C$2781</f>
        <v>0</v>
      </c>
      <c r="F2871" s="166">
        <f t="shared" si="239"/>
        <v>0</v>
      </c>
      <c r="G2871" s="163" t="e">
        <f t="shared" si="236"/>
        <v>#DIV/0!</v>
      </c>
    </row>
    <row r="2872" spans="2:7">
      <c r="B2872" t="str">
        <f>TillageOperations!$B$33&amp;" (Repairs, maint., fuel &amp; lube)"</f>
        <v>Baler (Repairs, maint., fuel &amp; lube)</v>
      </c>
      <c r="C2872" s="464" t="s">
        <v>157</v>
      </c>
      <c r="D2872" s="166">
        <f>PubMachineryTables!$AN$73+PubMachineryTables!$AM$73</f>
        <v>3.953125</v>
      </c>
      <c r="E2872" s="166">
        <f>TillageOperations!$T$33*$C$2781</f>
        <v>0</v>
      </c>
      <c r="F2872" s="166">
        <f t="shared" si="239"/>
        <v>0</v>
      </c>
      <c r="G2872" s="163" t="e">
        <f t="shared" si="236"/>
        <v>#DIV/0!</v>
      </c>
    </row>
    <row r="2873" spans="2:7">
      <c r="B2873" t="str">
        <f>TillageOperations!$B$33&amp;" (Labor)"</f>
        <v>Baler (Labor)</v>
      </c>
      <c r="C2873" s="464" t="s">
        <v>157</v>
      </c>
      <c r="D2873" s="166">
        <f>PubMachineryTables!$AL$73</f>
        <v>3.3823281250000004</v>
      </c>
      <c r="E2873" s="166">
        <f>TillageOperations!$T$33*$C$2781</f>
        <v>0</v>
      </c>
      <c r="F2873" s="166">
        <f t="shared" si="239"/>
        <v>0</v>
      </c>
      <c r="G2873" s="163" t="e">
        <f t="shared" si="236"/>
        <v>#DIV/0!</v>
      </c>
    </row>
    <row r="2874" spans="2:7">
      <c r="B2874" t="str">
        <f>TillageOperations!$B$34&amp;" (Repairs, maint., fuel &amp; lube)"</f>
        <v>Swather (Repairs, maint., fuel &amp; lube)</v>
      </c>
      <c r="C2874" s="464" t="s">
        <v>157</v>
      </c>
      <c r="D2874" s="166">
        <f>PubMachineryTables!$AN$74+PubMachineryTables!$AM$74</f>
        <v>19.46153846153846</v>
      </c>
      <c r="E2874" s="166">
        <f>TillageOperations!$T$34*$C$2781</f>
        <v>0</v>
      </c>
      <c r="F2874" s="166">
        <f t="shared" si="239"/>
        <v>0</v>
      </c>
      <c r="G2874" s="163" t="e">
        <f t="shared" si="236"/>
        <v>#DIV/0!</v>
      </c>
    </row>
    <row r="2875" spans="2:7">
      <c r="B2875" t="str">
        <f>TillageOperations!$B$34&amp;" (Labor)"</f>
        <v>Swather (Labor)</v>
      </c>
      <c r="C2875" s="464" t="s">
        <v>157</v>
      </c>
      <c r="D2875" s="166">
        <f>PubMachineryTables!$AL$74</f>
        <v>20.814326923076923</v>
      </c>
      <c r="E2875" s="166">
        <f>TillageOperations!$T$34*$C$2781</f>
        <v>0</v>
      </c>
      <c r="F2875" s="166">
        <f t="shared" si="239"/>
        <v>0</v>
      </c>
      <c r="G2875" s="163" t="e">
        <f t="shared" si="236"/>
        <v>#DIV/0!</v>
      </c>
    </row>
    <row r="2876" spans="2:7">
      <c r="B2876" t="str">
        <f>TillageOperations!$B$35&amp;" (Repairs, maint., fuel &amp; lube)"</f>
        <v>Baler (Repairs, maint., fuel &amp; lube)</v>
      </c>
      <c r="C2876" s="464" t="s">
        <v>157</v>
      </c>
      <c r="D2876" s="166">
        <f>PubMachineryTables!$AN$75+PubMachineryTables!$AM$75</f>
        <v>24.326923076923073</v>
      </c>
      <c r="E2876" s="166">
        <f>TillageOperations!$T$35*$C$2781</f>
        <v>0</v>
      </c>
      <c r="F2876" s="166">
        <f t="shared" si="239"/>
        <v>0</v>
      </c>
      <c r="G2876" s="163" t="e">
        <f t="shared" si="236"/>
        <v>#DIV/0!</v>
      </c>
    </row>
    <row r="2877" spans="2:7">
      <c r="B2877" t="str">
        <f>TillageOperations!$B$35&amp;" (Labor)"</f>
        <v>Baler (Labor)</v>
      </c>
      <c r="C2877" s="464" t="s">
        <v>157</v>
      </c>
      <c r="D2877" s="166">
        <f>PubMachineryTables!$AL$75</f>
        <v>20.814326923076923</v>
      </c>
      <c r="E2877" s="166">
        <f>TillageOperations!$T$35*$C$2781</f>
        <v>0</v>
      </c>
      <c r="F2877" s="166">
        <f t="shared" si="239"/>
        <v>0</v>
      </c>
      <c r="G2877" s="163" t="e">
        <f t="shared" si="236"/>
        <v>#DIV/0!</v>
      </c>
    </row>
    <row r="2878" spans="2:7">
      <c r="B2878" t="str">
        <f>'Inputs&amp;PricesbyCrop'!$B$31</f>
        <v xml:space="preserve">   - Baling Twine</v>
      </c>
      <c r="C2878" s="137" t="str">
        <f>'Inputs&amp;PricesbyCrop'!$C$31</f>
        <v>acre</v>
      </c>
      <c r="D2878" s="166">
        <f>'Inputs&amp;PricesbyCrop'!$U$31</f>
        <v>0</v>
      </c>
      <c r="E2878" s="166">
        <f>$C$2781</f>
        <v>0</v>
      </c>
      <c r="F2878" s="166">
        <f t="shared" si="239"/>
        <v>0</v>
      </c>
      <c r="G2878" s="163" t="e">
        <f t="shared" si="236"/>
        <v>#DIV/0!</v>
      </c>
    </row>
    <row r="2879" spans="2:7">
      <c r="B2879" t="str">
        <f>TillageOperations!$B$36&amp;" (Repairs, maint., fuel &amp; lube)"</f>
        <v>Bale Wagon (Repairs, maint., fuel &amp; lube)</v>
      </c>
      <c r="C2879" s="464" t="s">
        <v>157</v>
      </c>
      <c r="D2879" s="166">
        <f>PubMachineryTables!$AN$76+PubMachineryTables!$AM$76</f>
        <v>3.1624999999999996</v>
      </c>
      <c r="E2879" s="166">
        <f>TillageOperations!$T$36*$C$2781</f>
        <v>0</v>
      </c>
      <c r="F2879" s="166">
        <f t="shared" si="239"/>
        <v>0</v>
      </c>
      <c r="G2879" s="163" t="e">
        <f t="shared" si="236"/>
        <v>#DIV/0!</v>
      </c>
    </row>
    <row r="2880" spans="2:7">
      <c r="B2880" t="str">
        <f>TillageOperations!$B$36&amp;" (Labor)"</f>
        <v>Bale Wagon (Labor)</v>
      </c>
      <c r="C2880" s="464" t="s">
        <v>157</v>
      </c>
      <c r="D2880" s="166">
        <f>PubMachineryTables!$AL$76</f>
        <v>3.3823281250000004</v>
      </c>
      <c r="E2880" s="166">
        <f>TillageOperations!$T$36*$C$2781</f>
        <v>0</v>
      </c>
      <c r="F2880" s="166">
        <f t="shared" si="239"/>
        <v>0</v>
      </c>
      <c r="G2880" s="163" t="e">
        <f t="shared" si="236"/>
        <v>#DIV/0!</v>
      </c>
    </row>
    <row r="2881" spans="2:7">
      <c r="B2881" t="str">
        <f>TillageOperations!$B$23&amp;" (Repairs, maint., fuel &amp; lube)"</f>
        <v>Fertilizer Spreader (Repairs, maint., fuel &amp; lube)</v>
      </c>
      <c r="C2881" s="464" t="s">
        <v>157</v>
      </c>
      <c r="D2881" s="166">
        <f>PubMachineryTables!$AM$64+PubMachineryTables!$AN$64</f>
        <v>2.6573732562743069</v>
      </c>
      <c r="E2881" s="166">
        <f>TillageOperations!$T$23*$C$2781</f>
        <v>0</v>
      </c>
      <c r="F2881" s="168">
        <f t="shared" si="239"/>
        <v>0</v>
      </c>
      <c r="G2881" s="163" t="e">
        <f t="shared" si="236"/>
        <v>#DIV/0!</v>
      </c>
    </row>
    <row r="2882" spans="2:7">
      <c r="B2882" t="str">
        <f>TillageOperations!$B$23&amp;" (Labor)"</f>
        <v>Fertilizer Spreader (Labor)</v>
      </c>
      <c r="C2882" s="464" t="s">
        <v>157</v>
      </c>
      <c r="D2882" s="166">
        <f>PubMachineryTables!$AL$64</f>
        <v>1.879071180555556</v>
      </c>
      <c r="E2882" s="166">
        <f>TillageOperations!$T$23*$C$2781</f>
        <v>0</v>
      </c>
      <c r="F2882" s="168">
        <f t="shared" si="239"/>
        <v>0</v>
      </c>
      <c r="G2882" s="163" t="e">
        <f t="shared" si="236"/>
        <v>#DIV/0!</v>
      </c>
    </row>
    <row r="2883" spans="2:7">
      <c r="B2883" t="str">
        <f>TillageOperations!$B$24&amp;" (Repairs, maint., fuel &amp; lube)"</f>
        <v>Fertilizer Injection System (Repairs, maint., fuel &amp; lube)</v>
      </c>
      <c r="C2883" s="464" t="s">
        <v>157</v>
      </c>
      <c r="D2883" s="166">
        <f>PubMachineryTables!$AM$65+PubMachineryTables!$AN$65</f>
        <v>8.4333333333333336</v>
      </c>
      <c r="E2883" s="166">
        <f>TillageOperations!$T$24*$C$2781</f>
        <v>0</v>
      </c>
      <c r="F2883" s="168">
        <f t="shared" si="239"/>
        <v>0</v>
      </c>
      <c r="G2883" s="163" t="e">
        <f t="shared" si="236"/>
        <v>#DIV/0!</v>
      </c>
    </row>
    <row r="2884" spans="2:7">
      <c r="B2884" t="str">
        <f>TillageOperations!$B$24&amp;" (Labor)"</f>
        <v>Fertilizer Injection System (Labor)</v>
      </c>
      <c r="C2884" s="464" t="s">
        <v>157</v>
      </c>
      <c r="D2884" s="166">
        <f>PubMachineryTables!$AL$65</f>
        <v>4.5097708333333344</v>
      </c>
      <c r="E2884" s="166">
        <f>TillageOperations!$T$24*$C$2781</f>
        <v>0</v>
      </c>
      <c r="F2884" s="168">
        <f t="shared" si="239"/>
        <v>0</v>
      </c>
      <c r="G2884" s="163" t="e">
        <f t="shared" si="236"/>
        <v>#DIV/0!</v>
      </c>
    </row>
    <row r="2885" spans="2:7">
      <c r="B2885" t="str">
        <f>TillageOperations!$B$25&amp;" (Repairs, maint., fuel &amp; lube)"</f>
        <v>Boom Sprayer (Repairs, maint., fuel &amp; lube)</v>
      </c>
      <c r="C2885" s="464" t="s">
        <v>417</v>
      </c>
      <c r="D2885" s="166">
        <f>PubMachineryTables!AN$66+PubMachineryTables!$AM$66</f>
        <v>1.5996307048468115</v>
      </c>
      <c r="E2885" s="166">
        <f>TillageOperations!$T$25*$C$2781</f>
        <v>0</v>
      </c>
      <c r="F2885" s="166">
        <f t="shared" si="239"/>
        <v>0</v>
      </c>
      <c r="G2885" s="163" t="e">
        <f t="shared" si="236"/>
        <v>#DIV/0!</v>
      </c>
    </row>
    <row r="2886" spans="2:7">
      <c r="B2886" t="str">
        <f>TillageOperations!$B$25&amp;" (Labor)"</f>
        <v>Boom Sprayer (Labor)</v>
      </c>
      <c r="C2886" s="464" t="s">
        <v>417</v>
      </c>
      <c r="D2886" s="166">
        <f>PubMachineryTables!$AL$66</f>
        <v>1.1893901098901098</v>
      </c>
      <c r="E2886" s="166">
        <f>TillageOperations!$T$25*$C$2781</f>
        <v>0</v>
      </c>
      <c r="F2886" s="166">
        <f t="shared" si="239"/>
        <v>0</v>
      </c>
      <c r="G2886" s="163" t="e">
        <f t="shared" si="236"/>
        <v>#DIV/0!</v>
      </c>
    </row>
    <row r="2887" spans="2:7">
      <c r="B2887" t="str">
        <f>TillageOperations!$B$22&amp;" (Repairs, maint., fuel &amp; lube)"</f>
        <v>Transplanter (Repairs, maint., fuel &amp; lube)</v>
      </c>
      <c r="C2887" s="464" t="s">
        <v>157</v>
      </c>
      <c r="D2887" s="166">
        <f>PubMachineryTables!AN$63+PubMachineryTables!$AM$63</f>
        <v>61.668749999999996</v>
      </c>
      <c r="E2887" s="166">
        <f>TillageOperations!$T$22*$C$2781</f>
        <v>0</v>
      </c>
      <c r="F2887" s="166">
        <f>D2887*E2887</f>
        <v>0</v>
      </c>
      <c r="G2887" s="163" t="e">
        <f t="shared" si="236"/>
        <v>#DIV/0!</v>
      </c>
    </row>
    <row r="2888" spans="2:7">
      <c r="B2888" t="str">
        <f>TillageOperations!$B$22&amp;" (Labor)"</f>
        <v>Transplanter (Labor)</v>
      </c>
      <c r="C2888" s="464" t="s">
        <v>157</v>
      </c>
      <c r="D2888" s="166">
        <f>PubMachineryTables!$AL$63</f>
        <v>20.293968750000001</v>
      </c>
      <c r="E2888" s="166">
        <f>TillageOperations!$T$22*$C$2781</f>
        <v>0</v>
      </c>
      <c r="F2888" s="166">
        <f t="shared" si="239"/>
        <v>0</v>
      </c>
      <c r="G2888" s="163" t="e">
        <f t="shared" si="236"/>
        <v>#DIV/0!</v>
      </c>
    </row>
    <row r="2889" spans="2:7">
      <c r="B2889" t="str">
        <f>'Inputs&amp;PricesbyCrop'!$B$14</f>
        <v>Additional Land Prep. Labor</v>
      </c>
      <c r="C2889" s="137" t="str">
        <f>'Inputs&amp;PricesbyCrop'!$C$14</f>
        <v>hour</v>
      </c>
      <c r="D2889" s="166">
        <f>GeneralInputPrices!$D$30</f>
        <v>14.55</v>
      </c>
      <c r="E2889" s="166">
        <f>'Inputs&amp;PricesbyCrop'!$U$14*BASEBUDGETS!$C2781</f>
        <v>0</v>
      </c>
      <c r="F2889" s="166">
        <f t="shared" si="239"/>
        <v>0</v>
      </c>
      <c r="G2889" s="163" t="e">
        <f t="shared" si="236"/>
        <v>#DIV/0!</v>
      </c>
    </row>
    <row r="2890" spans="2:7">
      <c r="B2890" t="str">
        <f>'Inputs&amp;PricesbyCrop'!$B$15</f>
        <v>Additional Land Prep. Labor</v>
      </c>
      <c r="C2890" s="137" t="str">
        <f>'Inputs&amp;PricesbyCrop'!$C$15</f>
        <v>hour</v>
      </c>
      <c r="D2890" s="166">
        <f>GeneralInputPrices!$D$30</f>
        <v>14.55</v>
      </c>
      <c r="E2890" s="166">
        <f>'Inputs&amp;PricesbyCrop'!$U$15*BASEBUDGETS!$C2781</f>
        <v>0</v>
      </c>
      <c r="F2890" s="166">
        <f t="shared" si="239"/>
        <v>0</v>
      </c>
      <c r="G2890" s="163" t="e">
        <f t="shared" si="236"/>
        <v>#DIV/0!</v>
      </c>
    </row>
    <row r="2891" spans="2:7">
      <c r="B2891" t="str">
        <f>'Inputs&amp;PricesbyCrop'!$B$17</f>
        <v>Additional Crop Prod. Labor</v>
      </c>
      <c r="C2891" s="137" t="str">
        <f>'Inputs&amp;PricesbyCrop'!$C$17</f>
        <v>hour</v>
      </c>
      <c r="D2891" s="166">
        <f>GeneralInputPrices!$D$31</f>
        <v>14.55</v>
      </c>
      <c r="E2891" s="166">
        <f>'Inputs&amp;PricesbyCrop'!$U$17*BASEBUDGETS!$C2781</f>
        <v>0</v>
      </c>
      <c r="F2891" s="166">
        <f t="shared" si="239"/>
        <v>0</v>
      </c>
      <c r="G2891" s="163" t="e">
        <f t="shared" si="236"/>
        <v>#DIV/0!</v>
      </c>
    </row>
    <row r="2892" spans="2:7">
      <c r="B2892" t="str">
        <f>'Inputs&amp;PricesbyCrop'!$B$18</f>
        <v>Additional Crop Prod. Labor</v>
      </c>
      <c r="C2892" s="137" t="str">
        <f>'Inputs&amp;PricesbyCrop'!$C$18</f>
        <v>hour</v>
      </c>
      <c r="D2892" s="166">
        <f>GeneralInputPrices!$D$31</f>
        <v>14.55</v>
      </c>
      <c r="E2892" s="166">
        <f>'Inputs&amp;PricesbyCrop'!$U$18*BASEBUDGETS!$C2781</f>
        <v>0</v>
      </c>
      <c r="F2892" s="166">
        <f t="shared" si="239"/>
        <v>0</v>
      </c>
      <c r="G2892" s="163" t="e">
        <f t="shared" si="236"/>
        <v>#DIV/0!</v>
      </c>
    </row>
    <row r="2893" spans="2:7">
      <c r="B2893" t="str">
        <f>'Inputs&amp;PricesbyCrop'!$B$20</f>
        <v>Additional Harvest Labor</v>
      </c>
      <c r="C2893" s="137" t="str">
        <f>'Inputs&amp;PricesbyCrop'!$C$20</f>
        <v>hour</v>
      </c>
      <c r="D2893" s="166">
        <f>GeneralInputPrices!$D$32</f>
        <v>17.89</v>
      </c>
      <c r="E2893" s="166">
        <f>'Inputs&amp;PricesbyCrop'!$U$20*BASEBUDGETS!$C2781</f>
        <v>0</v>
      </c>
      <c r="F2893" s="166">
        <f t="shared" si="239"/>
        <v>0</v>
      </c>
      <c r="G2893" s="163" t="e">
        <f t="shared" si="236"/>
        <v>#DIV/0!</v>
      </c>
    </row>
    <row r="2894" spans="2:7">
      <c r="B2894" t="str">
        <f>'Inputs&amp;PricesbyCrop'!$B$21</f>
        <v>Additional Harvest Labor</v>
      </c>
      <c r="C2894" s="137" t="str">
        <f>'Inputs&amp;PricesbyCrop'!$C$21</f>
        <v>hour</v>
      </c>
      <c r="D2894" s="166">
        <f>GeneralInputPrices!$D$32</f>
        <v>17.89</v>
      </c>
      <c r="E2894" s="166">
        <f>'Inputs&amp;PricesbyCrop'!$U$21*BASEBUDGETS!$C2781</f>
        <v>0</v>
      </c>
      <c r="F2894" s="166">
        <f t="shared" si="239"/>
        <v>0</v>
      </c>
      <c r="G2894" s="163" t="e">
        <f t="shared" si="236"/>
        <v>#DIV/0!</v>
      </c>
    </row>
    <row r="2895" spans="2:7">
      <c r="B2895" t="s">
        <v>59</v>
      </c>
      <c r="C2895" s="137" t="str">
        <f>GeneralInputPrices!$C$34</f>
        <v>percent</v>
      </c>
      <c r="D2895" s="138">
        <f>GeneralInputPrices!$D$34</f>
        <v>0.05</v>
      </c>
      <c r="E2895" s="75" t="s">
        <v>10</v>
      </c>
      <c r="F2895" s="37">
        <f>SUM(F2789:F2888)*D2895</f>
        <v>0</v>
      </c>
      <c r="G2895" s="163" t="e">
        <f t="shared" si="236"/>
        <v>#DIV/0!</v>
      </c>
    </row>
    <row r="2896" spans="2:7">
      <c r="B2896" t="s">
        <v>60</v>
      </c>
      <c r="C2896" s="137" t="str">
        <f>GeneralInputPrices!$C$34</f>
        <v>percent</v>
      </c>
      <c r="D2896" s="138">
        <f>GeneralInputPrices!$D$35</f>
        <v>0.06</v>
      </c>
      <c r="F2896" s="139">
        <f>SUM(F2789:F2895)*((D2896/12)*GeneralInputPrices!$D$39)</f>
        <v>0</v>
      </c>
      <c r="G2896" s="163" t="e">
        <f t="shared" si="236"/>
        <v>#DIV/0!</v>
      </c>
    </row>
    <row r="2897" spans="2:7">
      <c r="B2897" t="s">
        <v>61</v>
      </c>
      <c r="D2897" s="454"/>
      <c r="F2897" s="37">
        <f>SUM(F2789:F2896)</f>
        <v>0</v>
      </c>
      <c r="G2897" s="163" t="e">
        <f t="shared" si="236"/>
        <v>#DIV/0!</v>
      </c>
    </row>
    <row r="2898" spans="2:7">
      <c r="D2898" s="454"/>
      <c r="G2898" s="163" t="e">
        <f t="shared" si="236"/>
        <v>#DIV/0!</v>
      </c>
    </row>
    <row r="2899" spans="2:7">
      <c r="B2899" s="140" t="s">
        <v>129</v>
      </c>
      <c r="C2899" s="458" t="s">
        <v>1</v>
      </c>
      <c r="D2899" s="459" t="s">
        <v>24</v>
      </c>
      <c r="E2899" s="460" t="s">
        <v>25</v>
      </c>
      <c r="F2899" s="460" t="s">
        <v>0</v>
      </c>
      <c r="G2899" s="163" t="e">
        <f t="shared" si="236"/>
        <v>#VALUE!</v>
      </c>
    </row>
    <row r="2900" spans="2:7">
      <c r="B2900" t="str">
        <f>GeneralInputPrices!$B$15&amp;" - Upfront Costs for New System"</f>
        <v>Flood - Upfront Costs for New System</v>
      </c>
      <c r="C2900" s="453" t="str">
        <f>GeneralInputPrices!$C$16</f>
        <v>acre</v>
      </c>
      <c r="D2900" s="166">
        <f>IF('BreakevenInputs&amp;Resources'!T$16=0,0,(('BreakevenInputs&amp;Resources'!T$16/GeneralInputPrices!$D$17)*('AcresYieldsPrices&amp;Water'!$Q$26/'AcresYieldsPrices&amp;Water'!$Q$31))/$C2781)</f>
        <v>0</v>
      </c>
      <c r="E2900" s="166">
        <f>$C2781</f>
        <v>0</v>
      </c>
      <c r="F2900" s="166">
        <f>D2900*E2900</f>
        <v>0</v>
      </c>
      <c r="G2900" s="163" t="e">
        <f t="shared" si="236"/>
        <v>#DIV/0!</v>
      </c>
    </row>
    <row r="2901" spans="2:7">
      <c r="B2901" t="str">
        <f>GeneralInputPrices!$B$19&amp;" - Upfront Costs for New System"</f>
        <v>Drip-tape - Upfront Costs for New System</v>
      </c>
      <c r="C2901" s="453" t="str">
        <f>GeneralInputPrices!$C$20</f>
        <v>acre</v>
      </c>
      <c r="D2901" s="166">
        <f>IF('BreakevenInputs&amp;Resources'!T$17=0,0,(('BreakevenInputs&amp;Resources'!T$17/GeneralInputPrices!$D$21)*('AcresYieldsPrices&amp;Water'!$Q$26/'AcresYieldsPrices&amp;Water'!$Q$31))/$C2781)</f>
        <v>0</v>
      </c>
      <c r="E2901" s="166">
        <f>$C2781</f>
        <v>0</v>
      </c>
      <c r="F2901" s="166">
        <f>D2901*E2901</f>
        <v>0</v>
      </c>
      <c r="G2901" s="163" t="e">
        <f t="shared" si="236"/>
        <v>#DIV/0!</v>
      </c>
    </row>
    <row r="2902" spans="2:7">
      <c r="B2902" t="str">
        <f>GeneralInputPrices!$B$23&amp;" - Upfront Costs for New System"</f>
        <v>Sprinkler - Upfront Costs for New System</v>
      </c>
      <c r="C2902" s="453" t="str">
        <f>GeneralInputPrices!$C$24</f>
        <v>acre</v>
      </c>
      <c r="D2902" s="166">
        <f>IF('BreakevenInputs&amp;Resources'!T$18=0,0,(('BreakevenInputs&amp;Resources'!T$18/GeneralInputPrices!$D$25)*('AcresYieldsPrices&amp;Water'!$Q$26/'AcresYieldsPrices&amp;Water'!$Q$31))/$C2781)</f>
        <v>0</v>
      </c>
      <c r="E2902" s="166">
        <f>$C2781</f>
        <v>0</v>
      </c>
      <c r="F2902" s="166">
        <f>D2902*E2902</f>
        <v>0</v>
      </c>
      <c r="G2902" s="163" t="e">
        <f t="shared" si="236"/>
        <v>#DIV/0!</v>
      </c>
    </row>
    <row r="2903" spans="2:7">
      <c r="B2903" s="463" t="str">
        <f>TillageOperations!$B$7</f>
        <v>V-Ripper</v>
      </c>
      <c r="C2903" s="464" t="s">
        <v>157</v>
      </c>
      <c r="D2903" s="166">
        <f>PubMachineryTables!$AO$49</f>
        <v>209.18701372031111</v>
      </c>
      <c r="E2903" s="166">
        <f>E2832</f>
        <v>0</v>
      </c>
      <c r="F2903" s="168">
        <f t="shared" ref="F2903:F2914" si="240">D2903*E2903</f>
        <v>0</v>
      </c>
      <c r="G2903" s="163" t="e">
        <f t="shared" si="236"/>
        <v>#DIV/0!</v>
      </c>
    </row>
    <row r="2904" spans="2:7">
      <c r="B2904" s="463" t="str">
        <f>TillageOperations!$B$8</f>
        <v>Offset Disk</v>
      </c>
      <c r="C2904" s="464" t="s">
        <v>157</v>
      </c>
      <c r="D2904" s="166">
        <f>PubMachineryTables!$AO$50</f>
        <v>42.467441655558019</v>
      </c>
      <c r="E2904" s="166">
        <f>E2834</f>
        <v>0</v>
      </c>
      <c r="F2904" s="166">
        <f t="shared" si="240"/>
        <v>0</v>
      </c>
      <c r="G2904" s="163" t="e">
        <f t="shared" si="236"/>
        <v>#DIV/0!</v>
      </c>
    </row>
    <row r="2905" spans="2:7">
      <c r="B2905" s="463" t="str">
        <f>TillageOperations!$B$9</f>
        <v>Drag</v>
      </c>
      <c r="C2905" s="464" t="s">
        <v>157</v>
      </c>
      <c r="D2905" s="166">
        <f>PubMachineryTables!$AO$51</f>
        <v>0</v>
      </c>
      <c r="E2905" s="166">
        <f>E2836</f>
        <v>0</v>
      </c>
      <c r="F2905" s="166">
        <f t="shared" si="240"/>
        <v>0</v>
      </c>
      <c r="G2905" s="163" t="e">
        <f t="shared" si="236"/>
        <v>#DIV/0!</v>
      </c>
    </row>
    <row r="2906" spans="2:7">
      <c r="B2906" s="463" t="str">
        <f>TillageOperations!$B$10</f>
        <v>Chisel</v>
      </c>
      <c r="C2906" s="464" t="s">
        <v>157</v>
      </c>
      <c r="D2906" s="166">
        <f>PubMachineryTables!$AO$52</f>
        <v>40.724752902248241</v>
      </c>
      <c r="E2906" s="166">
        <f>E2838</f>
        <v>0</v>
      </c>
      <c r="F2906" s="166">
        <f t="shared" si="240"/>
        <v>0</v>
      </c>
      <c r="G2906" s="163" t="e">
        <f t="shared" si="236"/>
        <v>#DIV/0!</v>
      </c>
    </row>
    <row r="2907" spans="2:7">
      <c r="B2907" s="463" t="str">
        <f>TillageOperations!$B$11</f>
        <v>Moldboard Plow</v>
      </c>
      <c r="C2907" s="464" t="s">
        <v>157</v>
      </c>
      <c r="D2907" s="166">
        <f>PubMachineryTables!$AO$53</f>
        <v>0</v>
      </c>
      <c r="E2907" s="166">
        <f>E2840</f>
        <v>0</v>
      </c>
      <c r="F2907" s="166">
        <f t="shared" si="240"/>
        <v>0</v>
      </c>
      <c r="G2907" s="163" t="e">
        <f t="shared" si="236"/>
        <v>#DIV/0!</v>
      </c>
    </row>
    <row r="2908" spans="2:7">
      <c r="B2908" s="463" t="str">
        <f>TillageOperations!$B$12</f>
        <v>Cultivator</v>
      </c>
      <c r="C2908" s="464" t="s">
        <v>157</v>
      </c>
      <c r="D2908" s="166">
        <f>PubMachineryTables!$AO$54</f>
        <v>0</v>
      </c>
      <c r="E2908" s="166">
        <f>E2842</f>
        <v>0</v>
      </c>
      <c r="F2908" s="166">
        <f t="shared" si="240"/>
        <v>0</v>
      </c>
      <c r="G2908" s="163" t="e">
        <f t="shared" si="236"/>
        <v>#DIV/0!</v>
      </c>
    </row>
    <row r="2909" spans="2:7">
      <c r="B2909" s="463" t="str">
        <f>TillageOperations!$B$13</f>
        <v>Landplane</v>
      </c>
      <c r="C2909" s="464" t="s">
        <v>157</v>
      </c>
      <c r="D2909" s="166">
        <f>PubMachineryTables!$AO$55</f>
        <v>107.77752986339607</v>
      </c>
      <c r="E2909" s="166">
        <f>E2844</f>
        <v>0</v>
      </c>
      <c r="F2909" s="166">
        <f t="shared" si="240"/>
        <v>0</v>
      </c>
      <c r="G2909" s="163" t="e">
        <f t="shared" si="236"/>
        <v>#DIV/0!</v>
      </c>
    </row>
    <row r="2910" spans="2:7">
      <c r="B2910" s="463" t="str">
        <f>TillageOperations!$B$14</f>
        <v>Float</v>
      </c>
      <c r="C2910" s="464" t="s">
        <v>157</v>
      </c>
      <c r="D2910" s="166">
        <f>PubMachineryTables!$AO$56</f>
        <v>0</v>
      </c>
      <c r="E2910" s="166">
        <f>E2846</f>
        <v>0</v>
      </c>
      <c r="F2910" s="166">
        <f t="shared" si="240"/>
        <v>0</v>
      </c>
      <c r="G2910" s="163" t="e">
        <f t="shared" si="236"/>
        <v>#DIV/0!</v>
      </c>
    </row>
    <row r="2911" spans="2:7">
      <c r="B2911" s="463" t="str">
        <f>TillageOperations!$B$15</f>
        <v>Lister</v>
      </c>
      <c r="C2911" s="464" t="s">
        <v>157</v>
      </c>
      <c r="D2911" s="166">
        <f>PubMachineryTables!$AO$57</f>
        <v>72.676050764764099</v>
      </c>
      <c r="E2911" s="166">
        <f>E2848</f>
        <v>0</v>
      </c>
      <c r="F2911" s="166">
        <f t="shared" si="240"/>
        <v>0</v>
      </c>
      <c r="G2911" s="163" t="e">
        <f t="shared" si="236"/>
        <v>#DIV/0!</v>
      </c>
    </row>
    <row r="2912" spans="2:7">
      <c r="B2912" s="463" t="str">
        <f>TillageOperations!$B$16</f>
        <v>Bed Shaper</v>
      </c>
      <c r="C2912" s="464" t="s">
        <v>157</v>
      </c>
      <c r="D2912" s="166">
        <f>PubMachineryTables!$AO$58</f>
        <v>50.420091551988918</v>
      </c>
      <c r="E2912" s="166">
        <f>E2850</f>
        <v>0</v>
      </c>
      <c r="F2912" s="166">
        <f t="shared" si="240"/>
        <v>0</v>
      </c>
      <c r="G2912" s="163" t="e">
        <f t="shared" si="236"/>
        <v>#DIV/0!</v>
      </c>
    </row>
    <row r="2913" spans="2:7">
      <c r="B2913" s="463" t="str">
        <f>TillageOperations!$B$19</f>
        <v>Row Planter</v>
      </c>
      <c r="C2913" s="464" t="s">
        <v>157</v>
      </c>
      <c r="D2913" s="166">
        <f>PubMachineryTables!$AO$60</f>
        <v>218.60367298033367</v>
      </c>
      <c r="E2913" s="166">
        <f>E2852</f>
        <v>0</v>
      </c>
      <c r="F2913" s="166">
        <f t="shared" si="240"/>
        <v>0</v>
      </c>
      <c r="G2913" s="163" t="e">
        <f t="shared" si="236"/>
        <v>#DIV/0!</v>
      </c>
    </row>
    <row r="2914" spans="2:7">
      <c r="B2914" s="463" t="str">
        <f>TillageOperations!$B$20</f>
        <v>Row Cultivator</v>
      </c>
      <c r="C2914" s="464" t="s">
        <v>157</v>
      </c>
      <c r="D2914" s="166">
        <f>PubMachineryTables!$AO$61</f>
        <v>74.064902712939798</v>
      </c>
      <c r="E2914" s="166">
        <f>E2854</f>
        <v>0</v>
      </c>
      <c r="F2914" s="166">
        <f t="shared" si="240"/>
        <v>0</v>
      </c>
      <c r="G2914" s="163" t="e">
        <f t="shared" si="236"/>
        <v>#DIV/0!</v>
      </c>
    </row>
    <row r="2915" spans="2:7">
      <c r="B2915" s="465" t="str">
        <f>TillageOperations!$B$21</f>
        <v>Drill</v>
      </c>
      <c r="C2915" s="464" t="s">
        <v>157</v>
      </c>
      <c r="D2915" s="166">
        <f>PubMachineryTables!$AO$62</f>
        <v>51.837941761576523</v>
      </c>
      <c r="E2915" s="166">
        <f>E2856</f>
        <v>0</v>
      </c>
      <c r="F2915" s="166">
        <f t="shared" ref="F2915:F2919" si="241">D2915*E2915</f>
        <v>0</v>
      </c>
      <c r="G2915" s="163" t="e">
        <f t="shared" ref="G2915:G2940" si="242">F2915/C$2781</f>
        <v>#DIV/0!</v>
      </c>
    </row>
    <row r="2916" spans="2:7">
      <c r="B2916" s="463" t="str">
        <f>TillageOperations!$B$27</f>
        <v>Cotton Picker</v>
      </c>
      <c r="C2916" s="464" t="s">
        <v>157</v>
      </c>
      <c r="D2916" s="166">
        <f>PubMachineryTables!$AO$67</f>
        <v>0</v>
      </c>
      <c r="E2916" s="166">
        <f>E2858</f>
        <v>0</v>
      </c>
      <c r="F2916" s="166">
        <f t="shared" si="241"/>
        <v>0</v>
      </c>
      <c r="G2916" s="163" t="e">
        <f t="shared" si="242"/>
        <v>#DIV/0!</v>
      </c>
    </row>
    <row r="2917" spans="2:7">
      <c r="B2917" s="463" t="str">
        <f>TillageOperations!$B$28</f>
        <v>Module Unit</v>
      </c>
      <c r="C2917" s="464" t="s">
        <v>157</v>
      </c>
      <c r="D2917" s="166">
        <f>PubMachineryTables!$AO$68</f>
        <v>0</v>
      </c>
      <c r="E2917" s="166">
        <f>E2860</f>
        <v>0</v>
      </c>
      <c r="F2917" s="166">
        <f t="shared" si="241"/>
        <v>0</v>
      </c>
      <c r="G2917" s="163" t="e">
        <f t="shared" si="242"/>
        <v>#DIV/0!</v>
      </c>
    </row>
    <row r="2918" spans="2:7">
      <c r="B2918" s="463" t="str">
        <f>TillageOperations!$B$29</f>
        <v>Haul Cotton</v>
      </c>
      <c r="C2918" s="464" t="s">
        <v>157</v>
      </c>
      <c r="D2918" s="166">
        <f>PubMachineryTables!$AO$69</f>
        <v>0</v>
      </c>
      <c r="E2918" s="166">
        <f>E2862</f>
        <v>0</v>
      </c>
      <c r="F2918" s="166">
        <f t="shared" si="241"/>
        <v>0</v>
      </c>
      <c r="G2918" s="163" t="e">
        <f t="shared" si="242"/>
        <v>#DIV/0!</v>
      </c>
    </row>
    <row r="2919" spans="2:7">
      <c r="B2919" s="465" t="str">
        <f>TillageOperations!$B$17</f>
        <v>Cotton Shredder/Root Puller</v>
      </c>
      <c r="C2919" s="464" t="s">
        <v>157</v>
      </c>
      <c r="D2919" s="166">
        <f>PubMachineryTables!$AO$59</f>
        <v>0</v>
      </c>
      <c r="E2919" s="166">
        <f>E2864</f>
        <v>0</v>
      </c>
      <c r="F2919" s="166">
        <f t="shared" si="241"/>
        <v>0</v>
      </c>
      <c r="G2919" s="163" t="e">
        <f t="shared" si="242"/>
        <v>#DIV/0!</v>
      </c>
    </row>
    <row r="2920" spans="2:7">
      <c r="B2920" s="102" t="str">
        <f>TillageOperations!$B$30</f>
        <v>Combine</v>
      </c>
      <c r="C2920" s="464" t="s">
        <v>157</v>
      </c>
      <c r="D2920" s="166">
        <f>PubMachineryTables!$AO$70</f>
        <v>154.43457969840463</v>
      </c>
      <c r="E2920" s="166">
        <f>E2866</f>
        <v>0</v>
      </c>
      <c r="F2920" s="166">
        <f>D2920*E2920</f>
        <v>0</v>
      </c>
      <c r="G2920" s="163" t="e">
        <f t="shared" si="242"/>
        <v>#DIV/0!</v>
      </c>
    </row>
    <row r="2921" spans="2:7">
      <c r="B2921" s="102" t="str">
        <f>TillageOperations!$B$31</f>
        <v>Grain Cart</v>
      </c>
      <c r="C2921" s="464" t="s">
        <v>157</v>
      </c>
      <c r="D2921" s="166">
        <f>PubMachineryTables!$AO$71</f>
        <v>25.28843211678571</v>
      </c>
      <c r="E2921" s="166">
        <f>E2868</f>
        <v>0</v>
      </c>
      <c r="F2921" s="166">
        <f>D2921*E2921</f>
        <v>0</v>
      </c>
      <c r="G2921" s="163" t="e">
        <f t="shared" si="242"/>
        <v>#DIV/0!</v>
      </c>
    </row>
    <row r="2922" spans="2:7">
      <c r="B2922" s="102" t="str">
        <f>TillageOperations!$B$32</f>
        <v>Swather</v>
      </c>
      <c r="C2922" s="464" t="s">
        <v>157</v>
      </c>
      <c r="D2922" s="166">
        <f>PubMachineryTables!$AO$72</f>
        <v>0</v>
      </c>
      <c r="E2922" s="166">
        <f>E2870</f>
        <v>0</v>
      </c>
      <c r="F2922" s="166">
        <f t="shared" ref="F2922:F2930" si="243">D2922*E2922</f>
        <v>0</v>
      </c>
      <c r="G2922" s="163" t="e">
        <f t="shared" si="242"/>
        <v>#DIV/0!</v>
      </c>
    </row>
    <row r="2923" spans="2:7">
      <c r="B2923" s="102" t="str">
        <f>TillageOperations!$B$33</f>
        <v>Baler</v>
      </c>
      <c r="C2923" s="464" t="s">
        <v>157</v>
      </c>
      <c r="D2923" s="166">
        <f>PubMachineryTables!$AO$73</f>
        <v>0</v>
      </c>
      <c r="E2923" s="166">
        <f>E2872</f>
        <v>0</v>
      </c>
      <c r="F2923" s="166">
        <f t="shared" si="243"/>
        <v>0</v>
      </c>
      <c r="G2923" s="163" t="e">
        <f t="shared" si="242"/>
        <v>#DIV/0!</v>
      </c>
    </row>
    <row r="2924" spans="2:7">
      <c r="B2924" s="102" t="str">
        <f>TillageOperations!$B$34</f>
        <v>Swather</v>
      </c>
      <c r="C2924" s="464" t="s">
        <v>157</v>
      </c>
      <c r="D2924" s="166">
        <f>PubMachineryTables!$AO$74</f>
        <v>0</v>
      </c>
      <c r="E2924" s="166">
        <f>E2874</f>
        <v>0</v>
      </c>
      <c r="F2924" s="166">
        <f t="shared" si="243"/>
        <v>0</v>
      </c>
      <c r="G2924" s="163" t="e">
        <f t="shared" si="242"/>
        <v>#DIV/0!</v>
      </c>
    </row>
    <row r="2925" spans="2:7">
      <c r="B2925" s="102" t="str">
        <f>TillageOperations!$B$35</f>
        <v>Baler</v>
      </c>
      <c r="C2925" s="464" t="s">
        <v>157</v>
      </c>
      <c r="D2925" s="166">
        <f>PubMachineryTables!$AO$75</f>
        <v>0</v>
      </c>
      <c r="E2925" s="166">
        <f>E2876</f>
        <v>0</v>
      </c>
      <c r="F2925" s="166">
        <f t="shared" si="243"/>
        <v>0</v>
      </c>
      <c r="G2925" s="163" t="e">
        <f t="shared" si="242"/>
        <v>#DIV/0!</v>
      </c>
    </row>
    <row r="2926" spans="2:7">
      <c r="B2926" s="102" t="str">
        <f>TillageOperations!$B$36</f>
        <v>Bale Wagon</v>
      </c>
      <c r="C2926" s="464" t="s">
        <v>157</v>
      </c>
      <c r="D2926" s="166">
        <f>PubMachineryTables!$AO$76</f>
        <v>0</v>
      </c>
      <c r="E2926" s="166">
        <f>E2879</f>
        <v>0</v>
      </c>
      <c r="F2926" s="166">
        <f t="shared" si="243"/>
        <v>0</v>
      </c>
      <c r="G2926" s="163" t="e">
        <f t="shared" si="242"/>
        <v>#DIV/0!</v>
      </c>
    </row>
    <row r="2927" spans="2:7">
      <c r="B2927" s="102" t="str">
        <f>TillageOperations!$B$23</f>
        <v>Fertilizer Spreader</v>
      </c>
      <c r="C2927" s="464" t="s">
        <v>157</v>
      </c>
      <c r="D2927" s="166">
        <f>PubMachineryTables!$AO$64</f>
        <v>93.913865291400512</v>
      </c>
      <c r="E2927" s="166">
        <f>E2881</f>
        <v>0</v>
      </c>
      <c r="F2927" s="166">
        <f t="shared" si="243"/>
        <v>0</v>
      </c>
      <c r="G2927" s="163" t="e">
        <f t="shared" si="242"/>
        <v>#DIV/0!</v>
      </c>
    </row>
    <row r="2928" spans="2:7">
      <c r="B2928" s="102" t="str">
        <f>TillageOperations!$B$24</f>
        <v>Fertilizer Injection System</v>
      </c>
      <c r="C2928" s="464" t="s">
        <v>157</v>
      </c>
      <c r="D2928" s="166">
        <f>PubMachineryTables!$AO$65</f>
        <v>0</v>
      </c>
      <c r="E2928" s="166">
        <f>E2883</f>
        <v>0</v>
      </c>
      <c r="F2928" s="166">
        <f t="shared" si="243"/>
        <v>0</v>
      </c>
      <c r="G2928" s="163" t="e">
        <f t="shared" si="242"/>
        <v>#DIV/0!</v>
      </c>
    </row>
    <row r="2929" spans="2:8">
      <c r="B2929" s="102" t="str">
        <f>TillageOperations!$B$25</f>
        <v>Boom Sprayer</v>
      </c>
      <c r="C2929" s="464" t="s">
        <v>157</v>
      </c>
      <c r="D2929" s="166">
        <f>PubMachineryTables!$AO$66</f>
        <v>9.6826493425933542</v>
      </c>
      <c r="E2929" s="166">
        <f>E2885</f>
        <v>0</v>
      </c>
      <c r="F2929" s="166">
        <f t="shared" si="243"/>
        <v>0</v>
      </c>
      <c r="G2929" s="163" t="e">
        <f t="shared" si="242"/>
        <v>#DIV/0!</v>
      </c>
    </row>
    <row r="2930" spans="2:8">
      <c r="B2930" s="102" t="str">
        <f>TillageOperations!$B$22</f>
        <v>Transplanter</v>
      </c>
      <c r="C2930" s="464" t="s">
        <v>157</v>
      </c>
      <c r="D2930" s="166">
        <f>PubMachineryTables!$AO$63</f>
        <v>0</v>
      </c>
      <c r="E2930" s="166">
        <f>E2887</f>
        <v>0</v>
      </c>
      <c r="F2930" s="166">
        <f t="shared" si="243"/>
        <v>0</v>
      </c>
      <c r="G2930" s="163" t="e">
        <f t="shared" si="242"/>
        <v>#DIV/0!</v>
      </c>
    </row>
    <row r="2931" spans="2:8">
      <c r="B2931" t="str">
        <f>'Inputs&amp;PricesbyCrop'!$B$39</f>
        <v>Crop Insurance</v>
      </c>
      <c r="C2931" s="464" t="s">
        <v>157</v>
      </c>
      <c r="D2931" s="166">
        <f>'Inputs&amp;PricesbyCrop'!$U$39</f>
        <v>0</v>
      </c>
      <c r="E2931" s="169">
        <f t="shared" ref="E2931:E2936" si="244">$C$2781</f>
        <v>0</v>
      </c>
      <c r="F2931" s="166">
        <f>D2931*E2931</f>
        <v>0</v>
      </c>
      <c r="G2931" s="163" t="e">
        <f t="shared" si="242"/>
        <v>#DIV/0!</v>
      </c>
    </row>
    <row r="2932" spans="2:8">
      <c r="B2932" t="str">
        <f>'Inputs&amp;PricesbyCrop'!$B$40</f>
        <v>Property Insurance</v>
      </c>
      <c r="C2932" s="464" t="s">
        <v>157</v>
      </c>
      <c r="D2932" s="166">
        <f>'Inputs&amp;PricesbyCrop'!$U$40</f>
        <v>0</v>
      </c>
      <c r="E2932" s="169">
        <f t="shared" si="244"/>
        <v>0</v>
      </c>
      <c r="F2932" s="166">
        <f>D2932*E2932</f>
        <v>0</v>
      </c>
      <c r="G2932" s="163" t="e">
        <f t="shared" si="242"/>
        <v>#DIV/0!</v>
      </c>
    </row>
    <row r="2933" spans="2:8">
      <c r="B2933" t="str">
        <f>'Inputs&amp;PricesbyCrop'!$B$41</f>
        <v>Property Taxes</v>
      </c>
      <c r="C2933" s="464" t="s">
        <v>157</v>
      </c>
      <c r="D2933" s="166">
        <f>'Inputs&amp;PricesbyCrop'!$U$41</f>
        <v>0</v>
      </c>
      <c r="E2933" s="169">
        <f t="shared" si="244"/>
        <v>0</v>
      </c>
      <c r="F2933" s="166">
        <f t="shared" ref="F2933:F2936" si="245">D2933*E2933</f>
        <v>0</v>
      </c>
      <c r="G2933" s="163" t="e">
        <f t="shared" si="242"/>
        <v>#DIV/0!</v>
      </c>
    </row>
    <row r="2934" spans="2:8">
      <c r="B2934" t="str">
        <f>'Inputs&amp;PricesbyCrop'!$B$42</f>
        <v>Annual Cash Rent Payment</v>
      </c>
      <c r="C2934" s="464" t="s">
        <v>157</v>
      </c>
      <c r="D2934" s="166">
        <f>'Inputs&amp;PricesbyCrop'!$U$42</f>
        <v>170</v>
      </c>
      <c r="E2934" s="169">
        <f t="shared" si="244"/>
        <v>0</v>
      </c>
      <c r="F2934" s="166">
        <f t="shared" si="245"/>
        <v>0</v>
      </c>
      <c r="G2934" s="163" t="e">
        <f t="shared" si="242"/>
        <v>#DIV/0!</v>
      </c>
    </row>
    <row r="2935" spans="2:8">
      <c r="B2935" t="s">
        <v>484</v>
      </c>
      <c r="C2935" s="464" t="s">
        <v>157</v>
      </c>
      <c r="D2935" s="166">
        <f>AlfalfaHayEst!I103</f>
        <v>0</v>
      </c>
      <c r="E2935" s="169">
        <f t="shared" si="244"/>
        <v>0</v>
      </c>
      <c r="F2935" s="166">
        <f t="shared" ref="F2935" si="246">D2935*E2935</f>
        <v>0</v>
      </c>
      <c r="G2935" s="163" t="e">
        <f t="shared" si="242"/>
        <v>#DIV/0!</v>
      </c>
    </row>
    <row r="2936" spans="2:8">
      <c r="B2936" t="str">
        <f>'Inputs&amp;PricesbyCrop'!$B$49</f>
        <v>Licenses and Fees</v>
      </c>
      <c r="C2936" s="464" t="s">
        <v>157</v>
      </c>
      <c r="D2936" s="166">
        <f>'Inputs&amp;PricesbyCrop'!$U$49</f>
        <v>0</v>
      </c>
      <c r="E2936" s="169">
        <f t="shared" si="244"/>
        <v>0</v>
      </c>
      <c r="F2936" s="170">
        <f t="shared" si="245"/>
        <v>0</v>
      </c>
      <c r="G2936" s="163" t="e">
        <f t="shared" si="242"/>
        <v>#DIV/0!</v>
      </c>
    </row>
    <row r="2937" spans="2:8">
      <c r="B2937" t="s">
        <v>131</v>
      </c>
      <c r="D2937" s="454"/>
      <c r="F2937" s="37">
        <f>SUM(F2900:F2936)</f>
        <v>0</v>
      </c>
      <c r="G2937" s="163" t="e">
        <f t="shared" si="242"/>
        <v>#DIV/0!</v>
      </c>
      <c r="H2937" s="163" t="e">
        <f>G2937-G2934-G2935</f>
        <v>#DIV/0!</v>
      </c>
    </row>
    <row r="2938" spans="2:8">
      <c r="D2938" s="454"/>
      <c r="G2938" s="163" t="e">
        <f t="shared" si="242"/>
        <v>#DIV/0!</v>
      </c>
    </row>
    <row r="2939" spans="2:8">
      <c r="B2939" t="s">
        <v>63</v>
      </c>
      <c r="D2939" s="454"/>
      <c r="F2939" s="37">
        <f>F2937+F2897</f>
        <v>0</v>
      </c>
      <c r="G2939" s="163" t="e">
        <f t="shared" si="242"/>
        <v>#DIV/0!</v>
      </c>
    </row>
    <row r="2940" spans="2:8">
      <c r="B2940" t="s">
        <v>64</v>
      </c>
      <c r="D2940" s="454"/>
      <c r="F2940" s="37">
        <f>F2786-F2939</f>
        <v>0</v>
      </c>
      <c r="G2940" s="163" t="e">
        <f t="shared" si="242"/>
        <v>#DIV/0!</v>
      </c>
    </row>
    <row r="2941" spans="2:8">
      <c r="B2941" s="249" t="s">
        <v>276</v>
      </c>
      <c r="C2941" s="249" t="s">
        <v>4</v>
      </c>
      <c r="D2941" s="250" t="s">
        <v>277</v>
      </c>
      <c r="E2941" s="249" t="s">
        <v>278</v>
      </c>
      <c r="F2941" s="249" t="s">
        <v>279</v>
      </c>
      <c r="G2941" s="249"/>
    </row>
    <row r="2942" spans="2:8">
      <c r="B2942" s="135" t="s">
        <v>70</v>
      </c>
      <c r="D2942" s="454"/>
    </row>
    <row r="2943" spans="2:8">
      <c r="B2943" t="s">
        <v>16</v>
      </c>
      <c r="C2943" s="457">
        <f>IF('AcresYieldsPrices&amp;Water'!D20=0,0,'AcresYieldsPrices&amp;Water'!D20)</f>
        <v>0</v>
      </c>
      <c r="D2943" s="454" t="s">
        <v>17</v>
      </c>
    </row>
    <row r="2944" spans="2:8">
      <c r="D2944" s="454"/>
    </row>
    <row r="2945" spans="2:8">
      <c r="B2945" t="s">
        <v>22</v>
      </c>
      <c r="D2945" s="454"/>
    </row>
    <row r="2946" spans="2:8">
      <c r="B2946" s="455" t="s">
        <v>23</v>
      </c>
      <c r="C2946" s="458" t="s">
        <v>1</v>
      </c>
      <c r="D2946" s="459" t="s">
        <v>24</v>
      </c>
      <c r="E2946" s="460" t="s">
        <v>25</v>
      </c>
      <c r="F2946" s="460" t="s">
        <v>0</v>
      </c>
      <c r="G2946" s="277"/>
    </row>
    <row r="2947" spans="2:8">
      <c r="B2947" t="str">
        <f>'AcresYieldsPrices&amp;Water'!$J$22</f>
        <v>Alfalfa Hay Prod.</v>
      </c>
      <c r="C2947" s="137" t="str">
        <f>'AcresYieldsPrices&amp;Water'!$L$22</f>
        <v>ton</v>
      </c>
      <c r="D2947" s="454">
        <f>'AcresYieldsPrices&amp;Water'!$M$22</f>
        <v>250</v>
      </c>
      <c r="E2947" s="462">
        <f>'AcresYieldsPrices&amp;Water'!$N$22*$C$2943</f>
        <v>0</v>
      </c>
      <c r="F2947" s="136">
        <f>D2947*E2947</f>
        <v>0</v>
      </c>
      <c r="G2947" s="136"/>
    </row>
    <row r="2948" spans="2:8">
      <c r="B2948" t="s">
        <v>27</v>
      </c>
      <c r="D2948" s="454"/>
      <c r="F2948" s="37">
        <f>SUM(F2947:F2947)</f>
        <v>0</v>
      </c>
      <c r="G2948" s="163" t="e">
        <f>F2948/C$2943</f>
        <v>#DIV/0!</v>
      </c>
    </row>
    <row r="2949" spans="2:8">
      <c r="D2949" s="454"/>
      <c r="G2949" s="163" t="e">
        <f t="shared" ref="G2949:G3012" si="247">F2949/C$2943</f>
        <v>#DIV/0!</v>
      </c>
      <c r="H2949">
        <f>'Inputs&amp;PricesbyCrop'!$V$5</f>
        <v>0</v>
      </c>
    </row>
    <row r="2950" spans="2:8">
      <c r="B2950" s="455" t="s">
        <v>62</v>
      </c>
      <c r="C2950" s="458" t="s">
        <v>1</v>
      </c>
      <c r="D2950" s="459" t="s">
        <v>24</v>
      </c>
      <c r="E2950" s="460" t="s">
        <v>25</v>
      </c>
      <c r="F2950" s="460" t="s">
        <v>0</v>
      </c>
      <c r="G2950" s="163" t="e">
        <f t="shared" si="247"/>
        <v>#VALUE!</v>
      </c>
    </row>
    <row r="2951" spans="2:8">
      <c r="B2951" t="str">
        <f>'Inputs&amp;PricesbyCrop'!B$83</f>
        <v xml:space="preserve">   - Seed</v>
      </c>
      <c r="C2951" s="137" t="str">
        <f>'Inputs&amp;PricesbyCrop'!C$54</f>
        <v>acre</v>
      </c>
      <c r="D2951" s="163">
        <f>'Inputs&amp;PricesbyCrop'!$V$5</f>
        <v>0</v>
      </c>
      <c r="E2951" s="166">
        <f>'Inputs&amp;PricesbyCrop'!V6*$C$2943</f>
        <v>0</v>
      </c>
      <c r="F2951" s="163">
        <f t="shared" ref="F2951:F2975" si="248">D2951*E2951</f>
        <v>0</v>
      </c>
      <c r="G2951" s="163" t="e">
        <f t="shared" si="247"/>
        <v>#DIV/0!</v>
      </c>
    </row>
    <row r="2952" spans="2:8">
      <c r="B2952" t="str">
        <f>GeneralInputPrices!$B$3</f>
        <v xml:space="preserve">   - Inoculant</v>
      </c>
      <c r="C2952" s="137" t="str">
        <f>GeneralInputPrices!$C$3</f>
        <v>pounds</v>
      </c>
      <c r="D2952" s="166">
        <f>GeneralInputPrices!$D$3</f>
        <v>3</v>
      </c>
      <c r="E2952" s="166">
        <f>'Inputs&amp;PricesbyCrop'!$V$22*$C$2943</f>
        <v>0</v>
      </c>
      <c r="F2952" s="166">
        <f t="shared" si="248"/>
        <v>0</v>
      </c>
      <c r="G2952" s="163" t="e">
        <f t="shared" si="247"/>
        <v>#DIV/0!</v>
      </c>
    </row>
    <row r="2953" spans="2:8">
      <c r="B2953" t="str">
        <f>GeneralInputPrices!B$5</f>
        <v xml:space="preserve">   - Nitrogen</v>
      </c>
      <c r="C2953" s="137" t="str">
        <f>GeneralInputPrices!$C$5</f>
        <v>pounds</v>
      </c>
      <c r="D2953" s="166">
        <f>GeneralInputPrices!$D$5</f>
        <v>0.46</v>
      </c>
      <c r="E2953" s="166">
        <f>'Inputs&amp;PricesbyCrop'!$V$23*$C$2943</f>
        <v>0</v>
      </c>
      <c r="F2953" s="166">
        <f t="shared" si="248"/>
        <v>0</v>
      </c>
      <c r="G2953" s="163" t="e">
        <f t="shared" si="247"/>
        <v>#DIV/0!</v>
      </c>
    </row>
    <row r="2954" spans="2:8">
      <c r="B2954" t="str">
        <f>GeneralInputPrices!B$6</f>
        <v xml:space="preserve">   - Phosphorus</v>
      </c>
      <c r="C2954" s="137" t="str">
        <f>GeneralInputPrices!$C$6</f>
        <v>pounds</v>
      </c>
      <c r="D2954" s="166">
        <f>GeneralInputPrices!$D$6</f>
        <v>0.36</v>
      </c>
      <c r="E2954" s="166">
        <f>'Inputs&amp;PricesbyCrop'!$V$24*$C$2943</f>
        <v>0</v>
      </c>
      <c r="F2954" s="166">
        <f t="shared" si="248"/>
        <v>0</v>
      </c>
      <c r="G2954" s="163" t="e">
        <f t="shared" si="247"/>
        <v>#DIV/0!</v>
      </c>
      <c r="H2954" s="166" t="e">
        <f>G2953+G2954</f>
        <v>#DIV/0!</v>
      </c>
    </row>
    <row r="2955" spans="2:8">
      <c r="B2955" t="str">
        <f>GeneralInputPrices!B$7</f>
        <v xml:space="preserve">   - Anhydrous Ammonia</v>
      </c>
      <c r="C2955" s="137" t="str">
        <f>GeneralInputPrices!$C$7</f>
        <v>pounds</v>
      </c>
      <c r="D2955" s="166">
        <f>GeneralInputPrices!$D$7</f>
        <v>0.21</v>
      </c>
      <c r="E2955" s="166">
        <f>'Inputs&amp;PricesbyCrop'!$V$25*$C$2943</f>
        <v>0</v>
      </c>
      <c r="F2955" s="166">
        <f t="shared" si="248"/>
        <v>0</v>
      </c>
      <c r="G2955" s="163" t="e">
        <f t="shared" si="247"/>
        <v>#DIV/0!</v>
      </c>
    </row>
    <row r="2956" spans="2:8">
      <c r="B2956" t="str">
        <f>GeneralInputPrices!$B$8</f>
        <v xml:space="preserve">   - Trace Elements</v>
      </c>
      <c r="C2956" s="137" t="str">
        <f>GeneralInputPrices!$C$8</f>
        <v>pounds</v>
      </c>
      <c r="D2956" s="166">
        <f>GeneralInputPrices!$D$8</f>
        <v>0.24</v>
      </c>
      <c r="E2956" s="166">
        <f>'Inputs&amp;PricesbyCrop'!$V$26*$C$2943</f>
        <v>0</v>
      </c>
      <c r="F2956" s="166">
        <f t="shared" si="248"/>
        <v>0</v>
      </c>
      <c r="G2956" s="163" t="e">
        <f t="shared" si="247"/>
        <v>#DIV/0!</v>
      </c>
    </row>
    <row r="2957" spans="2:8">
      <c r="B2957" t="str">
        <f>'Inputs&amp;PricesbyCrop'!$B$32</f>
        <v xml:space="preserve">   - Nitrogen</v>
      </c>
      <c r="C2957" s="137" t="str">
        <f>'Inputs&amp;PricesbyCrop'!$C$32</f>
        <v>acre</v>
      </c>
      <c r="D2957" s="166">
        <f>'Inputs&amp;PricesbyCrop'!$V$32</f>
        <v>297.5</v>
      </c>
      <c r="E2957" s="166">
        <f>$C$2943</f>
        <v>0</v>
      </c>
      <c r="F2957" s="166">
        <f t="shared" si="248"/>
        <v>0</v>
      </c>
      <c r="G2957" s="163" t="e">
        <f t="shared" si="247"/>
        <v>#DIV/0!</v>
      </c>
    </row>
    <row r="2958" spans="2:8">
      <c r="B2958" t="str">
        <f>'Inputs&amp;PricesbyCrop'!$B$33</f>
        <v xml:space="preserve">   - Phosphorus</v>
      </c>
      <c r="C2958" s="137" t="str">
        <f>'Inputs&amp;PricesbyCrop'!$C$33</f>
        <v>acre</v>
      </c>
      <c r="D2958" s="166">
        <f>'Inputs&amp;PricesbyCrop'!$V$33</f>
        <v>0</v>
      </c>
      <c r="E2958" s="166">
        <f>$C$2943</f>
        <v>0</v>
      </c>
      <c r="F2958" s="166">
        <f t="shared" si="248"/>
        <v>0</v>
      </c>
      <c r="G2958" s="163" t="e">
        <f t="shared" si="247"/>
        <v>#DIV/0!</v>
      </c>
    </row>
    <row r="2959" spans="2:8">
      <c r="B2959" t="str">
        <f>'Inputs&amp;PricesbyCrop'!$B$34</f>
        <v xml:space="preserve">   - Fertilizer - Anhydrous Applicator</v>
      </c>
      <c r="C2959" s="137" t="str">
        <f>'Inputs&amp;PricesbyCrop'!$C$34</f>
        <v>acre</v>
      </c>
      <c r="D2959" s="166">
        <f>'Inputs&amp;PricesbyCrop'!$V$34</f>
        <v>0</v>
      </c>
      <c r="E2959" s="166">
        <f>$C$2943</f>
        <v>0</v>
      </c>
      <c r="F2959" s="166">
        <f t="shared" si="248"/>
        <v>0</v>
      </c>
      <c r="G2959" s="163" t="e">
        <f t="shared" si="247"/>
        <v>#DIV/0!</v>
      </c>
    </row>
    <row r="2960" spans="2:8">
      <c r="B2960" t="str">
        <f>GeneralInputPrices!$B$10</f>
        <v xml:space="preserve">   - Prowl</v>
      </c>
      <c r="C2960" s="137" t="str">
        <f>GeneralInputPrices!$C$10</f>
        <v>pints</v>
      </c>
      <c r="D2960" s="166">
        <f>GeneralInputPrices!$D$10</f>
        <v>6.0625</v>
      </c>
      <c r="E2960" s="166">
        <f>'Inputs&amp;PricesbyCrop'!$V$27*$C$2943</f>
        <v>0</v>
      </c>
      <c r="F2960" s="166">
        <f t="shared" si="248"/>
        <v>0</v>
      </c>
      <c r="G2960" s="163" t="e">
        <f t="shared" si="247"/>
        <v>#DIV/0!</v>
      </c>
    </row>
    <row r="2961" spans="2:8">
      <c r="B2961" t="str">
        <f>GeneralInputPrices!$B$11</f>
        <v xml:space="preserve">   - Aim</v>
      </c>
      <c r="C2961" s="137" t="str">
        <f>GeneralInputPrices!$C$11</f>
        <v>ounces</v>
      </c>
      <c r="D2961" s="166">
        <f>GeneralInputPrices!$D$11</f>
        <v>5.9375</v>
      </c>
      <c r="E2961" s="166">
        <f>'Inputs&amp;PricesbyCrop'!$V$28*$C$2943</f>
        <v>0</v>
      </c>
      <c r="F2961" s="166">
        <f t="shared" si="248"/>
        <v>0</v>
      </c>
      <c r="G2961" s="163" t="e">
        <f t="shared" si="247"/>
        <v>#DIV/0!</v>
      </c>
    </row>
    <row r="2962" spans="2:8">
      <c r="B2962" t="str">
        <f>GeneralInputPrices!$B$12</f>
        <v xml:space="preserve">   - Fusilade</v>
      </c>
      <c r="C2962" s="137" t="str">
        <f>GeneralInputPrices!$C$12</f>
        <v>ounces</v>
      </c>
      <c r="D2962" s="166">
        <f>GeneralInputPrices!$D$12</f>
        <v>1.25</v>
      </c>
      <c r="E2962" s="166">
        <f>'Inputs&amp;PricesbyCrop'!$V$29*$C$2943</f>
        <v>0</v>
      </c>
      <c r="F2962" s="166">
        <f t="shared" si="248"/>
        <v>0</v>
      </c>
      <c r="G2962" s="163" t="e">
        <f t="shared" si="247"/>
        <v>#DIV/0!</v>
      </c>
    </row>
    <row r="2963" spans="2:8">
      <c r="B2963" t="str">
        <f>'Inputs&amp;PricesbyCrop'!$B$35</f>
        <v xml:space="preserve">   - Herbicides</v>
      </c>
      <c r="C2963" s="137" t="str">
        <f>'Inputs&amp;PricesbyCrop'!$C$35</f>
        <v>acre</v>
      </c>
      <c r="D2963" s="166">
        <f>'Inputs&amp;PricesbyCrop'!$V$35</f>
        <v>90</v>
      </c>
      <c r="E2963" s="166">
        <f>$C$2943</f>
        <v>0</v>
      </c>
      <c r="F2963" s="166">
        <f t="shared" si="248"/>
        <v>0</v>
      </c>
      <c r="G2963" s="163" t="e">
        <f t="shared" si="247"/>
        <v>#DIV/0!</v>
      </c>
      <c r="H2963" s="166" t="e">
        <f>G2963+G2965</f>
        <v>#DIV/0!</v>
      </c>
    </row>
    <row r="2964" spans="2:8">
      <c r="B2964" t="str">
        <f>'Inputs&amp;PricesbyCrop'!$B$36</f>
        <v xml:space="preserve">   - Herbicide - #2</v>
      </c>
      <c r="C2964" s="137" t="str">
        <f>'Inputs&amp;PricesbyCrop'!$C$36</f>
        <v>acre</v>
      </c>
      <c r="D2964" s="166">
        <f>'Inputs&amp;PricesbyCrop'!$V$36</f>
        <v>0</v>
      </c>
      <c r="E2964" s="166">
        <f>$C$2943</f>
        <v>0</v>
      </c>
      <c r="F2964" s="166">
        <f t="shared" si="248"/>
        <v>0</v>
      </c>
      <c r="G2964" s="163" t="e">
        <f t="shared" si="247"/>
        <v>#DIV/0!</v>
      </c>
    </row>
    <row r="2965" spans="2:8">
      <c r="B2965" t="str">
        <f>'Inputs&amp;PricesbyCrop'!$B$37</f>
        <v xml:space="preserve">   - Insecticides</v>
      </c>
      <c r="C2965" s="137" t="str">
        <f>'Inputs&amp;PricesbyCrop'!$C$37</f>
        <v>acre</v>
      </c>
      <c r="D2965" s="166">
        <f>'Inputs&amp;PricesbyCrop'!$V$37</f>
        <v>60</v>
      </c>
      <c r="E2965" s="166">
        <f>$C$2943</f>
        <v>0</v>
      </c>
      <c r="F2965" s="166">
        <f t="shared" si="248"/>
        <v>0</v>
      </c>
      <c r="G2965" s="163" t="e">
        <f t="shared" si="247"/>
        <v>#DIV/0!</v>
      </c>
    </row>
    <row r="2966" spans="2:8">
      <c r="B2966" t="str">
        <f>'Inputs&amp;PricesbyCrop'!$B$38</f>
        <v xml:space="preserve">   - Insecticide - #2</v>
      </c>
      <c r="C2966" s="137" t="str">
        <f>'Inputs&amp;PricesbyCrop'!$C$38</f>
        <v>acre</v>
      </c>
      <c r="D2966" s="166">
        <f>'Inputs&amp;PricesbyCrop'!$V$38</f>
        <v>0</v>
      </c>
      <c r="E2966" s="166">
        <f>$C$2943</f>
        <v>0</v>
      </c>
      <c r="F2966" s="166">
        <f t="shared" si="248"/>
        <v>0</v>
      </c>
      <c r="G2966" s="163" t="e">
        <f t="shared" si="247"/>
        <v>#DIV/0!</v>
      </c>
    </row>
    <row r="2967" spans="2:8">
      <c r="B2967" t="str">
        <f>'Inputs&amp;PricesbyCrop'!$B$7</f>
        <v>Flood - Irrigation Water</v>
      </c>
      <c r="C2967" s="137" t="str">
        <f>'Inputs&amp;PricesbyCrop'!$C$7</f>
        <v>ac ft</v>
      </c>
      <c r="D2967" s="166">
        <f>GeneralInputPrices!$D$13</f>
        <v>55</v>
      </c>
      <c r="E2967" s="102">
        <f>('AcresYieldsPrices&amp;Water'!$E$20*'Inputs&amp;PricesbyCrop'!$V$7)*$C2943</f>
        <v>0</v>
      </c>
      <c r="F2967" s="166">
        <f t="shared" si="248"/>
        <v>0</v>
      </c>
      <c r="G2967" s="163" t="e">
        <f t="shared" si="247"/>
        <v>#DIV/0!</v>
      </c>
    </row>
    <row r="2968" spans="2:8">
      <c r="B2968" t="str">
        <f>'Inputs&amp;PricesbyCrop'!$B$8</f>
        <v>Flood - Irrigation Labor</v>
      </c>
      <c r="C2968" s="137" t="str">
        <f>'Inputs&amp;PricesbyCrop'!$C$8</f>
        <v>hour</v>
      </c>
      <c r="D2968" s="166">
        <f>GeneralInputPrices!$D$28</f>
        <v>14.55</v>
      </c>
      <c r="E2968" s="166">
        <f>('AcresYieldsPrices&amp;Water'!$E$20*'Inputs&amp;PricesbyCrop'!$V$8)*$C2943</f>
        <v>0</v>
      </c>
      <c r="F2968" s="166">
        <f t="shared" si="248"/>
        <v>0</v>
      </c>
      <c r="G2968" s="163" t="e">
        <f t="shared" si="247"/>
        <v>#DIV/0!</v>
      </c>
      <c r="H2968" s="166" t="e">
        <f>F2970/$C$2943</f>
        <v>#DIV/0!</v>
      </c>
    </row>
    <row r="2969" spans="2:8">
      <c r="B2969" t="str">
        <f>GeneralInputPrices!$B$18</f>
        <v xml:space="preserve">   - Annual Repairs &amp; Maintenance</v>
      </c>
      <c r="C2969" s="453" t="str">
        <f>GeneralInputPrices!$C$18</f>
        <v>acre</v>
      </c>
      <c r="D2969" s="166">
        <f>GeneralInputPrices!$D$18</f>
        <v>3</v>
      </c>
      <c r="E2969" s="166">
        <f>'AcresYieldsPrices&amp;Water'!$E$20*$C2943</f>
        <v>0</v>
      </c>
      <c r="F2969" s="166">
        <f t="shared" si="248"/>
        <v>0</v>
      </c>
      <c r="G2969" s="163" t="e">
        <f t="shared" si="247"/>
        <v>#DIV/0!</v>
      </c>
      <c r="H2969" s="166"/>
    </row>
    <row r="2970" spans="2:8">
      <c r="B2970" t="str">
        <f>'Inputs&amp;PricesbyCrop'!$B$9</f>
        <v>Drip-tape - Irrigation Water</v>
      </c>
      <c r="C2970" s="137" t="str">
        <f>'Inputs&amp;PricesbyCrop'!$C$9</f>
        <v>ac ft</v>
      </c>
      <c r="D2970" s="166">
        <f>GeneralInputPrices!$D$13</f>
        <v>55</v>
      </c>
      <c r="E2970" s="166">
        <f>('AcresYieldsPrices&amp;Water'!$F$20*'Inputs&amp;PricesbyCrop'!$V$9)*$C2943</f>
        <v>0</v>
      </c>
      <c r="F2970" s="166">
        <f t="shared" si="248"/>
        <v>0</v>
      </c>
      <c r="G2970" s="163" t="e">
        <f t="shared" si="247"/>
        <v>#DIV/0!</v>
      </c>
    </row>
    <row r="2971" spans="2:8">
      <c r="B2971" t="str">
        <f>'Inputs&amp;PricesbyCrop'!$B$10</f>
        <v>Drip-tape - Irrigation Labor</v>
      </c>
      <c r="C2971" s="137" t="str">
        <f>'Inputs&amp;PricesbyCrop'!$C$10</f>
        <v>hour</v>
      </c>
      <c r="D2971" s="166">
        <f>GeneralInputPrices!$D$28</f>
        <v>14.55</v>
      </c>
      <c r="E2971" s="166">
        <f>('AcresYieldsPrices&amp;Water'!$F$20*'Inputs&amp;PricesbyCrop'!$V$10)*$C2943</f>
        <v>0</v>
      </c>
      <c r="F2971" s="166">
        <f t="shared" si="248"/>
        <v>0</v>
      </c>
      <c r="G2971" s="163" t="e">
        <f t="shared" si="247"/>
        <v>#DIV/0!</v>
      </c>
    </row>
    <row r="2972" spans="2:8">
      <c r="B2972" t="str">
        <f>GeneralInputPrices!$B$22</f>
        <v xml:space="preserve">   - Annual Repairs &amp; Maintenance</v>
      </c>
      <c r="C2972" s="453" t="str">
        <f>GeneralInputPrices!$C$22</f>
        <v>acre</v>
      </c>
      <c r="D2972" s="166">
        <f>GeneralInputPrices!$D$22</f>
        <v>7.5</v>
      </c>
      <c r="E2972" s="166">
        <f>'AcresYieldsPrices&amp;Water'!$F$20*C2943</f>
        <v>0</v>
      </c>
      <c r="F2972" s="166">
        <f t="shared" si="248"/>
        <v>0</v>
      </c>
      <c r="G2972" s="163" t="e">
        <f t="shared" si="247"/>
        <v>#DIV/0!</v>
      </c>
    </row>
    <row r="2973" spans="2:8">
      <c r="B2973" t="str">
        <f>'Inputs&amp;PricesbyCrop'!$B$11</f>
        <v>Sprinkler - Irrigation Water</v>
      </c>
      <c r="C2973" s="137" t="str">
        <f>'Inputs&amp;PricesbyCrop'!$C$11</f>
        <v>ac ft</v>
      </c>
      <c r="D2973" s="166">
        <f>GeneralInputPrices!$D$13</f>
        <v>55</v>
      </c>
      <c r="E2973" s="166">
        <f>('AcresYieldsPrices&amp;Water'!$G$20*'Inputs&amp;PricesbyCrop'!$V$11)*$C2943</f>
        <v>0</v>
      </c>
      <c r="F2973" s="166">
        <f t="shared" si="248"/>
        <v>0</v>
      </c>
      <c r="G2973" s="163" t="e">
        <f t="shared" si="247"/>
        <v>#DIV/0!</v>
      </c>
    </row>
    <row r="2974" spans="2:8">
      <c r="B2974" t="str">
        <f>'Inputs&amp;PricesbyCrop'!$B$12</f>
        <v>Sprinkler - Irrigation Labor</v>
      </c>
      <c r="C2974" s="137" t="str">
        <f>'Inputs&amp;PricesbyCrop'!$C$12</f>
        <v>hour</v>
      </c>
      <c r="D2974" s="166">
        <f>GeneralInputPrices!$D$28</f>
        <v>14.55</v>
      </c>
      <c r="E2974" s="166">
        <f>('AcresYieldsPrices&amp;Water'!$G$20*'Inputs&amp;PricesbyCrop'!$V$12)*$C2943</f>
        <v>0</v>
      </c>
      <c r="F2974" s="166">
        <f t="shared" si="248"/>
        <v>0</v>
      </c>
      <c r="G2974" s="163" t="e">
        <f t="shared" si="247"/>
        <v>#DIV/0!</v>
      </c>
    </row>
    <row r="2975" spans="2:8">
      <c r="B2975" t="str">
        <f>GeneralInputPrices!$B$26</f>
        <v xml:space="preserve">   - Annual Repairs &amp; Maintenance</v>
      </c>
      <c r="C2975" s="453" t="str">
        <f>GeneralInputPrices!$C$26</f>
        <v>acre</v>
      </c>
      <c r="D2975" s="166">
        <f>GeneralInputPrices!$D$26</f>
        <v>15</v>
      </c>
      <c r="E2975" s="166">
        <f>'AcresYieldsPrices&amp;Water'!$G$20*$C2943</f>
        <v>0</v>
      </c>
      <c r="F2975" s="166">
        <f t="shared" si="248"/>
        <v>0</v>
      </c>
      <c r="G2975" s="163" t="e">
        <f t="shared" si="247"/>
        <v>#DIV/0!</v>
      </c>
    </row>
    <row r="2976" spans="2:8">
      <c r="B2976" t="str">
        <f>CustomOperations!$B$37</f>
        <v>Harvest, Custom</v>
      </c>
      <c r="C2976" s="137" t="str">
        <f>'Inputs&amp;PricesbyCrop'!$C$102</f>
        <v>tons</v>
      </c>
      <c r="D2976" s="166">
        <f>CustomOperations!$V$37</f>
        <v>75</v>
      </c>
      <c r="E2976" s="166">
        <f>CustomOperations!$V$38*$C$2943</f>
        <v>0</v>
      </c>
      <c r="F2976" s="166">
        <f t="shared" ref="F2976:F2990" si="249">D2976*E2976</f>
        <v>0</v>
      </c>
      <c r="G2976" s="163" t="e">
        <f t="shared" si="247"/>
        <v>#DIV/0!</v>
      </c>
    </row>
    <row r="2977" spans="2:7">
      <c r="B2977" t="str">
        <f>CustomOperations!$B$39</f>
        <v>Hauling, Custom</v>
      </c>
      <c r="C2977" s="137" t="str">
        <f>CustomOperations!$C$39</f>
        <v>mile</v>
      </c>
      <c r="D2977" s="166">
        <f>CustomOperations!$V$39</f>
        <v>0</v>
      </c>
      <c r="E2977" s="166">
        <f>CustomOperations!$V$40*$C$2943</f>
        <v>0</v>
      </c>
      <c r="F2977" s="166">
        <f t="shared" si="249"/>
        <v>0</v>
      </c>
      <c r="G2977" s="163" t="e">
        <f t="shared" si="247"/>
        <v>#DIV/0!</v>
      </c>
    </row>
    <row r="2978" spans="2:7">
      <c r="B2978" t="str">
        <f>CustomOperations!$B$41</f>
        <v>Gin Cotton/Drying/Swathing, Custom</v>
      </c>
      <c r="C2978" s="137" t="str">
        <f>CustomOperations!$C$41</f>
        <v>bale</v>
      </c>
      <c r="D2978" s="166">
        <f>CustomOperations!$V$41</f>
        <v>0</v>
      </c>
      <c r="E2978" s="166">
        <f>CustomOperations!$V$42*$C$2943</f>
        <v>0</v>
      </c>
      <c r="F2978" s="166">
        <f t="shared" si="249"/>
        <v>0</v>
      </c>
      <c r="G2978" s="163" t="e">
        <f t="shared" si="247"/>
        <v>#DIV/0!</v>
      </c>
    </row>
    <row r="2979" spans="2:7">
      <c r="B2979" t="str">
        <f>CustomOperations!$B$24</f>
        <v>Drill, Custom</v>
      </c>
      <c r="C2979" s="137" t="str">
        <f>CustomOperations!$C$24</f>
        <v>acre</v>
      </c>
      <c r="D2979" s="166">
        <f>CustomOperations!$V$24</f>
        <v>0</v>
      </c>
      <c r="E2979" s="166">
        <f>CustomOperations!$V$25*$C$2943</f>
        <v>0</v>
      </c>
      <c r="F2979" s="166">
        <f t="shared" si="249"/>
        <v>0</v>
      </c>
      <c r="G2979" s="163" t="e">
        <f t="shared" si="247"/>
        <v>#DIV/0!</v>
      </c>
    </row>
    <row r="2980" spans="2:7">
      <c r="B2980" t="str">
        <f>CustomOperations!$B$26</f>
        <v>Row Planter, Custom</v>
      </c>
      <c r="C2980" s="137" t="str">
        <f>CustomOperations!$C$26</f>
        <v>acre</v>
      </c>
      <c r="D2980" s="166">
        <f>CustomOperations!$V$26</f>
        <v>0</v>
      </c>
      <c r="E2980" s="166">
        <f>CustomOperations!$V$27*$C$2943</f>
        <v>0</v>
      </c>
      <c r="F2980" s="166">
        <f t="shared" si="249"/>
        <v>0</v>
      </c>
      <c r="G2980" s="163" t="e">
        <f t="shared" si="247"/>
        <v>#DIV/0!</v>
      </c>
    </row>
    <row r="2981" spans="2:7">
      <c r="B2981" t="str">
        <f>CustomOperations!$B$28</f>
        <v>Row Cultivator, Custom</v>
      </c>
      <c r="C2981" s="137" t="str">
        <f>CustomOperations!$C$28</f>
        <v>acre</v>
      </c>
      <c r="D2981" s="166">
        <f>CustomOperations!$V$28</f>
        <v>0</v>
      </c>
      <c r="E2981" s="166">
        <f>CustomOperations!$V$29*$C$2943</f>
        <v>0</v>
      </c>
      <c r="F2981" s="166">
        <f t="shared" si="249"/>
        <v>0</v>
      </c>
      <c r="G2981" s="163" t="e">
        <f t="shared" si="247"/>
        <v>#DIV/0!</v>
      </c>
    </row>
    <row r="2982" spans="2:7">
      <c r="B2982" t="str">
        <f>CustomOperations!$B$5</f>
        <v>V Ripper, Custom</v>
      </c>
      <c r="C2982" s="137" t="str">
        <f>CustomOperations!$C$5</f>
        <v>acre</v>
      </c>
      <c r="D2982" s="166">
        <f>CustomOperations!$V$5</f>
        <v>44.25</v>
      </c>
      <c r="E2982" s="166">
        <f>CustomOperations!$V$6*$C$2943</f>
        <v>0</v>
      </c>
      <c r="F2982" s="166">
        <f t="shared" si="249"/>
        <v>0</v>
      </c>
      <c r="G2982" s="163" t="e">
        <f t="shared" si="247"/>
        <v>#DIV/0!</v>
      </c>
    </row>
    <row r="2983" spans="2:7">
      <c r="B2983" t="str">
        <f>CustomOperations!$B$7</f>
        <v>Disk, Custom</v>
      </c>
      <c r="C2983" s="137" t="str">
        <f>CustomOperations!$C$7</f>
        <v>acre</v>
      </c>
      <c r="D2983" s="166">
        <f>CustomOperations!$V$7</f>
        <v>0</v>
      </c>
      <c r="E2983" s="166">
        <f>CustomOperations!$V$8*$C$2943</f>
        <v>0</v>
      </c>
      <c r="F2983" s="166">
        <f t="shared" si="249"/>
        <v>0</v>
      </c>
      <c r="G2983" s="163" t="e">
        <f t="shared" si="247"/>
        <v>#DIV/0!</v>
      </c>
    </row>
    <row r="2984" spans="2:7">
      <c r="B2984" t="str">
        <f>CustomOperations!$B$9</f>
        <v>Drag, Custom</v>
      </c>
      <c r="C2984" s="137" t="str">
        <f>CustomOperations!$C$9</f>
        <v>acre</v>
      </c>
      <c r="D2984" s="166">
        <f>CustomOperations!$V$9</f>
        <v>0</v>
      </c>
      <c r="E2984" s="166">
        <f>CustomOperations!$V$10*$C$2943</f>
        <v>0</v>
      </c>
      <c r="F2984" s="166">
        <f t="shared" si="249"/>
        <v>0</v>
      </c>
      <c r="G2984" s="163" t="e">
        <f t="shared" si="247"/>
        <v>#DIV/0!</v>
      </c>
    </row>
    <row r="2985" spans="2:7">
      <c r="B2985" t="str">
        <f>CustomOperations!$B$11</f>
        <v>Chisel, Custom</v>
      </c>
      <c r="C2985" s="137" t="str">
        <f>CustomOperations!$C$11</f>
        <v>acre</v>
      </c>
      <c r="D2985" s="166">
        <f>CustomOperations!$V$11</f>
        <v>0</v>
      </c>
      <c r="E2985" s="166">
        <f>CustomOperations!$V$12*$C$2943</f>
        <v>0</v>
      </c>
      <c r="F2985" s="166">
        <f t="shared" si="249"/>
        <v>0</v>
      </c>
      <c r="G2985" s="163" t="e">
        <f t="shared" si="247"/>
        <v>#DIV/0!</v>
      </c>
    </row>
    <row r="2986" spans="2:7">
      <c r="B2986" t="str">
        <f>CustomOperations!$B$13</f>
        <v>Moldboard Plow, Custom</v>
      </c>
      <c r="C2986" s="137" t="str">
        <f>CustomOperations!$C$13</f>
        <v>acre</v>
      </c>
      <c r="D2986" s="166">
        <f>CustomOperations!$V$13</f>
        <v>0</v>
      </c>
      <c r="E2986" s="166">
        <f>CustomOperations!$V$14*$C$2943</f>
        <v>0</v>
      </c>
      <c r="F2986" s="166">
        <f t="shared" si="249"/>
        <v>0</v>
      </c>
      <c r="G2986" s="163" t="e">
        <f t="shared" si="247"/>
        <v>#DIV/0!</v>
      </c>
    </row>
    <row r="2987" spans="2:7">
      <c r="B2987" t="str">
        <f>CustomOperations!$B$15</f>
        <v>Landplane, Custom</v>
      </c>
      <c r="C2987" s="137" t="str">
        <f>CustomOperations!$C$15</f>
        <v>acre</v>
      </c>
      <c r="D2987" s="166">
        <f>CustomOperations!$V$15</f>
        <v>17.940000000000001</v>
      </c>
      <c r="E2987" s="166">
        <f>CustomOperations!$V$16*$C$2943</f>
        <v>0</v>
      </c>
      <c r="F2987" s="166">
        <f t="shared" si="249"/>
        <v>0</v>
      </c>
      <c r="G2987" s="163" t="e">
        <f t="shared" si="247"/>
        <v>#DIV/0!</v>
      </c>
    </row>
    <row r="2988" spans="2:7">
      <c r="B2988" t="str">
        <f>CustomOperations!$B$17</f>
        <v>Float, Custom</v>
      </c>
      <c r="C2988" s="137" t="str">
        <f>CustomOperations!$C$17</f>
        <v>acre</v>
      </c>
      <c r="D2988" s="166">
        <f>CustomOperations!$V$17</f>
        <v>17.940000000000001</v>
      </c>
      <c r="E2988" s="166">
        <f>CustomOperations!$V$18*$C$2943</f>
        <v>0</v>
      </c>
      <c r="F2988" s="166">
        <f t="shared" si="249"/>
        <v>0</v>
      </c>
      <c r="G2988" s="163" t="e">
        <f t="shared" si="247"/>
        <v>#DIV/0!</v>
      </c>
    </row>
    <row r="2989" spans="2:7">
      <c r="B2989" t="str">
        <f>CustomOperations!$B$19</f>
        <v>Lister, Custom</v>
      </c>
      <c r="C2989" s="137" t="str">
        <f>CustomOperations!$C$19</f>
        <v>acre</v>
      </c>
      <c r="D2989" s="166">
        <f>CustomOperations!$V$19</f>
        <v>20.38</v>
      </c>
      <c r="E2989" s="166">
        <f>CustomOperations!$V$20*$C$2943</f>
        <v>0</v>
      </c>
      <c r="F2989" s="166">
        <f t="shared" si="249"/>
        <v>0</v>
      </c>
      <c r="G2989" s="163" t="e">
        <f t="shared" si="247"/>
        <v>#DIV/0!</v>
      </c>
    </row>
    <row r="2990" spans="2:7">
      <c r="B2990" t="str">
        <f>CustomOperations!$B$21</f>
        <v>Bed Shape, Custom</v>
      </c>
      <c r="C2990" s="137" t="str">
        <f>CustomOperations!$C$21</f>
        <v>acre</v>
      </c>
      <c r="D2990" s="166">
        <f>CustomOperations!$V$21</f>
        <v>13.69</v>
      </c>
      <c r="E2990" s="166">
        <f>CustomOperations!$V$22*$C$2943</f>
        <v>0</v>
      </c>
      <c r="F2990" s="166">
        <f t="shared" si="249"/>
        <v>0</v>
      </c>
      <c r="G2990" s="163" t="e">
        <f t="shared" si="247"/>
        <v>#DIV/0!</v>
      </c>
    </row>
    <row r="2991" spans="2:7">
      <c r="B2991" t="str">
        <f>CustomOperations!$B$32</f>
        <v>Fertilizer Spreader, Custom</v>
      </c>
      <c r="C2991" s="137" t="str">
        <f>CustomOperations!$C$32</f>
        <v>acre</v>
      </c>
      <c r="D2991" s="166">
        <f>CustomOperations!$V$32</f>
        <v>10.08</v>
      </c>
      <c r="E2991" s="166">
        <f>CustomOperations!$V$33*$C$2943</f>
        <v>0</v>
      </c>
      <c r="F2991" s="166">
        <f>D2991*E2991</f>
        <v>0</v>
      </c>
      <c r="G2991" s="163" t="e">
        <f t="shared" si="247"/>
        <v>#DIV/0!</v>
      </c>
    </row>
    <row r="2992" spans="2:7">
      <c r="B2992" t="str">
        <f>CustomOperations!$B$34</f>
        <v>Laser Landplaning, Custom</v>
      </c>
      <c r="C2992" s="137" t="str">
        <f>CustomOperations!$C$34</f>
        <v>acre</v>
      </c>
      <c r="D2992" s="166">
        <f>CustomOperations!$V$34</f>
        <v>0</v>
      </c>
      <c r="E2992" s="166">
        <f>CustomOperations!$V$35*$C$2943</f>
        <v>0</v>
      </c>
      <c r="F2992" s="166">
        <f>D2992*E2992</f>
        <v>0</v>
      </c>
      <c r="G2992" s="163" t="e">
        <f t="shared" si="247"/>
        <v>#DIV/0!</v>
      </c>
    </row>
    <row r="2993" spans="2:7">
      <c r="B2993" t="str">
        <f>CustomOperations!$B$30</f>
        <v>Boom Sprayer, Custom</v>
      </c>
      <c r="C2993" s="137" t="str">
        <f>CustomOperations!$C$30</f>
        <v>acre</v>
      </c>
      <c r="D2993" s="166">
        <f>CustomOperations!$V$30</f>
        <v>10.050000000000001</v>
      </c>
      <c r="E2993" s="166">
        <f>CustomOperations!$V$31*$C$2943</f>
        <v>0</v>
      </c>
      <c r="F2993" s="166">
        <f t="shared" ref="F2993:F3015" si="250">D2993*E2993</f>
        <v>0</v>
      </c>
      <c r="G2993" s="163" t="e">
        <f t="shared" si="247"/>
        <v>#DIV/0!</v>
      </c>
    </row>
    <row r="2994" spans="2:7">
      <c r="B2994" s="463" t="str">
        <f>TillageOperations!$B$7&amp;" (Repairs, maint., fuel &amp; lube)"</f>
        <v>V-Ripper (Repairs, maint., fuel &amp; lube)</v>
      </c>
      <c r="C2994" s="464" t="s">
        <v>157</v>
      </c>
      <c r="D2994" s="166">
        <f>PubMachineryTables!$AM$49+PubMachineryTables!$AN$49</f>
        <v>30.16333889180672</v>
      </c>
      <c r="E2994" s="166">
        <f>TillageOperations!$U$7*$C$2943</f>
        <v>0</v>
      </c>
      <c r="F2994" s="166">
        <f t="shared" si="250"/>
        <v>0</v>
      </c>
      <c r="G2994" s="163" t="e">
        <f t="shared" si="247"/>
        <v>#DIV/0!</v>
      </c>
    </row>
    <row r="2995" spans="2:7">
      <c r="B2995" s="463" t="str">
        <f>TillageOperations!$B$7&amp;" (Labor)"</f>
        <v>V-Ripper (Labor)</v>
      </c>
      <c r="C2995" s="464" t="s">
        <v>157</v>
      </c>
      <c r="D2995" s="166">
        <f>PubMachineryTables!$AL$49</f>
        <v>13.529312500000001</v>
      </c>
      <c r="E2995" s="166">
        <f>TillageOperations!$U$7*$C$2943</f>
        <v>0</v>
      </c>
      <c r="F2995" s="166">
        <f t="shared" si="250"/>
        <v>0</v>
      </c>
      <c r="G2995" s="163" t="e">
        <f t="shared" si="247"/>
        <v>#DIV/0!</v>
      </c>
    </row>
    <row r="2996" spans="2:7">
      <c r="B2996" s="463" t="str">
        <f>TillageOperations!$B$8&amp;" (Repairs, maint., fuel &amp; lube)"</f>
        <v>Offset Disk (Repairs, maint., fuel &amp; lube)</v>
      </c>
      <c r="C2996" s="464" t="s">
        <v>157</v>
      </c>
      <c r="D2996" s="166">
        <f>PubMachineryTables!$AN$50+PubMachineryTables!$AM$50</f>
        <v>10.332318567950058</v>
      </c>
      <c r="E2996" s="166">
        <f>TillageOperations!$U$8*$C$2943</f>
        <v>0</v>
      </c>
      <c r="F2996" s="166">
        <f t="shared" si="250"/>
        <v>0</v>
      </c>
      <c r="G2996" s="163" t="e">
        <f t="shared" si="247"/>
        <v>#DIV/0!</v>
      </c>
    </row>
    <row r="2997" spans="2:7">
      <c r="B2997" s="463" t="str">
        <f>TillageOperations!$B$8&amp;" (Labor)"</f>
        <v>Offset Disk (Labor)</v>
      </c>
      <c r="C2997" s="464" t="s">
        <v>157</v>
      </c>
      <c r="D2997" s="166">
        <f>PubMachineryTables!$AL$50</f>
        <v>4.7161002178649252</v>
      </c>
      <c r="E2997" s="166">
        <f>TillageOperations!$U$8*$C$2943</f>
        <v>0</v>
      </c>
      <c r="F2997" s="166">
        <f t="shared" si="250"/>
        <v>0</v>
      </c>
      <c r="G2997" s="163" t="e">
        <f t="shared" si="247"/>
        <v>#DIV/0!</v>
      </c>
    </row>
    <row r="2998" spans="2:7">
      <c r="B2998" s="463" t="str">
        <f>TillageOperations!$B$9&amp;" (Repairs, maint., fuel &amp; lube)"</f>
        <v>Drag (Repairs, maint., fuel &amp; lube)</v>
      </c>
      <c r="C2998" s="464" t="s">
        <v>157</v>
      </c>
      <c r="D2998" s="166">
        <f>PubMachineryTables!$AN$51+PubMachineryTables!$AM$51</f>
        <v>2.4803921568627447</v>
      </c>
      <c r="E2998" s="166">
        <f>TillageOperations!$U$9*$C$2943</f>
        <v>0</v>
      </c>
      <c r="F2998" s="166">
        <f t="shared" si="250"/>
        <v>0</v>
      </c>
      <c r="G2998" s="163" t="e">
        <f t="shared" si="247"/>
        <v>#DIV/0!</v>
      </c>
    </row>
    <row r="2999" spans="2:7">
      <c r="B2999" s="463" t="str">
        <f>TillageOperations!$B$9&amp;" (Labor)"</f>
        <v>Drag (Labor)</v>
      </c>
      <c r="C2999" s="464" t="s">
        <v>157</v>
      </c>
      <c r="D2999" s="166">
        <f>PubMachineryTables!$AL$51</f>
        <v>2.1222450980392158</v>
      </c>
      <c r="E2999" s="166">
        <f>TillageOperations!$U$9*$C$2943</f>
        <v>0</v>
      </c>
      <c r="F2999" s="166">
        <f t="shared" si="250"/>
        <v>0</v>
      </c>
      <c r="G2999" s="163" t="e">
        <f t="shared" si="247"/>
        <v>#DIV/0!</v>
      </c>
    </row>
    <row r="3000" spans="2:7">
      <c r="B3000" s="463" t="str">
        <f>TillageOperations!$B$10&amp;" (Repairs, maint., fuel &amp; lube)"</f>
        <v>Chisel (Repairs, maint., fuel &amp; lube)</v>
      </c>
      <c r="C3000" s="464" t="s">
        <v>157</v>
      </c>
      <c r="D3000" s="166">
        <f>PubMachineryTables!$AN$52+PubMachineryTables!$AM$52</f>
        <v>8.5884820270019766</v>
      </c>
      <c r="E3000" s="166">
        <f>TillageOperations!$U$10*$C$2943</f>
        <v>0</v>
      </c>
      <c r="F3000" s="166">
        <f t="shared" si="250"/>
        <v>0</v>
      </c>
      <c r="G3000" s="163" t="e">
        <f t="shared" si="247"/>
        <v>#DIV/0!</v>
      </c>
    </row>
    <row r="3001" spans="2:7">
      <c r="B3001" s="463" t="str">
        <f>TillageOperations!$B$10&amp;" (Labor)"</f>
        <v>Chisel (Labor)</v>
      </c>
      <c r="C3001" s="464" t="s">
        <v>157</v>
      </c>
      <c r="D3001" s="166">
        <f>PubMachineryTables!$AL$52</f>
        <v>3.9792095588235301</v>
      </c>
      <c r="E3001" s="166">
        <f>TillageOperations!$U$10*$C$2943</f>
        <v>0</v>
      </c>
      <c r="F3001" s="166">
        <f t="shared" si="250"/>
        <v>0</v>
      </c>
      <c r="G3001" s="163" t="e">
        <f t="shared" si="247"/>
        <v>#DIV/0!</v>
      </c>
    </row>
    <row r="3002" spans="2:7">
      <c r="B3002" s="463" t="str">
        <f>TillageOperations!$B$11&amp;" (Repairs, maint., fuel &amp; lube)"</f>
        <v>Moldboard Plow (Repairs, maint., fuel &amp; lube)</v>
      </c>
      <c r="C3002" s="464" t="s">
        <v>157</v>
      </c>
      <c r="D3002" s="166">
        <f>PubMachineryTables!$AN$53+PubMachineryTables!$AM$53</f>
        <v>14.457142857142856</v>
      </c>
      <c r="E3002" s="166">
        <f>TillageOperations!$U$11*$C$2943</f>
        <v>0</v>
      </c>
      <c r="F3002" s="166">
        <f t="shared" si="250"/>
        <v>0</v>
      </c>
      <c r="G3002" s="163" t="e">
        <f t="shared" si="247"/>
        <v>#DIV/0!</v>
      </c>
    </row>
    <row r="3003" spans="2:7">
      <c r="B3003" s="463" t="str">
        <f>TillageOperations!$B$11&amp;" (Labor)"</f>
        <v>Moldboard Plow (Labor)</v>
      </c>
      <c r="C3003" s="464" t="s">
        <v>157</v>
      </c>
      <c r="D3003" s="166">
        <f>PubMachineryTables!$AL$53</f>
        <v>7.7310357142857153</v>
      </c>
      <c r="E3003" s="166">
        <f>TillageOperations!$U$11*$C$2943</f>
        <v>0</v>
      </c>
      <c r="F3003" s="166">
        <f t="shared" si="250"/>
        <v>0</v>
      </c>
      <c r="G3003" s="163" t="e">
        <f t="shared" si="247"/>
        <v>#DIV/0!</v>
      </c>
    </row>
    <row r="3004" spans="2:7">
      <c r="B3004" s="463" t="str">
        <f>TillageOperations!$B$12&amp;" (Repairs, maint., fuel &amp; lube)"</f>
        <v>Cultivator (Repairs, maint., fuel &amp; lube)</v>
      </c>
      <c r="C3004" s="464" t="s">
        <v>157</v>
      </c>
      <c r="D3004" s="166">
        <f>PubMachineryTables!$AN$54+PubMachineryTables!$AM$54</f>
        <v>5.7828571428571429</v>
      </c>
      <c r="E3004" s="166">
        <f>TillageOperations!$U$12*$C$2943</f>
        <v>0</v>
      </c>
      <c r="F3004" s="166">
        <f t="shared" si="250"/>
        <v>0</v>
      </c>
      <c r="G3004" s="163" t="e">
        <f t="shared" si="247"/>
        <v>#DIV/0!</v>
      </c>
    </row>
    <row r="3005" spans="2:7">
      <c r="B3005" s="463" t="str">
        <f>TillageOperations!$B$12&amp;" (Labor)"</f>
        <v>Cultivator (Labor)</v>
      </c>
      <c r="C3005" s="464" t="s">
        <v>157</v>
      </c>
      <c r="D3005" s="166">
        <f>PubMachineryTables!$AL$54</f>
        <v>3.0924142857142862</v>
      </c>
      <c r="E3005" s="166">
        <f>TillageOperations!$U$12*$C$2943</f>
        <v>0</v>
      </c>
      <c r="F3005" s="166">
        <f t="shared" si="250"/>
        <v>0</v>
      </c>
      <c r="G3005" s="163" t="e">
        <f t="shared" si="247"/>
        <v>#DIV/0!</v>
      </c>
    </row>
    <row r="3006" spans="2:7">
      <c r="B3006" s="463" t="str">
        <f>TillageOperations!$B$13&amp;" (Repairs, maint., fuel &amp; lube)"</f>
        <v>Landplane (Repairs, maint., fuel &amp; lube)</v>
      </c>
      <c r="C3006" s="464" t="s">
        <v>157</v>
      </c>
      <c r="D3006" s="166">
        <f>PubMachineryTables!$AN$55+PubMachineryTables!$AM$55</f>
        <v>8.0445253976590632</v>
      </c>
      <c r="E3006" s="166">
        <f>TillageOperations!$U$13*$C$2943</f>
        <v>0</v>
      </c>
      <c r="F3006" s="166">
        <f t="shared" si="250"/>
        <v>0</v>
      </c>
      <c r="G3006" s="163" t="e">
        <f t="shared" si="247"/>
        <v>#DIV/0!</v>
      </c>
    </row>
    <row r="3007" spans="2:7">
      <c r="B3007" s="463" t="str">
        <f>TillageOperations!$B$13&amp;" (Labor)"</f>
        <v>Landplane (Labor)</v>
      </c>
      <c r="C3007" s="464" t="s">
        <v>157</v>
      </c>
      <c r="D3007" s="166">
        <f>PubMachineryTables!$AL$55</f>
        <v>3.8655178571428577</v>
      </c>
      <c r="E3007" s="166">
        <f>TillageOperations!$U$13*$C$2943</f>
        <v>0</v>
      </c>
      <c r="F3007" s="166">
        <f t="shared" si="250"/>
        <v>0</v>
      </c>
      <c r="G3007" s="163" t="e">
        <f t="shared" si="247"/>
        <v>#DIV/0!</v>
      </c>
    </row>
    <row r="3008" spans="2:7">
      <c r="B3008" s="463" t="str">
        <f>TillageOperations!$B$14&amp;" (Repairs, maint., fuel &amp; lube)"</f>
        <v>Float (Repairs, maint., fuel &amp; lube)</v>
      </c>
      <c r="C3008" s="464" t="s">
        <v>157</v>
      </c>
      <c r="D3008" s="166">
        <f>PubMachineryTables!$AN$56+PubMachineryTables!$AM$56</f>
        <v>5.1632653061224492</v>
      </c>
      <c r="E3008" s="166">
        <f>TillageOperations!$U$14*$C$2943</f>
        <v>0</v>
      </c>
      <c r="F3008" s="166">
        <f t="shared" si="250"/>
        <v>0</v>
      </c>
      <c r="G3008" s="163" t="e">
        <f t="shared" si="247"/>
        <v>#DIV/0!</v>
      </c>
    </row>
    <row r="3009" spans="2:7">
      <c r="B3009" s="463" t="str">
        <f>TillageOperations!$B$14&amp;" (Labor)"</f>
        <v>Float (Labor)</v>
      </c>
      <c r="C3009" s="464" t="s">
        <v>157</v>
      </c>
      <c r="D3009" s="166">
        <f>PubMachineryTables!$AL$56</f>
        <v>4.4177346938775521</v>
      </c>
      <c r="E3009" s="166">
        <f>TillageOperations!$U$14*$C$2943</f>
        <v>0</v>
      </c>
      <c r="F3009" s="166">
        <f t="shared" si="250"/>
        <v>0</v>
      </c>
      <c r="G3009" s="163" t="e">
        <f t="shared" si="247"/>
        <v>#DIV/0!</v>
      </c>
    </row>
    <row r="3010" spans="2:7">
      <c r="B3010" s="463" t="str">
        <f>TillageOperations!$B$15&amp;" (Repairs, maint., fuel &amp; lube)"</f>
        <v>Lister (Repairs, maint., fuel &amp; lube)</v>
      </c>
      <c r="C3010" s="464" t="s">
        <v>157</v>
      </c>
      <c r="D3010" s="166">
        <f>PubMachineryTables!$AN$57+PubMachineryTables!$AM$57</f>
        <v>11.879642797844287</v>
      </c>
      <c r="E3010" s="166">
        <f>TillageOperations!$U$15*$C$2943</f>
        <v>0</v>
      </c>
      <c r="F3010" s="166">
        <f t="shared" si="250"/>
        <v>0</v>
      </c>
      <c r="G3010" s="163" t="e">
        <f t="shared" si="247"/>
        <v>#DIV/0!</v>
      </c>
    </row>
    <row r="3011" spans="2:7">
      <c r="B3011" s="463" t="str">
        <f>TillageOperations!$B$15&amp;" (Labor)"</f>
        <v>Lister (Labor)</v>
      </c>
      <c r="C3011" s="464" t="s">
        <v>157</v>
      </c>
      <c r="D3011" s="166">
        <f>PubMachineryTables!$AL$57</f>
        <v>6.1848285714285725</v>
      </c>
      <c r="E3011" s="166">
        <f>TillageOperations!$U$15*$C$2943</f>
        <v>0</v>
      </c>
      <c r="F3011" s="166">
        <f t="shared" si="250"/>
        <v>0</v>
      </c>
      <c r="G3011" s="163" t="e">
        <f t="shared" si="247"/>
        <v>#DIV/0!</v>
      </c>
    </row>
    <row r="3012" spans="2:7">
      <c r="B3012" s="463" t="str">
        <f>TillageOperations!$B$16&amp;" (Repairs, maint., fuel &amp; lube)"</f>
        <v>Bed Shaper (Repairs, maint., fuel &amp; lube)</v>
      </c>
      <c r="C3012" s="464" t="s">
        <v>157</v>
      </c>
      <c r="D3012" s="166">
        <f>PubMachineryTables!$AN$58+PubMachineryTables!$AM$58</f>
        <v>5.9574634784635725</v>
      </c>
      <c r="E3012" s="166">
        <f>TillageOperations!$U$16*$C$2943</f>
        <v>0</v>
      </c>
      <c r="F3012" s="166">
        <f t="shared" si="250"/>
        <v>0</v>
      </c>
      <c r="G3012" s="163" t="e">
        <f t="shared" si="247"/>
        <v>#DIV/0!</v>
      </c>
    </row>
    <row r="3013" spans="2:7">
      <c r="B3013" s="463" t="str">
        <f>TillageOperations!$B$16&amp;" (Labor)"</f>
        <v>Bed Shaper (Labor)</v>
      </c>
      <c r="C3013" s="464" t="s">
        <v>157</v>
      </c>
      <c r="D3013" s="166">
        <f>PubMachineryTables!$AL$58</f>
        <v>3.0924142857142862</v>
      </c>
      <c r="E3013" s="166">
        <f>TillageOperations!$U$16*$C$2943</f>
        <v>0</v>
      </c>
      <c r="F3013" s="166">
        <f t="shared" si="250"/>
        <v>0</v>
      </c>
      <c r="G3013" s="163" t="e">
        <f t="shared" ref="G3013:G3076" si="251">F3013/C$2943</f>
        <v>#DIV/0!</v>
      </c>
    </row>
    <row r="3014" spans="2:7">
      <c r="B3014" s="463" t="str">
        <f>TillageOperations!$B$19&amp;" (Repairs, maint., fuel &amp; lube)"</f>
        <v>Row Planter (Repairs, maint., fuel &amp; lube)</v>
      </c>
      <c r="C3014" s="464" t="s">
        <v>157</v>
      </c>
      <c r="D3014" s="166">
        <f>PubMachineryTables!$AN$60+PubMachineryTables!$AM$60</f>
        <v>8.8400048303091552</v>
      </c>
      <c r="E3014" s="166">
        <f>TillageOperations!$U$19*$C$2943</f>
        <v>0</v>
      </c>
      <c r="F3014" s="166">
        <f t="shared" si="250"/>
        <v>0</v>
      </c>
      <c r="G3014" s="163" t="e">
        <f t="shared" si="251"/>
        <v>#DIV/0!</v>
      </c>
    </row>
    <row r="3015" spans="2:7">
      <c r="B3015" s="463" t="str">
        <f>TillageOperations!$B$19&amp;" (Labor)"</f>
        <v>Row Planter (Labor)</v>
      </c>
      <c r="C3015" s="464" t="s">
        <v>157</v>
      </c>
      <c r="D3015" s="166">
        <f>PubMachineryTables!$AL$60</f>
        <v>4.5097708333333344</v>
      </c>
      <c r="E3015" s="166">
        <f>TillageOperations!$U$19*$C$2943</f>
        <v>0</v>
      </c>
      <c r="F3015" s="166">
        <f t="shared" si="250"/>
        <v>0</v>
      </c>
      <c r="G3015" s="163" t="e">
        <f t="shared" si="251"/>
        <v>#DIV/0!</v>
      </c>
    </row>
    <row r="3016" spans="2:7">
      <c r="B3016" s="463" t="str">
        <f>TillageOperations!$B$20&amp;" (Repairs, maint., fuel &amp; lube)"</f>
        <v>Row Cultivator (Repairs, maint., fuel &amp; lube)</v>
      </c>
      <c r="C3016" s="464" t="s">
        <v>157</v>
      </c>
      <c r="D3016" s="166">
        <f>PubMachineryTables!$AN$61+PubMachineryTables!$AM$61</f>
        <v>3.5823141032725374</v>
      </c>
      <c r="E3016" s="166">
        <f>TillageOperations!$U$20*$C$2943</f>
        <v>0</v>
      </c>
      <c r="F3016" s="166">
        <f>D3016*E3016</f>
        <v>0</v>
      </c>
      <c r="G3016" s="163" t="e">
        <f t="shared" si="251"/>
        <v>#DIV/0!</v>
      </c>
    </row>
    <row r="3017" spans="2:7">
      <c r="B3017" s="463" t="str">
        <f>TillageOperations!$B$20&amp;" (Labor)"</f>
        <v>Row Cultivator (Labor)</v>
      </c>
      <c r="C3017" s="464" t="s">
        <v>157</v>
      </c>
      <c r="D3017" s="166">
        <f>PubMachineryTables!$AL$61</f>
        <v>3.0065138888888892</v>
      </c>
      <c r="E3017" s="166">
        <f>TillageOperations!$U$20*$C$2943</f>
        <v>0</v>
      </c>
      <c r="F3017" s="166">
        <f>D3017*E3017</f>
        <v>0</v>
      </c>
      <c r="G3017" s="163" t="e">
        <f t="shared" si="251"/>
        <v>#DIV/0!</v>
      </c>
    </row>
    <row r="3018" spans="2:7">
      <c r="B3018" s="463" t="str">
        <f>TillageOperations!$B$21&amp;" (Repairs, maint., fuel &amp; lube)"</f>
        <v>Drill (Repairs, maint., fuel &amp; lube)</v>
      </c>
      <c r="C3018" s="464" t="s">
        <v>157</v>
      </c>
      <c r="D3018" s="166">
        <f>PubMachineryTables!$AN$62+PubMachineryTables!$AM$62</f>
        <v>7.6986395922631168</v>
      </c>
      <c r="E3018" s="166">
        <f>TillageOperations!$U$21*$C$2943</f>
        <v>0</v>
      </c>
      <c r="F3018" s="166">
        <f>D3018*E3018</f>
        <v>0</v>
      </c>
      <c r="G3018" s="163" t="e">
        <f t="shared" si="251"/>
        <v>#DIV/0!</v>
      </c>
    </row>
    <row r="3019" spans="2:7">
      <c r="B3019" s="463" t="str">
        <f>TillageOperations!$B$21&amp;" (Labor)"</f>
        <v>Drill (Labor)</v>
      </c>
      <c r="C3019" s="464" t="s">
        <v>157</v>
      </c>
      <c r="D3019" s="166">
        <f>PubMachineryTables!$AL$62</f>
        <v>5.4117250000000006</v>
      </c>
      <c r="E3019" s="166">
        <f>TillageOperations!$U$21*$C$2943</f>
        <v>0</v>
      </c>
      <c r="F3019" s="166">
        <f>D3019*E3019</f>
        <v>0</v>
      </c>
      <c r="G3019" s="163" t="e">
        <f t="shared" si="251"/>
        <v>#DIV/0!</v>
      </c>
    </row>
    <row r="3020" spans="2:7">
      <c r="B3020" s="75" t="str">
        <f>TillageOperations!$B$27&amp;" (Repairs, maint., fuel &amp; lube)"</f>
        <v>Cotton Picker (Repairs, maint., fuel &amp; lube)</v>
      </c>
      <c r="C3020" s="464" t="s">
        <v>157</v>
      </c>
      <c r="D3020" s="166">
        <f>PubMachineryTables!$AN$67+PubMachineryTables!$AM$67</f>
        <v>20.587703435804702</v>
      </c>
      <c r="E3020" s="166">
        <f>TillageOperations!$U$27*$C$2943</f>
        <v>0</v>
      </c>
      <c r="F3020" s="166">
        <f t="shared" ref="F3020:F3027" si="252">D3020*E3020</f>
        <v>0</v>
      </c>
      <c r="G3020" s="163" t="e">
        <f t="shared" si="251"/>
        <v>#DIV/0!</v>
      </c>
    </row>
    <row r="3021" spans="2:7">
      <c r="B3021" t="str">
        <f>TillageOperations!$B$27&amp;" (Labor)"</f>
        <v>Cotton Picker (Labor)</v>
      </c>
      <c r="C3021" s="464" t="s">
        <v>157</v>
      </c>
      <c r="D3021" s="166">
        <f>PubMachineryTables!$AL$67</f>
        <v>7.3395908679927677</v>
      </c>
      <c r="E3021" s="166">
        <f>TillageOperations!$U$27*$C$2943</f>
        <v>0</v>
      </c>
      <c r="F3021" s="166">
        <f t="shared" si="252"/>
        <v>0</v>
      </c>
      <c r="G3021" s="163" t="e">
        <f t="shared" si="251"/>
        <v>#DIV/0!</v>
      </c>
    </row>
    <row r="3022" spans="2:7">
      <c r="B3022" s="75" t="str">
        <f>TillageOperations!$B$28&amp;" (Repairs, maint., fuel &amp; lube)"</f>
        <v>Module Unit (Repairs, maint., fuel &amp; lube)</v>
      </c>
      <c r="C3022" s="464" t="s">
        <v>157</v>
      </c>
      <c r="D3022" s="166">
        <f>PubMachineryTables!$AN$68+PubMachineryTables!$AM$68</f>
        <v>7.0644080416976918</v>
      </c>
      <c r="E3022" s="166">
        <f>TillageOperations!$U$28*$C$2943</f>
        <v>0</v>
      </c>
      <c r="F3022" s="166">
        <f t="shared" si="252"/>
        <v>0</v>
      </c>
      <c r="G3022" s="163" t="e">
        <f t="shared" si="251"/>
        <v>#DIV/0!</v>
      </c>
    </row>
    <row r="3023" spans="2:7">
      <c r="B3023" t="str">
        <f>TillageOperations!$B$28&amp;" (Labor)"</f>
        <v>Module Unit (Labor)</v>
      </c>
      <c r="C3023" s="464" t="s">
        <v>157</v>
      </c>
      <c r="D3023" s="166">
        <f>PubMachineryTables!$AL$68</f>
        <v>6.0443689501116911</v>
      </c>
      <c r="E3023" s="166">
        <f>TillageOperations!$U$28*$C$2943</f>
        <v>0</v>
      </c>
      <c r="F3023" s="166">
        <f t="shared" si="252"/>
        <v>0</v>
      </c>
      <c r="G3023" s="163" t="e">
        <f t="shared" si="251"/>
        <v>#DIV/0!</v>
      </c>
    </row>
    <row r="3024" spans="2:7">
      <c r="B3024" t="str">
        <f>TillageOperations!$B$29&amp;" (Repairs, maint., fuel &amp; lube)"</f>
        <v>Haul Cotton (Repairs, maint., fuel &amp; lube)</v>
      </c>
      <c r="C3024" s="464" t="s">
        <v>157</v>
      </c>
      <c r="D3024" s="166">
        <f>PubMachineryTables!$AN$69+PubMachineryTables!$AM$69</f>
        <v>7.0644080416976918</v>
      </c>
      <c r="E3024" s="166">
        <f>TillageOperations!$U$29*$C$2943</f>
        <v>0</v>
      </c>
      <c r="F3024" s="166">
        <f t="shared" si="252"/>
        <v>0</v>
      </c>
      <c r="G3024" s="163" t="e">
        <f t="shared" si="251"/>
        <v>#DIV/0!</v>
      </c>
    </row>
    <row r="3025" spans="2:7">
      <c r="B3025" t="str">
        <f>TillageOperations!$B$29&amp;" (Labor)"</f>
        <v>Haul Cotton (Labor)</v>
      </c>
      <c r="C3025" s="464" t="s">
        <v>157</v>
      </c>
      <c r="D3025" s="166">
        <f>PubMachineryTables!$AL$69</f>
        <v>6.0443689501116911</v>
      </c>
      <c r="E3025" s="166">
        <f>TillageOperations!$U$29*$C$2943</f>
        <v>0</v>
      </c>
      <c r="F3025" s="166">
        <f t="shared" si="252"/>
        <v>0</v>
      </c>
      <c r="G3025" s="163" t="e">
        <f t="shared" si="251"/>
        <v>#DIV/0!</v>
      </c>
    </row>
    <row r="3026" spans="2:7">
      <c r="B3026" t="str">
        <f>TillageOperations!$B$17&amp;" (Repairs, maint., fuel &amp; lube)"</f>
        <v>Cotton Shredder/Root Puller (Repairs, maint., fuel &amp; lube)</v>
      </c>
      <c r="C3026" s="464" t="s">
        <v>157</v>
      </c>
      <c r="D3026" s="166">
        <f>PubMachineryTables!$AN$59+PubMachineryTables!$AM$59</f>
        <v>3.4657534246575339</v>
      </c>
      <c r="E3026" s="166">
        <f>TillageOperations!$U$17*$C$2943</f>
        <v>0</v>
      </c>
      <c r="F3026" s="166">
        <f t="shared" si="252"/>
        <v>0</v>
      </c>
      <c r="G3026" s="163" t="e">
        <f t="shared" si="251"/>
        <v>#DIV/0!</v>
      </c>
    </row>
    <row r="3027" spans="2:7">
      <c r="B3027" t="str">
        <f>TillageOperations!$B$17&amp;" (Labor)"</f>
        <v>Cotton Shredder/Root Puller (Labor)</v>
      </c>
      <c r="C3027" s="464" t="s">
        <v>157</v>
      </c>
      <c r="D3027" s="166">
        <f>PubMachineryTables!$AL$59</f>
        <v>2.965328767123288</v>
      </c>
      <c r="E3027" s="166">
        <f>TillageOperations!$U$17*$C$2943</f>
        <v>0</v>
      </c>
      <c r="F3027" s="166">
        <f t="shared" si="252"/>
        <v>0</v>
      </c>
      <c r="G3027" s="163" t="e">
        <f t="shared" si="251"/>
        <v>#DIV/0!</v>
      </c>
    </row>
    <row r="3028" spans="2:7">
      <c r="B3028" t="str">
        <f>TillageOperations!$B$30&amp;" (Repairs, maint., fuel &amp; lube)"</f>
        <v>Combine (Repairs, maint., fuel &amp; lube)</v>
      </c>
      <c r="C3028" s="464" t="s">
        <v>157</v>
      </c>
      <c r="D3028" s="166">
        <f>PubMachineryTables!$AN$70+PubMachineryTables!$AM$70</f>
        <v>4.8939818019913757</v>
      </c>
      <c r="E3028" s="166">
        <f>TillageOperations!$U$30*$C$2943</f>
        <v>0</v>
      </c>
      <c r="F3028" s="166">
        <f>D3028*E3028</f>
        <v>0</v>
      </c>
      <c r="G3028" s="163" t="e">
        <f t="shared" si="251"/>
        <v>#DIV/0!</v>
      </c>
    </row>
    <row r="3029" spans="2:7">
      <c r="B3029" t="str">
        <f>TillageOperations!$B$30&amp;" (Labor)"</f>
        <v>Combine (Labor)</v>
      </c>
      <c r="C3029" s="464" t="s">
        <v>157</v>
      </c>
      <c r="D3029" s="166">
        <f>PubMachineryTables!$AL$70</f>
        <v>1.591683823529412</v>
      </c>
      <c r="E3029" s="166">
        <f>TillageOperations!$U$30*$C$2943</f>
        <v>0</v>
      </c>
      <c r="F3029" s="166">
        <f>D3029*E3029</f>
        <v>0</v>
      </c>
      <c r="G3029" s="163" t="e">
        <f t="shared" si="251"/>
        <v>#DIV/0!</v>
      </c>
    </row>
    <row r="3030" spans="2:7">
      <c r="B3030" t="str">
        <f>TillageOperations!$B$31&amp;" (Repairs, maint., fuel &amp; lube)"</f>
        <v>Grain Cart (Repairs, maint., fuel &amp; lube)</v>
      </c>
      <c r="C3030" s="464" t="s">
        <v>157</v>
      </c>
      <c r="D3030" s="166">
        <f>PubMachineryTables!$AN$71+PubMachineryTables!$AM$71</f>
        <v>3.2163097667975675</v>
      </c>
      <c r="E3030" s="166">
        <f>TillageOperations!$U$31*$C$2943</f>
        <v>0</v>
      </c>
      <c r="F3030" s="166">
        <f>D3030*E3030</f>
        <v>0</v>
      </c>
      <c r="G3030" s="163" t="e">
        <f t="shared" si="251"/>
        <v>#DIV/0!</v>
      </c>
    </row>
    <row r="3031" spans="2:7">
      <c r="B3031" t="str">
        <f>TillageOperations!$B$31&amp;" (Labor)"</f>
        <v>Grain Cart (Labor)</v>
      </c>
      <c r="C3031" s="464" t="s">
        <v>157</v>
      </c>
      <c r="D3031" s="166">
        <f>PubMachineryTables!$AL$71</f>
        <v>1.591683823529412</v>
      </c>
      <c r="E3031" s="166">
        <f>TillageOperations!$U$31*$C$2943</f>
        <v>0</v>
      </c>
      <c r="F3031" s="166">
        <f>D3031*E3031</f>
        <v>0</v>
      </c>
      <c r="G3031" s="163" t="e">
        <f t="shared" si="251"/>
        <v>#DIV/0!</v>
      </c>
    </row>
    <row r="3032" spans="2:7">
      <c r="B3032" t="str">
        <f>TillageOperations!$B$32&amp;" (Repairs, maint., fuel &amp; lube)"</f>
        <v>Swather (Repairs, maint., fuel &amp; lube)</v>
      </c>
      <c r="C3032" s="464" t="s">
        <v>157</v>
      </c>
      <c r="D3032" s="166">
        <f>PubMachineryTables!$AN$72+PubMachineryTables!$AM$72</f>
        <v>2.0239999999999996</v>
      </c>
      <c r="E3032" s="166">
        <f>TillageOperations!$U$32*$C$2943</f>
        <v>0</v>
      </c>
      <c r="F3032" s="166">
        <f t="shared" ref="F3032:F3056" si="253">D3032*E3032</f>
        <v>0</v>
      </c>
      <c r="G3032" s="163" t="e">
        <f t="shared" si="251"/>
        <v>#DIV/0!</v>
      </c>
    </row>
    <row r="3033" spans="2:7">
      <c r="B3033" t="str">
        <f>TillageOperations!$B$32&amp;" (Labor)"</f>
        <v>Swather (Labor)</v>
      </c>
      <c r="C3033" s="464" t="s">
        <v>157</v>
      </c>
      <c r="D3033" s="166">
        <f>PubMachineryTables!$AL$72</f>
        <v>2.1646900000000002</v>
      </c>
      <c r="E3033" s="166">
        <f>TillageOperations!$U$32*$C$2943</f>
        <v>0</v>
      </c>
      <c r="F3033" s="166">
        <f t="shared" si="253"/>
        <v>0</v>
      </c>
      <c r="G3033" s="163" t="e">
        <f t="shared" si="251"/>
        <v>#DIV/0!</v>
      </c>
    </row>
    <row r="3034" spans="2:7">
      <c r="B3034" t="str">
        <f>TillageOperations!$B$33&amp;" (Repairs, maint., fuel &amp; lube)"</f>
        <v>Baler (Repairs, maint., fuel &amp; lube)</v>
      </c>
      <c r="C3034" s="464" t="s">
        <v>157</v>
      </c>
      <c r="D3034" s="166">
        <f>PubMachineryTables!$AN$73+PubMachineryTables!$AM$73</f>
        <v>3.953125</v>
      </c>
      <c r="E3034" s="166">
        <f>TillageOperations!$U$33*$C$2943</f>
        <v>0</v>
      </c>
      <c r="F3034" s="166">
        <f t="shared" si="253"/>
        <v>0</v>
      </c>
      <c r="G3034" s="163" t="e">
        <f t="shared" si="251"/>
        <v>#DIV/0!</v>
      </c>
    </row>
    <row r="3035" spans="2:7">
      <c r="B3035" t="str">
        <f>TillageOperations!$B$33&amp;" (Labor)"</f>
        <v>Baler (Labor)</v>
      </c>
      <c r="C3035" s="464" t="s">
        <v>157</v>
      </c>
      <c r="D3035" s="166">
        <f>PubMachineryTables!$AL$73</f>
        <v>3.3823281250000004</v>
      </c>
      <c r="E3035" s="166">
        <f>TillageOperations!$U$33*$C$2943</f>
        <v>0</v>
      </c>
      <c r="F3035" s="166">
        <f t="shared" si="253"/>
        <v>0</v>
      </c>
      <c r="G3035" s="163" t="e">
        <f t="shared" si="251"/>
        <v>#DIV/0!</v>
      </c>
    </row>
    <row r="3036" spans="2:7">
      <c r="B3036" t="str">
        <f>TillageOperations!$B$34&amp;" (Repairs, maint., fuel &amp; lube)"</f>
        <v>Swather (Repairs, maint., fuel &amp; lube)</v>
      </c>
      <c r="C3036" s="464" t="s">
        <v>157</v>
      </c>
      <c r="D3036" s="166">
        <f>PubMachineryTables!$AN$74+PubMachineryTables!$AM$74</f>
        <v>19.46153846153846</v>
      </c>
      <c r="E3036" s="166">
        <f>TillageOperations!$U$34*$C$2943</f>
        <v>0</v>
      </c>
      <c r="F3036" s="166">
        <f t="shared" si="253"/>
        <v>0</v>
      </c>
      <c r="G3036" s="163" t="e">
        <f t="shared" si="251"/>
        <v>#DIV/0!</v>
      </c>
    </row>
    <row r="3037" spans="2:7">
      <c r="B3037" t="str">
        <f>TillageOperations!$B$34&amp;" (Labor)"</f>
        <v>Swather (Labor)</v>
      </c>
      <c r="C3037" s="464" t="s">
        <v>157</v>
      </c>
      <c r="D3037" s="166">
        <f>PubMachineryTables!$AL$74</f>
        <v>20.814326923076923</v>
      </c>
      <c r="E3037" s="166">
        <f>TillageOperations!$U$34*$C$2943</f>
        <v>0</v>
      </c>
      <c r="F3037" s="166">
        <f t="shared" si="253"/>
        <v>0</v>
      </c>
      <c r="G3037" s="163" t="e">
        <f t="shared" si="251"/>
        <v>#DIV/0!</v>
      </c>
    </row>
    <row r="3038" spans="2:7">
      <c r="B3038" t="str">
        <f>TillageOperations!$B$35&amp;" (Repairs, maint., fuel &amp; lube)"</f>
        <v>Baler (Repairs, maint., fuel &amp; lube)</v>
      </c>
      <c r="C3038" s="464" t="s">
        <v>157</v>
      </c>
      <c r="D3038" s="166">
        <f>PubMachineryTables!$AN$75+PubMachineryTables!$AM$75</f>
        <v>24.326923076923073</v>
      </c>
      <c r="E3038" s="166">
        <f>TillageOperations!$U$35*$C$2943</f>
        <v>0</v>
      </c>
      <c r="F3038" s="166">
        <f t="shared" si="253"/>
        <v>0</v>
      </c>
      <c r="G3038" s="163" t="e">
        <f t="shared" si="251"/>
        <v>#DIV/0!</v>
      </c>
    </row>
    <row r="3039" spans="2:7">
      <c r="B3039" t="str">
        <f>TillageOperations!$B$35&amp;" (Labor)"</f>
        <v>Baler (Labor)</v>
      </c>
      <c r="C3039" s="464" t="s">
        <v>157</v>
      </c>
      <c r="D3039" s="166">
        <f>PubMachineryTables!$AL$75</f>
        <v>20.814326923076923</v>
      </c>
      <c r="E3039" s="166">
        <f>TillageOperations!$U$35*$C$2943</f>
        <v>0</v>
      </c>
      <c r="F3039" s="166">
        <f t="shared" si="253"/>
        <v>0</v>
      </c>
      <c r="G3039" s="163" t="e">
        <f t="shared" si="251"/>
        <v>#DIV/0!</v>
      </c>
    </row>
    <row r="3040" spans="2:7">
      <c r="B3040" t="str">
        <f>'Inputs&amp;PricesbyCrop'!$B$31</f>
        <v xml:space="preserve">   - Baling Twine</v>
      </c>
      <c r="C3040" s="137" t="str">
        <f>'Inputs&amp;PricesbyCrop'!$C$31</f>
        <v>acre</v>
      </c>
      <c r="D3040" s="166">
        <f>'Inputs&amp;PricesbyCrop'!$V$31</f>
        <v>0</v>
      </c>
      <c r="E3040" s="166">
        <f>$C$2943</f>
        <v>0</v>
      </c>
      <c r="F3040" s="166">
        <f t="shared" si="253"/>
        <v>0</v>
      </c>
      <c r="G3040" s="163" t="e">
        <f t="shared" si="251"/>
        <v>#DIV/0!</v>
      </c>
    </row>
    <row r="3041" spans="2:7">
      <c r="B3041" t="str">
        <f>TillageOperations!$B$36&amp;" (Repairs, maint., fuel &amp; lube)"</f>
        <v>Bale Wagon (Repairs, maint., fuel &amp; lube)</v>
      </c>
      <c r="C3041" s="464" t="s">
        <v>157</v>
      </c>
      <c r="D3041" s="166">
        <f>PubMachineryTables!$AN$76+PubMachineryTables!$AM$76</f>
        <v>3.1624999999999996</v>
      </c>
      <c r="E3041" s="166">
        <f>TillageOperations!$U$36*$C$2943</f>
        <v>0</v>
      </c>
      <c r="F3041" s="166">
        <f t="shared" si="253"/>
        <v>0</v>
      </c>
      <c r="G3041" s="163" t="e">
        <f t="shared" si="251"/>
        <v>#DIV/0!</v>
      </c>
    </row>
    <row r="3042" spans="2:7">
      <c r="B3042" t="str">
        <f>TillageOperations!$B$36&amp;" (Labor)"</f>
        <v>Bale Wagon (Labor)</v>
      </c>
      <c r="C3042" s="464" t="s">
        <v>157</v>
      </c>
      <c r="D3042" s="166">
        <f>PubMachineryTables!$AL$76</f>
        <v>3.3823281250000004</v>
      </c>
      <c r="E3042" s="166">
        <f>TillageOperations!$U$36*$C$2943</f>
        <v>0</v>
      </c>
      <c r="F3042" s="166">
        <f t="shared" si="253"/>
        <v>0</v>
      </c>
      <c r="G3042" s="163" t="e">
        <f t="shared" si="251"/>
        <v>#DIV/0!</v>
      </c>
    </row>
    <row r="3043" spans="2:7">
      <c r="B3043" t="str">
        <f>TillageOperations!$B$23&amp;" (Repairs, maint., fuel &amp; lube)"</f>
        <v>Fertilizer Spreader (Repairs, maint., fuel &amp; lube)</v>
      </c>
      <c r="C3043" s="464" t="s">
        <v>157</v>
      </c>
      <c r="D3043" s="166">
        <f>PubMachineryTables!$AM$64+PubMachineryTables!$AN$64</f>
        <v>2.6573732562743069</v>
      </c>
      <c r="E3043" s="166">
        <f>TillageOperations!$U$23*$C$2943</f>
        <v>0</v>
      </c>
      <c r="F3043" s="168">
        <f t="shared" si="253"/>
        <v>0</v>
      </c>
      <c r="G3043" s="163" t="e">
        <f t="shared" si="251"/>
        <v>#DIV/0!</v>
      </c>
    </row>
    <row r="3044" spans="2:7">
      <c r="B3044" t="str">
        <f>TillageOperations!$B$23&amp;" (Labor)"</f>
        <v>Fertilizer Spreader (Labor)</v>
      </c>
      <c r="C3044" s="464" t="s">
        <v>157</v>
      </c>
      <c r="D3044" s="166">
        <f>PubMachineryTables!$AL$64</f>
        <v>1.879071180555556</v>
      </c>
      <c r="E3044" s="166">
        <f>TillageOperations!$U$23*$C$2943</f>
        <v>0</v>
      </c>
      <c r="F3044" s="168">
        <f t="shared" si="253"/>
        <v>0</v>
      </c>
      <c r="G3044" s="163" t="e">
        <f t="shared" si="251"/>
        <v>#DIV/0!</v>
      </c>
    </row>
    <row r="3045" spans="2:7">
      <c r="B3045" t="str">
        <f>TillageOperations!$B$24&amp;" (Repairs, maint., fuel &amp; lube)"</f>
        <v>Fertilizer Injection System (Repairs, maint., fuel &amp; lube)</v>
      </c>
      <c r="C3045" s="464" t="s">
        <v>157</v>
      </c>
      <c r="D3045" s="166">
        <f>PubMachineryTables!$AM$65+PubMachineryTables!$AN$65</f>
        <v>8.4333333333333336</v>
      </c>
      <c r="E3045" s="166">
        <f>TillageOperations!$U$24*$C$2943</f>
        <v>0</v>
      </c>
      <c r="F3045" s="168">
        <f t="shared" si="253"/>
        <v>0</v>
      </c>
      <c r="G3045" s="163" t="e">
        <f t="shared" si="251"/>
        <v>#DIV/0!</v>
      </c>
    </row>
    <row r="3046" spans="2:7">
      <c r="B3046" t="str">
        <f>TillageOperations!$B$24&amp;" (Labor)"</f>
        <v>Fertilizer Injection System (Labor)</v>
      </c>
      <c r="C3046" s="464" t="s">
        <v>157</v>
      </c>
      <c r="D3046" s="166">
        <f>PubMachineryTables!$AL$65</f>
        <v>4.5097708333333344</v>
      </c>
      <c r="E3046" s="166">
        <f>TillageOperations!$U$24*$C$2943</f>
        <v>0</v>
      </c>
      <c r="F3046" s="168">
        <f t="shared" si="253"/>
        <v>0</v>
      </c>
      <c r="G3046" s="163" t="e">
        <f t="shared" si="251"/>
        <v>#DIV/0!</v>
      </c>
    </row>
    <row r="3047" spans="2:7">
      <c r="B3047" t="str">
        <f>TillageOperations!$B$25&amp;" (Repairs, maint., fuel &amp; lube)"</f>
        <v>Boom Sprayer (Repairs, maint., fuel &amp; lube)</v>
      </c>
      <c r="C3047" s="464" t="s">
        <v>417</v>
      </c>
      <c r="D3047" s="166">
        <f>PubMachineryTables!AN$66+PubMachineryTables!$AM$66</f>
        <v>1.5996307048468115</v>
      </c>
      <c r="E3047" s="166">
        <f>TillageOperations!$U$25*$C$2943</f>
        <v>0</v>
      </c>
      <c r="F3047" s="166">
        <f t="shared" si="253"/>
        <v>0</v>
      </c>
      <c r="G3047" s="163" t="e">
        <f t="shared" si="251"/>
        <v>#DIV/0!</v>
      </c>
    </row>
    <row r="3048" spans="2:7">
      <c r="B3048" t="str">
        <f>TillageOperations!$B$25&amp;" (Labor)"</f>
        <v>Boom Sprayer (Labor)</v>
      </c>
      <c r="C3048" s="464" t="s">
        <v>417</v>
      </c>
      <c r="D3048" s="166">
        <f>PubMachineryTables!$AL$66</f>
        <v>1.1893901098901098</v>
      </c>
      <c r="E3048" s="166">
        <f>TillageOperations!$U$25*$C$2943</f>
        <v>0</v>
      </c>
      <c r="F3048" s="166">
        <f t="shared" si="253"/>
        <v>0</v>
      </c>
      <c r="G3048" s="163" t="e">
        <f t="shared" si="251"/>
        <v>#DIV/0!</v>
      </c>
    </row>
    <row r="3049" spans="2:7">
      <c r="B3049" t="str">
        <f>TillageOperations!$B$22&amp;" (Repairs, maint., fuel &amp; lube)"</f>
        <v>Transplanter (Repairs, maint., fuel &amp; lube)</v>
      </c>
      <c r="C3049" s="464" t="s">
        <v>157</v>
      </c>
      <c r="D3049" s="166">
        <f>PubMachineryTables!AN$63+PubMachineryTables!$AM$63</f>
        <v>61.668749999999996</v>
      </c>
      <c r="E3049" s="166">
        <f>TillageOperations!$U$22*$C$2943</f>
        <v>0</v>
      </c>
      <c r="F3049" s="166">
        <f>D3049*E3049</f>
        <v>0</v>
      </c>
      <c r="G3049" s="163" t="e">
        <f t="shared" si="251"/>
        <v>#DIV/0!</v>
      </c>
    </row>
    <row r="3050" spans="2:7">
      <c r="B3050" t="str">
        <f>TillageOperations!$B$22&amp;" (Labor)"</f>
        <v>Transplanter (Labor)</v>
      </c>
      <c r="C3050" s="464" t="s">
        <v>157</v>
      </c>
      <c r="D3050" s="166">
        <f>PubMachineryTables!$AL$63</f>
        <v>20.293968750000001</v>
      </c>
      <c r="E3050" s="166">
        <f>TillageOperations!$U$22*$C$2943</f>
        <v>0</v>
      </c>
      <c r="F3050" s="166">
        <f t="shared" si="253"/>
        <v>0</v>
      </c>
      <c r="G3050" s="163" t="e">
        <f t="shared" si="251"/>
        <v>#DIV/0!</v>
      </c>
    </row>
    <row r="3051" spans="2:7">
      <c r="B3051" t="str">
        <f>'Inputs&amp;PricesbyCrop'!$B$14</f>
        <v>Additional Land Prep. Labor</v>
      </c>
      <c r="C3051" s="137" t="str">
        <f>'Inputs&amp;PricesbyCrop'!$C$14</f>
        <v>hour</v>
      </c>
      <c r="D3051" s="166">
        <f>GeneralInputPrices!$D$30</f>
        <v>14.55</v>
      </c>
      <c r="E3051" s="166">
        <f>'Inputs&amp;PricesbyCrop'!$V$14*BASEBUDGETS!$C2943</f>
        <v>0</v>
      </c>
      <c r="F3051" s="166">
        <f t="shared" si="253"/>
        <v>0</v>
      </c>
      <c r="G3051" s="163" t="e">
        <f t="shared" si="251"/>
        <v>#DIV/0!</v>
      </c>
    </row>
    <row r="3052" spans="2:7">
      <c r="B3052" t="str">
        <f>'Inputs&amp;PricesbyCrop'!$B$15</f>
        <v>Additional Land Prep. Labor</v>
      </c>
      <c r="C3052" s="137" t="str">
        <f>'Inputs&amp;PricesbyCrop'!$C$15</f>
        <v>hour</v>
      </c>
      <c r="D3052" s="166">
        <f>GeneralInputPrices!$D$30</f>
        <v>14.55</v>
      </c>
      <c r="E3052" s="166">
        <f>'Inputs&amp;PricesbyCrop'!$V$15*BASEBUDGETS!$C2943</f>
        <v>0</v>
      </c>
      <c r="F3052" s="166">
        <f t="shared" si="253"/>
        <v>0</v>
      </c>
      <c r="G3052" s="163" t="e">
        <f t="shared" si="251"/>
        <v>#DIV/0!</v>
      </c>
    </row>
    <row r="3053" spans="2:7">
      <c r="B3053" t="str">
        <f>'Inputs&amp;PricesbyCrop'!$B$17</f>
        <v>Additional Crop Prod. Labor</v>
      </c>
      <c r="C3053" s="137" t="str">
        <f>'Inputs&amp;PricesbyCrop'!$C$17</f>
        <v>hour</v>
      </c>
      <c r="D3053" s="166">
        <f>GeneralInputPrices!$D$31</f>
        <v>14.55</v>
      </c>
      <c r="E3053" s="166">
        <f>'Inputs&amp;PricesbyCrop'!$V$17*BASEBUDGETS!$C2943</f>
        <v>0</v>
      </c>
      <c r="F3053" s="166">
        <f t="shared" si="253"/>
        <v>0</v>
      </c>
      <c r="G3053" s="163" t="e">
        <f t="shared" si="251"/>
        <v>#DIV/0!</v>
      </c>
    </row>
    <row r="3054" spans="2:7">
      <c r="B3054" t="str">
        <f>'Inputs&amp;PricesbyCrop'!$B$18</f>
        <v>Additional Crop Prod. Labor</v>
      </c>
      <c r="C3054" s="137" t="str">
        <f>'Inputs&amp;PricesbyCrop'!$C$18</f>
        <v>hour</v>
      </c>
      <c r="D3054" s="166">
        <f>GeneralInputPrices!$D$31</f>
        <v>14.55</v>
      </c>
      <c r="E3054" s="166">
        <f>'Inputs&amp;PricesbyCrop'!$V$18*BASEBUDGETS!$C2943</f>
        <v>0</v>
      </c>
      <c r="F3054" s="166">
        <f t="shared" si="253"/>
        <v>0</v>
      </c>
      <c r="G3054" s="163" t="e">
        <f t="shared" si="251"/>
        <v>#DIV/0!</v>
      </c>
    </row>
    <row r="3055" spans="2:7">
      <c r="B3055" t="str">
        <f>'Inputs&amp;PricesbyCrop'!$B$20</f>
        <v>Additional Harvest Labor</v>
      </c>
      <c r="C3055" s="137" t="str">
        <f>'Inputs&amp;PricesbyCrop'!$C$20</f>
        <v>hour</v>
      </c>
      <c r="D3055" s="166">
        <f>GeneralInputPrices!$D$32</f>
        <v>17.89</v>
      </c>
      <c r="E3055" s="166">
        <f>'Inputs&amp;PricesbyCrop'!$V$20*BASEBUDGETS!$C2943</f>
        <v>0</v>
      </c>
      <c r="F3055" s="166">
        <f t="shared" si="253"/>
        <v>0</v>
      </c>
      <c r="G3055" s="163" t="e">
        <f t="shared" si="251"/>
        <v>#DIV/0!</v>
      </c>
    </row>
    <row r="3056" spans="2:7">
      <c r="B3056" t="str">
        <f>'Inputs&amp;PricesbyCrop'!$B$21</f>
        <v>Additional Harvest Labor</v>
      </c>
      <c r="C3056" s="137" t="str">
        <f>'Inputs&amp;PricesbyCrop'!$C$21</f>
        <v>hour</v>
      </c>
      <c r="D3056" s="166">
        <f>GeneralInputPrices!$D$32</f>
        <v>17.89</v>
      </c>
      <c r="E3056" s="166">
        <f>'Inputs&amp;PricesbyCrop'!$V$21*BASEBUDGETS!$C2943</f>
        <v>0</v>
      </c>
      <c r="F3056" s="166">
        <f t="shared" si="253"/>
        <v>0</v>
      </c>
      <c r="G3056" s="163" t="e">
        <f t="shared" si="251"/>
        <v>#DIV/0!</v>
      </c>
    </row>
    <row r="3057" spans="2:7">
      <c r="B3057" t="s">
        <v>59</v>
      </c>
      <c r="C3057" s="137" t="str">
        <f>GeneralInputPrices!$C$34</f>
        <v>percent</v>
      </c>
      <c r="D3057" s="138">
        <f>GeneralInputPrices!$D$34</f>
        <v>0.05</v>
      </c>
      <c r="E3057" s="75" t="s">
        <v>10</v>
      </c>
      <c r="F3057" s="37">
        <f>SUM(F2951:F3050)*D3057</f>
        <v>0</v>
      </c>
      <c r="G3057" s="163" t="e">
        <f t="shared" si="251"/>
        <v>#DIV/0!</v>
      </c>
    </row>
    <row r="3058" spans="2:7">
      <c r="B3058" t="s">
        <v>60</v>
      </c>
      <c r="C3058" s="137" t="str">
        <f>GeneralInputPrices!$C$34</f>
        <v>percent</v>
      </c>
      <c r="D3058" s="138">
        <f>GeneralInputPrices!$D$35</f>
        <v>0.06</v>
      </c>
      <c r="F3058" s="139">
        <f>SUM(F2951:F3057)*((D3058/12)*GeneralInputPrices!$D$39)</f>
        <v>0</v>
      </c>
      <c r="G3058" s="163" t="e">
        <f t="shared" si="251"/>
        <v>#DIV/0!</v>
      </c>
    </row>
    <row r="3059" spans="2:7">
      <c r="B3059" t="s">
        <v>61</v>
      </c>
      <c r="D3059" s="454"/>
      <c r="F3059" s="37">
        <f>SUM(F2951:F3058)</f>
        <v>0</v>
      </c>
      <c r="G3059" s="163" t="e">
        <f t="shared" si="251"/>
        <v>#DIV/0!</v>
      </c>
    </row>
    <row r="3060" spans="2:7">
      <c r="D3060" s="454"/>
      <c r="G3060" s="163" t="e">
        <f t="shared" si="251"/>
        <v>#DIV/0!</v>
      </c>
    </row>
    <row r="3061" spans="2:7">
      <c r="B3061" s="140" t="s">
        <v>129</v>
      </c>
      <c r="C3061" s="458" t="s">
        <v>1</v>
      </c>
      <c r="D3061" s="459" t="s">
        <v>24</v>
      </c>
      <c r="E3061" s="460" t="s">
        <v>25</v>
      </c>
      <c r="F3061" s="460" t="s">
        <v>0</v>
      </c>
      <c r="G3061" s="322" t="s">
        <v>10</v>
      </c>
    </row>
    <row r="3062" spans="2:7">
      <c r="B3062" t="str">
        <f>GeneralInputPrices!$B$15&amp;" - Upfront Costs for New System"</f>
        <v>Flood - Upfront Costs for New System</v>
      </c>
      <c r="C3062" s="453" t="str">
        <f>GeneralInputPrices!$C$16</f>
        <v>acre</v>
      </c>
      <c r="D3062" s="166">
        <f>IF('BreakevenInputs&amp;Resources'!T$16=0,0,(('BreakevenInputs&amp;Resources'!T$16/GeneralInputPrices!$D$17)*('AcresYieldsPrices&amp;Water'!$Q$27/'AcresYieldsPrices&amp;Water'!$Q$31))/$C2943)</f>
        <v>0</v>
      </c>
      <c r="E3062" s="166">
        <f>$C2943</f>
        <v>0</v>
      </c>
      <c r="F3062" s="166">
        <f>D3062*E3062</f>
        <v>0</v>
      </c>
      <c r="G3062" s="163" t="e">
        <f t="shared" si="251"/>
        <v>#DIV/0!</v>
      </c>
    </row>
    <row r="3063" spans="2:7">
      <c r="B3063" t="str">
        <f>GeneralInputPrices!$B$19&amp;" - Upfront Costs for New System"</f>
        <v>Drip-tape - Upfront Costs for New System</v>
      </c>
      <c r="C3063" s="453" t="str">
        <f>GeneralInputPrices!$C$20</f>
        <v>acre</v>
      </c>
      <c r="D3063" s="166">
        <f>IF('BreakevenInputs&amp;Resources'!T$17=0,0,(('BreakevenInputs&amp;Resources'!T$17/GeneralInputPrices!$D$21)*('AcresYieldsPrices&amp;Water'!$Q$27/'AcresYieldsPrices&amp;Water'!$Q$31))/$C2943)</f>
        <v>0</v>
      </c>
      <c r="E3063" s="166">
        <f>$C2943</f>
        <v>0</v>
      </c>
      <c r="F3063" s="166">
        <f>D3063*E3063</f>
        <v>0</v>
      </c>
      <c r="G3063" s="163" t="e">
        <f t="shared" si="251"/>
        <v>#DIV/0!</v>
      </c>
    </row>
    <row r="3064" spans="2:7">
      <c r="B3064" t="str">
        <f>GeneralInputPrices!$B$23&amp;" - Upfront Costs for New System"</f>
        <v>Sprinkler - Upfront Costs for New System</v>
      </c>
      <c r="C3064" s="453" t="str">
        <f>GeneralInputPrices!$C$24</f>
        <v>acre</v>
      </c>
      <c r="D3064" s="166">
        <f>IF('BreakevenInputs&amp;Resources'!T$18=0,0,(('BreakevenInputs&amp;Resources'!T$18/GeneralInputPrices!$D$25)*('AcresYieldsPrices&amp;Water'!$Q$27/'AcresYieldsPrices&amp;Water'!$Q$31))/$C2943)</f>
        <v>0</v>
      </c>
      <c r="E3064" s="166">
        <f>$C2943</f>
        <v>0</v>
      </c>
      <c r="F3064" s="166">
        <f>D3064*E3064</f>
        <v>0</v>
      </c>
      <c r="G3064" s="163" t="e">
        <f t="shared" si="251"/>
        <v>#DIV/0!</v>
      </c>
    </row>
    <row r="3065" spans="2:7">
      <c r="B3065" s="463" t="str">
        <f>TillageOperations!$B$7</f>
        <v>V-Ripper</v>
      </c>
      <c r="C3065" s="464" t="s">
        <v>157</v>
      </c>
      <c r="D3065" s="166">
        <f>PubMachineryTables!$AO$49</f>
        <v>209.18701372031111</v>
      </c>
      <c r="E3065" s="166">
        <f>E2994</f>
        <v>0</v>
      </c>
      <c r="F3065" s="168">
        <f t="shared" ref="F3065:F3076" si="254">D3065*E3065</f>
        <v>0</v>
      </c>
      <c r="G3065" s="163" t="e">
        <f t="shared" si="251"/>
        <v>#DIV/0!</v>
      </c>
    </row>
    <row r="3066" spans="2:7">
      <c r="B3066" s="463" t="str">
        <f>TillageOperations!$B$8</f>
        <v>Offset Disk</v>
      </c>
      <c r="C3066" s="464" t="s">
        <v>157</v>
      </c>
      <c r="D3066" s="166">
        <f>PubMachineryTables!$AO$50</f>
        <v>42.467441655558019</v>
      </c>
      <c r="E3066" s="166">
        <f>E2996</f>
        <v>0</v>
      </c>
      <c r="F3066" s="166">
        <f t="shared" si="254"/>
        <v>0</v>
      </c>
      <c r="G3066" s="163" t="e">
        <f t="shared" si="251"/>
        <v>#DIV/0!</v>
      </c>
    </row>
    <row r="3067" spans="2:7">
      <c r="B3067" s="463" t="str">
        <f>TillageOperations!$B$9</f>
        <v>Drag</v>
      </c>
      <c r="C3067" s="464" t="s">
        <v>157</v>
      </c>
      <c r="D3067" s="166">
        <f>PubMachineryTables!$AO$51</f>
        <v>0</v>
      </c>
      <c r="E3067" s="166">
        <f>E2998</f>
        <v>0</v>
      </c>
      <c r="F3067" s="166">
        <f t="shared" si="254"/>
        <v>0</v>
      </c>
      <c r="G3067" s="163" t="e">
        <f t="shared" si="251"/>
        <v>#DIV/0!</v>
      </c>
    </row>
    <row r="3068" spans="2:7">
      <c r="B3068" s="463" t="str">
        <f>TillageOperations!$B$10</f>
        <v>Chisel</v>
      </c>
      <c r="C3068" s="464" t="s">
        <v>157</v>
      </c>
      <c r="D3068" s="166">
        <f>PubMachineryTables!$AO$52</f>
        <v>40.724752902248241</v>
      </c>
      <c r="E3068" s="166">
        <f>E3000</f>
        <v>0</v>
      </c>
      <c r="F3068" s="166">
        <f t="shared" si="254"/>
        <v>0</v>
      </c>
      <c r="G3068" s="163" t="e">
        <f t="shared" si="251"/>
        <v>#DIV/0!</v>
      </c>
    </row>
    <row r="3069" spans="2:7">
      <c r="B3069" s="463" t="str">
        <f>TillageOperations!$B$11</f>
        <v>Moldboard Plow</v>
      </c>
      <c r="C3069" s="464" t="s">
        <v>157</v>
      </c>
      <c r="D3069" s="166">
        <f>PubMachineryTables!$AO$53</f>
        <v>0</v>
      </c>
      <c r="E3069" s="166">
        <f>E3002</f>
        <v>0</v>
      </c>
      <c r="F3069" s="166">
        <f t="shared" si="254"/>
        <v>0</v>
      </c>
      <c r="G3069" s="163" t="e">
        <f t="shared" si="251"/>
        <v>#DIV/0!</v>
      </c>
    </row>
    <row r="3070" spans="2:7">
      <c r="B3070" s="463" t="str">
        <f>TillageOperations!$B$12</f>
        <v>Cultivator</v>
      </c>
      <c r="C3070" s="464" t="s">
        <v>157</v>
      </c>
      <c r="D3070" s="166">
        <f>PubMachineryTables!$AO$54</f>
        <v>0</v>
      </c>
      <c r="E3070" s="166">
        <f>E3004</f>
        <v>0</v>
      </c>
      <c r="F3070" s="166">
        <f t="shared" si="254"/>
        <v>0</v>
      </c>
      <c r="G3070" s="163" t="e">
        <f t="shared" si="251"/>
        <v>#DIV/0!</v>
      </c>
    </row>
    <row r="3071" spans="2:7">
      <c r="B3071" s="463" t="str">
        <f>TillageOperations!$B$13</f>
        <v>Landplane</v>
      </c>
      <c r="C3071" s="464" t="s">
        <v>157</v>
      </c>
      <c r="D3071" s="166">
        <f>PubMachineryTables!$AO$55</f>
        <v>107.77752986339607</v>
      </c>
      <c r="E3071" s="166">
        <f>E3006</f>
        <v>0</v>
      </c>
      <c r="F3071" s="166">
        <f t="shared" si="254"/>
        <v>0</v>
      </c>
      <c r="G3071" s="163" t="e">
        <f t="shared" si="251"/>
        <v>#DIV/0!</v>
      </c>
    </row>
    <row r="3072" spans="2:7">
      <c r="B3072" s="463" t="str">
        <f>TillageOperations!$B$14</f>
        <v>Float</v>
      </c>
      <c r="C3072" s="464" t="s">
        <v>157</v>
      </c>
      <c r="D3072" s="166">
        <f>PubMachineryTables!$AO$56</f>
        <v>0</v>
      </c>
      <c r="E3072" s="166">
        <f>E3008</f>
        <v>0</v>
      </c>
      <c r="F3072" s="166">
        <f t="shared" si="254"/>
        <v>0</v>
      </c>
      <c r="G3072" s="163" t="e">
        <f t="shared" si="251"/>
        <v>#DIV/0!</v>
      </c>
    </row>
    <row r="3073" spans="2:7">
      <c r="B3073" s="463" t="str">
        <f>TillageOperations!$B$15</f>
        <v>Lister</v>
      </c>
      <c r="C3073" s="464" t="s">
        <v>157</v>
      </c>
      <c r="D3073" s="166">
        <f>PubMachineryTables!$AO$57</f>
        <v>72.676050764764099</v>
      </c>
      <c r="E3073" s="166">
        <f>E3010</f>
        <v>0</v>
      </c>
      <c r="F3073" s="166">
        <f t="shared" si="254"/>
        <v>0</v>
      </c>
      <c r="G3073" s="163" t="e">
        <f t="shared" si="251"/>
        <v>#DIV/0!</v>
      </c>
    </row>
    <row r="3074" spans="2:7">
      <c r="B3074" s="463" t="str">
        <f>TillageOperations!$B$16</f>
        <v>Bed Shaper</v>
      </c>
      <c r="C3074" s="464" t="s">
        <v>157</v>
      </c>
      <c r="D3074" s="166">
        <f>PubMachineryTables!$AO$58</f>
        <v>50.420091551988918</v>
      </c>
      <c r="E3074" s="166">
        <f>E3012</f>
        <v>0</v>
      </c>
      <c r="F3074" s="166">
        <f t="shared" si="254"/>
        <v>0</v>
      </c>
      <c r="G3074" s="163" t="e">
        <f t="shared" si="251"/>
        <v>#DIV/0!</v>
      </c>
    </row>
    <row r="3075" spans="2:7">
      <c r="B3075" s="463" t="str">
        <f>TillageOperations!$B$19</f>
        <v>Row Planter</v>
      </c>
      <c r="C3075" s="464" t="s">
        <v>157</v>
      </c>
      <c r="D3075" s="166">
        <f>PubMachineryTables!$AO$60</f>
        <v>218.60367298033367</v>
      </c>
      <c r="E3075" s="166">
        <f>E3014</f>
        <v>0</v>
      </c>
      <c r="F3075" s="166">
        <f t="shared" si="254"/>
        <v>0</v>
      </c>
      <c r="G3075" s="163" t="e">
        <f t="shared" si="251"/>
        <v>#DIV/0!</v>
      </c>
    </row>
    <row r="3076" spans="2:7">
      <c r="B3076" s="463" t="str">
        <f>TillageOperations!$B$20</f>
        <v>Row Cultivator</v>
      </c>
      <c r="C3076" s="464" t="s">
        <v>157</v>
      </c>
      <c r="D3076" s="166">
        <f>PubMachineryTables!$AO$61</f>
        <v>74.064902712939798</v>
      </c>
      <c r="E3076" s="166">
        <f>E3016</f>
        <v>0</v>
      </c>
      <c r="F3076" s="166">
        <f t="shared" si="254"/>
        <v>0</v>
      </c>
      <c r="G3076" s="163" t="e">
        <f t="shared" si="251"/>
        <v>#DIV/0!</v>
      </c>
    </row>
    <row r="3077" spans="2:7">
      <c r="B3077" s="465" t="str">
        <f>TillageOperations!$B$21</f>
        <v>Drill</v>
      </c>
      <c r="C3077" s="464" t="s">
        <v>157</v>
      </c>
      <c r="D3077" s="166">
        <f>PubMachineryTables!$AO$62</f>
        <v>51.837941761576523</v>
      </c>
      <c r="E3077" s="166">
        <f>E3018</f>
        <v>0</v>
      </c>
      <c r="F3077" s="166">
        <f t="shared" ref="F3077:F3081" si="255">D3077*E3077</f>
        <v>0</v>
      </c>
      <c r="G3077" s="163" t="e">
        <f t="shared" ref="G3077:G3102" si="256">F3077/C$2943</f>
        <v>#DIV/0!</v>
      </c>
    </row>
    <row r="3078" spans="2:7">
      <c r="B3078" s="463" t="str">
        <f>TillageOperations!$B$27</f>
        <v>Cotton Picker</v>
      </c>
      <c r="C3078" s="464" t="s">
        <v>157</v>
      </c>
      <c r="D3078" s="166">
        <f>PubMachineryTables!$AO$67</f>
        <v>0</v>
      </c>
      <c r="E3078" s="166">
        <f>E3020</f>
        <v>0</v>
      </c>
      <c r="F3078" s="166">
        <f t="shared" si="255"/>
        <v>0</v>
      </c>
      <c r="G3078" s="163" t="e">
        <f t="shared" si="256"/>
        <v>#DIV/0!</v>
      </c>
    </row>
    <row r="3079" spans="2:7">
      <c r="B3079" s="463" t="str">
        <f>TillageOperations!$B$28</f>
        <v>Module Unit</v>
      </c>
      <c r="C3079" s="464" t="s">
        <v>157</v>
      </c>
      <c r="D3079" s="166">
        <f>PubMachineryTables!$AO$68</f>
        <v>0</v>
      </c>
      <c r="E3079" s="166">
        <f>E3022</f>
        <v>0</v>
      </c>
      <c r="F3079" s="166">
        <f t="shared" si="255"/>
        <v>0</v>
      </c>
      <c r="G3079" s="163" t="e">
        <f t="shared" si="256"/>
        <v>#DIV/0!</v>
      </c>
    </row>
    <row r="3080" spans="2:7">
      <c r="B3080" s="463" t="str">
        <f>TillageOperations!$B$29</f>
        <v>Haul Cotton</v>
      </c>
      <c r="C3080" s="464" t="s">
        <v>157</v>
      </c>
      <c r="D3080" s="166">
        <f>PubMachineryTables!$AO$69</f>
        <v>0</v>
      </c>
      <c r="E3080" s="166">
        <f>E3024</f>
        <v>0</v>
      </c>
      <c r="F3080" s="166">
        <f t="shared" si="255"/>
        <v>0</v>
      </c>
      <c r="G3080" s="163" t="e">
        <f t="shared" si="256"/>
        <v>#DIV/0!</v>
      </c>
    </row>
    <row r="3081" spans="2:7">
      <c r="B3081" s="465" t="str">
        <f>TillageOperations!$B$17</f>
        <v>Cotton Shredder/Root Puller</v>
      </c>
      <c r="C3081" s="464" t="s">
        <v>157</v>
      </c>
      <c r="D3081" s="166">
        <f>PubMachineryTables!$AO$59</f>
        <v>0</v>
      </c>
      <c r="E3081" s="166">
        <f>E3026</f>
        <v>0</v>
      </c>
      <c r="F3081" s="166">
        <f t="shared" si="255"/>
        <v>0</v>
      </c>
      <c r="G3081" s="163" t="e">
        <f t="shared" si="256"/>
        <v>#DIV/0!</v>
      </c>
    </row>
    <row r="3082" spans="2:7">
      <c r="B3082" s="102" t="str">
        <f>TillageOperations!$B$30</f>
        <v>Combine</v>
      </c>
      <c r="C3082" s="464" t="s">
        <v>157</v>
      </c>
      <c r="D3082" s="166">
        <f>PubMachineryTables!$AO$70</f>
        <v>154.43457969840463</v>
      </c>
      <c r="E3082" s="166">
        <f>E3028</f>
        <v>0</v>
      </c>
      <c r="F3082" s="166">
        <f>D3082*E3082</f>
        <v>0</v>
      </c>
      <c r="G3082" s="163" t="e">
        <f t="shared" si="256"/>
        <v>#DIV/0!</v>
      </c>
    </row>
    <row r="3083" spans="2:7">
      <c r="B3083" s="102" t="str">
        <f>TillageOperations!$B$31</f>
        <v>Grain Cart</v>
      </c>
      <c r="C3083" s="464" t="s">
        <v>157</v>
      </c>
      <c r="D3083" s="166">
        <f>PubMachineryTables!$AO$71</f>
        <v>25.28843211678571</v>
      </c>
      <c r="E3083" s="166">
        <f>E3030</f>
        <v>0</v>
      </c>
      <c r="F3083" s="166">
        <f>D3083*E3083</f>
        <v>0</v>
      </c>
      <c r="G3083" s="163" t="e">
        <f t="shared" si="256"/>
        <v>#DIV/0!</v>
      </c>
    </row>
    <row r="3084" spans="2:7">
      <c r="B3084" s="102" t="str">
        <f>TillageOperations!$B$32</f>
        <v>Swather</v>
      </c>
      <c r="C3084" s="464" t="s">
        <v>157</v>
      </c>
      <c r="D3084" s="166">
        <f>PubMachineryTables!$AO$72</f>
        <v>0</v>
      </c>
      <c r="E3084" s="166">
        <f>E3032</f>
        <v>0</v>
      </c>
      <c r="F3084" s="166">
        <f t="shared" ref="F3084:F3092" si="257">D3084*E3084</f>
        <v>0</v>
      </c>
      <c r="G3084" s="163" t="e">
        <f t="shared" si="256"/>
        <v>#DIV/0!</v>
      </c>
    </row>
    <row r="3085" spans="2:7">
      <c r="B3085" s="102" t="str">
        <f>TillageOperations!$B$33</f>
        <v>Baler</v>
      </c>
      <c r="C3085" s="464" t="s">
        <v>157</v>
      </c>
      <c r="D3085" s="166">
        <f>PubMachineryTables!$AO$73</f>
        <v>0</v>
      </c>
      <c r="E3085" s="166">
        <f>E3034</f>
        <v>0</v>
      </c>
      <c r="F3085" s="166">
        <f t="shared" si="257"/>
        <v>0</v>
      </c>
      <c r="G3085" s="163" t="e">
        <f t="shared" si="256"/>
        <v>#DIV/0!</v>
      </c>
    </row>
    <row r="3086" spans="2:7">
      <c r="B3086" s="102" t="str">
        <f>TillageOperations!$B$34</f>
        <v>Swather</v>
      </c>
      <c r="C3086" s="464" t="s">
        <v>157</v>
      </c>
      <c r="D3086" s="166">
        <f>PubMachineryTables!$AO$74</f>
        <v>0</v>
      </c>
      <c r="E3086" s="166">
        <f>E3036</f>
        <v>0</v>
      </c>
      <c r="F3086" s="166">
        <f t="shared" si="257"/>
        <v>0</v>
      </c>
      <c r="G3086" s="163" t="e">
        <f t="shared" si="256"/>
        <v>#DIV/0!</v>
      </c>
    </row>
    <row r="3087" spans="2:7">
      <c r="B3087" s="102" t="str">
        <f>TillageOperations!$B$35</f>
        <v>Baler</v>
      </c>
      <c r="C3087" s="464" t="s">
        <v>157</v>
      </c>
      <c r="D3087" s="166">
        <f>PubMachineryTables!$AO$75</f>
        <v>0</v>
      </c>
      <c r="E3087" s="166">
        <f>E3038</f>
        <v>0</v>
      </c>
      <c r="F3087" s="166">
        <f t="shared" si="257"/>
        <v>0</v>
      </c>
      <c r="G3087" s="163" t="e">
        <f t="shared" si="256"/>
        <v>#DIV/0!</v>
      </c>
    </row>
    <row r="3088" spans="2:7">
      <c r="B3088" s="102" t="str">
        <f>TillageOperations!$B$36</f>
        <v>Bale Wagon</v>
      </c>
      <c r="C3088" s="464" t="s">
        <v>157</v>
      </c>
      <c r="D3088" s="166">
        <f>PubMachineryTables!$AO$76</f>
        <v>0</v>
      </c>
      <c r="E3088" s="166">
        <f>E3041</f>
        <v>0</v>
      </c>
      <c r="F3088" s="166">
        <f t="shared" si="257"/>
        <v>0</v>
      </c>
      <c r="G3088" s="163" t="e">
        <f t="shared" si="256"/>
        <v>#DIV/0!</v>
      </c>
    </row>
    <row r="3089" spans="2:8">
      <c r="B3089" s="102" t="str">
        <f>TillageOperations!$B$23</f>
        <v>Fertilizer Spreader</v>
      </c>
      <c r="C3089" s="464" t="s">
        <v>157</v>
      </c>
      <c r="D3089" s="166">
        <f>PubMachineryTables!$AO$64</f>
        <v>93.913865291400512</v>
      </c>
      <c r="E3089" s="166">
        <f>E3043</f>
        <v>0</v>
      </c>
      <c r="F3089" s="166">
        <f t="shared" si="257"/>
        <v>0</v>
      </c>
      <c r="G3089" s="163" t="e">
        <f t="shared" si="256"/>
        <v>#DIV/0!</v>
      </c>
    </row>
    <row r="3090" spans="2:8">
      <c r="B3090" s="102" t="str">
        <f>TillageOperations!$B$24</f>
        <v>Fertilizer Injection System</v>
      </c>
      <c r="C3090" s="464" t="s">
        <v>157</v>
      </c>
      <c r="D3090" s="166">
        <f>PubMachineryTables!$AO$65</f>
        <v>0</v>
      </c>
      <c r="E3090" s="166">
        <f>E3045</f>
        <v>0</v>
      </c>
      <c r="F3090" s="166">
        <f t="shared" si="257"/>
        <v>0</v>
      </c>
      <c r="G3090" s="163" t="e">
        <f t="shared" si="256"/>
        <v>#DIV/0!</v>
      </c>
    </row>
    <row r="3091" spans="2:8">
      <c r="B3091" s="102" t="str">
        <f>TillageOperations!$B$25</f>
        <v>Boom Sprayer</v>
      </c>
      <c r="C3091" s="464" t="s">
        <v>157</v>
      </c>
      <c r="D3091" s="166">
        <f>PubMachineryTables!$AO$66</f>
        <v>9.6826493425933542</v>
      </c>
      <c r="E3091" s="166">
        <f>E3047</f>
        <v>0</v>
      </c>
      <c r="F3091" s="166">
        <f t="shared" si="257"/>
        <v>0</v>
      </c>
      <c r="G3091" s="163" t="e">
        <f t="shared" si="256"/>
        <v>#DIV/0!</v>
      </c>
      <c r="H3091" s="166" t="e">
        <f>SUM(G3067:G3091)</f>
        <v>#DIV/0!</v>
      </c>
    </row>
    <row r="3092" spans="2:8">
      <c r="B3092" s="102" t="str">
        <f>TillageOperations!$B$22</f>
        <v>Transplanter</v>
      </c>
      <c r="C3092" s="464" t="s">
        <v>157</v>
      </c>
      <c r="D3092" s="166">
        <f>PubMachineryTables!$AO$63</f>
        <v>0</v>
      </c>
      <c r="E3092" s="166">
        <f>E3049</f>
        <v>0</v>
      </c>
      <c r="F3092" s="166">
        <f t="shared" si="257"/>
        <v>0</v>
      </c>
      <c r="G3092" s="163" t="e">
        <f t="shared" si="256"/>
        <v>#DIV/0!</v>
      </c>
    </row>
    <row r="3093" spans="2:8">
      <c r="B3093" t="str">
        <f>'Inputs&amp;PricesbyCrop'!$B$39</f>
        <v>Crop Insurance</v>
      </c>
      <c r="C3093" s="464" t="s">
        <v>157</v>
      </c>
      <c r="D3093" s="166">
        <f>'Inputs&amp;PricesbyCrop'!$V$39</f>
        <v>0</v>
      </c>
      <c r="E3093" s="169">
        <f t="shared" ref="E3093:E3098" si="258">$C$2943</f>
        <v>0</v>
      </c>
      <c r="F3093" s="166">
        <f>D3093*E3093</f>
        <v>0</v>
      </c>
      <c r="G3093" s="163" t="e">
        <f t="shared" si="256"/>
        <v>#DIV/0!</v>
      </c>
    </row>
    <row r="3094" spans="2:8">
      <c r="B3094" t="str">
        <f>'Inputs&amp;PricesbyCrop'!$B$40</f>
        <v>Property Insurance</v>
      </c>
      <c r="C3094" s="464" t="s">
        <v>157</v>
      </c>
      <c r="D3094" s="166">
        <f>'Inputs&amp;PricesbyCrop'!$V$40</f>
        <v>0</v>
      </c>
      <c r="E3094" s="169">
        <f t="shared" si="258"/>
        <v>0</v>
      </c>
      <c r="F3094" s="166">
        <f>D3094*E3094</f>
        <v>0</v>
      </c>
      <c r="G3094" s="163" t="e">
        <f t="shared" si="256"/>
        <v>#DIV/0!</v>
      </c>
    </row>
    <row r="3095" spans="2:8">
      <c r="B3095" t="str">
        <f>'Inputs&amp;PricesbyCrop'!$B$41</f>
        <v>Property Taxes</v>
      </c>
      <c r="C3095" s="464" t="s">
        <v>157</v>
      </c>
      <c r="D3095" s="166">
        <f>'Inputs&amp;PricesbyCrop'!$V$41</f>
        <v>0</v>
      </c>
      <c r="E3095" s="169">
        <f t="shared" si="258"/>
        <v>0</v>
      </c>
      <c r="F3095" s="166">
        <f t="shared" ref="F3095:F3098" si="259">D3095*E3095</f>
        <v>0</v>
      </c>
      <c r="G3095" s="163" t="e">
        <f t="shared" si="256"/>
        <v>#DIV/0!</v>
      </c>
    </row>
    <row r="3096" spans="2:8">
      <c r="B3096" t="str">
        <f>'Inputs&amp;PricesbyCrop'!$B$42</f>
        <v>Annual Cash Rent Payment</v>
      </c>
      <c r="C3096" s="464" t="s">
        <v>157</v>
      </c>
      <c r="D3096" s="166">
        <f>'Inputs&amp;PricesbyCrop'!$V$42</f>
        <v>170</v>
      </c>
      <c r="E3096" s="169">
        <f t="shared" si="258"/>
        <v>0</v>
      </c>
      <c r="F3096" s="166">
        <f t="shared" si="259"/>
        <v>0</v>
      </c>
      <c r="G3096" s="163" t="e">
        <f t="shared" si="256"/>
        <v>#DIV/0!</v>
      </c>
    </row>
    <row r="3097" spans="2:8">
      <c r="B3097" t="s">
        <v>484</v>
      </c>
      <c r="C3097" s="464" t="s">
        <v>157</v>
      </c>
      <c r="D3097" s="166">
        <f>AlfalfaHayProd!I104</f>
        <v>0</v>
      </c>
      <c r="E3097" s="169">
        <f t="shared" si="258"/>
        <v>0</v>
      </c>
      <c r="F3097" s="166">
        <f t="shared" ref="F3097" si="260">D3097*E3097</f>
        <v>0</v>
      </c>
      <c r="G3097" s="163" t="e">
        <f t="shared" si="256"/>
        <v>#DIV/0!</v>
      </c>
    </row>
    <row r="3098" spans="2:8">
      <c r="B3098" t="str">
        <f>'Inputs&amp;PricesbyCrop'!$B$49</f>
        <v>Licenses and Fees</v>
      </c>
      <c r="C3098" s="464" t="s">
        <v>157</v>
      </c>
      <c r="D3098" s="166">
        <f>'Inputs&amp;PricesbyCrop'!$V$49</f>
        <v>0</v>
      </c>
      <c r="E3098" s="169">
        <f t="shared" si="258"/>
        <v>0</v>
      </c>
      <c r="F3098" s="170">
        <f t="shared" si="259"/>
        <v>0</v>
      </c>
      <c r="G3098" s="163" t="e">
        <f t="shared" si="256"/>
        <v>#DIV/0!</v>
      </c>
    </row>
    <row r="3099" spans="2:8">
      <c r="B3099" t="s">
        <v>131</v>
      </c>
      <c r="D3099" s="454"/>
      <c r="F3099" s="37">
        <f>SUM(F3062:F3098)</f>
        <v>0</v>
      </c>
      <c r="G3099" s="163" t="e">
        <f t="shared" si="256"/>
        <v>#DIV/0!</v>
      </c>
    </row>
    <row r="3100" spans="2:8">
      <c r="D3100" s="454"/>
      <c r="G3100" s="322" t="s">
        <v>10</v>
      </c>
    </row>
    <row r="3101" spans="2:8">
      <c r="B3101" t="s">
        <v>63</v>
      </c>
      <c r="D3101" s="454"/>
      <c r="F3101" s="37">
        <f>F3099+F3059</f>
        <v>0</v>
      </c>
      <c r="G3101" s="163" t="e">
        <f t="shared" si="256"/>
        <v>#DIV/0!</v>
      </c>
    </row>
    <row r="3102" spans="2:8">
      <c r="B3102" t="s">
        <v>64</v>
      </c>
      <c r="D3102" s="454"/>
      <c r="F3102" s="37">
        <f>F2948-F3101</f>
        <v>0</v>
      </c>
      <c r="G3102" s="163" t="e">
        <f t="shared" si="256"/>
        <v>#DIV/0!</v>
      </c>
    </row>
    <row r="3103" spans="2:8">
      <c r="D3103" s="454"/>
      <c r="F3103" s="37"/>
      <c r="G3103" s="37"/>
    </row>
    <row r="3104" spans="2:8">
      <c r="D3104" s="454"/>
      <c r="F3104" s="37"/>
      <c r="G3104" s="37"/>
    </row>
    <row r="3105" spans="4:7">
      <c r="D3105" s="454"/>
      <c r="F3105" s="37"/>
      <c r="G3105" s="37"/>
    </row>
    <row r="3106" spans="4:7">
      <c r="D3106" s="454"/>
      <c r="F3106" s="37"/>
      <c r="G3106" s="37"/>
    </row>
  </sheetData>
  <sheetProtection algorithmName="SHA-512" hashValue="2LJq5y4g/0Z+eC1TNOZnGrepLDYosiYZqCTYJhBwS97FJd91vJ88MTDiVuqNhbN/Jtn/HJSYjvY7o28tjp3VbA==" saltValue="uSh9eMXgW7t+pfNiKyctCw==" spinCount="100000" sheet="1" objects="1" scenarios="1"/>
  <mergeCells count="2">
    <mergeCell ref="E4:G4"/>
    <mergeCell ref="C1:C2"/>
  </mergeCells>
  <phoneticPr fontId="73" type="noConversion"/>
  <pageMargins left="0.7" right="0.7" top="0.75" bottom="0.75" header="0.3" footer="0.3"/>
  <pageSetup scale="10" fitToHeight="3" orientation="portrait" horizontalDpi="360" verticalDpi="360" r:id="rId1"/>
  <ignoredErrors>
    <ignoredError sqref="F1422:F1425 B1373:B1398 F1445 B1460:B1461 B3080:B3081 F3065 F3043:F3044 B2998:B3003 F796 B1445:B1458 B3065:B3078 B74:B80" unlockedFormula="1"/>
    <ignoredError sqref="G28" evalError="1"/>
  </ignoredErrors>
</worksheet>
</file>

<file path=xl/worksheets/sheet3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F0976-55EC-6E46-B347-D0690FF3AFAF}">
  <sheetPr codeName="Sheet30">
    <pageSetUpPr fitToPage="1"/>
  </sheetPr>
  <dimension ref="A2:X213"/>
  <sheetViews>
    <sheetView zoomScale="130" zoomScaleNormal="130" workbookViewId="0">
      <selection activeCell="AM87" sqref="AM87"/>
    </sheetView>
  </sheetViews>
  <sheetFormatPr defaultColWidth="11.44140625" defaultRowHeight="14.4"/>
  <cols>
    <col min="1" max="1" width="11.44140625" customWidth="1"/>
    <col min="2" max="2" width="26.6640625" customWidth="1"/>
    <col min="3" max="4" width="14.109375" customWidth="1"/>
    <col min="5" max="5" width="13.44140625" customWidth="1"/>
    <col min="6" max="6" width="14.109375" customWidth="1"/>
    <col min="8" max="8" width="15.33203125" customWidth="1"/>
    <col min="9" max="10" width="14.109375" bestFit="1" customWidth="1"/>
    <col min="11" max="11" width="15.6640625" customWidth="1"/>
    <col min="20" max="20" width="50.33203125" bestFit="1" customWidth="1"/>
    <col min="21" max="21" width="17.44140625" customWidth="1"/>
    <col min="22" max="23" width="12.33203125" customWidth="1"/>
  </cols>
  <sheetData>
    <row r="2" spans="1:24" ht="20.100000000000001" customHeight="1">
      <c r="K2" s="1" t="s">
        <v>161</v>
      </c>
    </row>
    <row r="3" spans="1:24" ht="20.100000000000001" customHeight="1" thickBot="1">
      <c r="A3" s="2"/>
      <c r="B3" s="72"/>
      <c r="C3" s="72"/>
      <c r="D3" s="72"/>
      <c r="E3" s="72"/>
      <c r="F3" s="72"/>
      <c r="G3" s="2"/>
      <c r="J3" s="2"/>
      <c r="K3" s="2"/>
      <c r="L3" s="2"/>
      <c r="M3" s="2"/>
      <c r="N3" s="2"/>
      <c r="O3" s="2"/>
      <c r="P3" s="2"/>
      <c r="Q3" s="2"/>
      <c r="R3" s="2"/>
      <c r="S3" s="2"/>
      <c r="T3" s="2"/>
      <c r="U3" s="2"/>
      <c r="V3" s="2"/>
      <c r="W3" s="2"/>
      <c r="X3" s="2"/>
    </row>
    <row r="4" spans="1:24" ht="20.100000000000001" customHeight="1" thickBot="1">
      <c r="A4" s="2"/>
      <c r="B4" s="588" t="s">
        <v>270</v>
      </c>
      <c r="C4" s="588"/>
      <c r="D4" s="588"/>
      <c r="E4" s="588"/>
      <c r="F4" s="588"/>
      <c r="G4" s="2"/>
      <c r="J4" s="2"/>
      <c r="K4" s="488" t="s">
        <v>254</v>
      </c>
      <c r="L4" s="490" t="s">
        <v>73</v>
      </c>
      <c r="M4" s="579" t="s">
        <v>253</v>
      </c>
      <c r="N4" s="579"/>
      <c r="O4" s="579"/>
      <c r="P4" s="579"/>
      <c r="Q4" s="580"/>
      <c r="R4" s="2"/>
      <c r="S4" s="2"/>
      <c r="T4" s="522" t="s">
        <v>485</v>
      </c>
      <c r="U4" s="522"/>
      <c r="V4" s="522"/>
      <c r="W4" s="522"/>
      <c r="X4" s="2"/>
    </row>
    <row r="5" spans="1:24" ht="20.100000000000001" customHeight="1" thickBot="1">
      <c r="A5" s="2"/>
      <c r="B5" s="589"/>
      <c r="C5" s="589"/>
      <c r="D5" s="589"/>
      <c r="E5" s="589"/>
      <c r="F5" s="589"/>
      <c r="G5" s="2"/>
      <c r="J5" s="2"/>
      <c r="K5" s="489"/>
      <c r="L5" s="491"/>
      <c r="M5" s="188">
        <f>N5-0.01</f>
        <v>6.0000000000000005E-2</v>
      </c>
      <c r="N5" s="188">
        <f>O5-0.01</f>
        <v>7.0000000000000007E-2</v>
      </c>
      <c r="O5" s="188">
        <f>'Guayule Harvest'!G4</f>
        <v>0.08</v>
      </c>
      <c r="P5" s="188">
        <f>O5+0.01</f>
        <v>0.09</v>
      </c>
      <c r="Q5" s="189">
        <f>P5+0.01</f>
        <v>9.9999999999999992E-2</v>
      </c>
      <c r="R5" s="2"/>
      <c r="S5" s="2"/>
      <c r="T5" s="583"/>
      <c r="U5" s="581" t="s">
        <v>242</v>
      </c>
      <c r="V5" s="581" t="s">
        <v>138</v>
      </c>
      <c r="W5" s="581" t="s">
        <v>139</v>
      </c>
      <c r="X5" s="2"/>
    </row>
    <row r="6" spans="1:24" ht="20.100000000000001" customHeight="1">
      <c r="A6" s="2"/>
      <c r="B6" s="118" t="s">
        <v>10</v>
      </c>
      <c r="C6" s="573" t="s">
        <v>140</v>
      </c>
      <c r="D6" s="573" t="s">
        <v>76</v>
      </c>
      <c r="E6" s="590" t="s">
        <v>363</v>
      </c>
      <c r="F6" s="573" t="s">
        <v>107</v>
      </c>
      <c r="G6" s="2"/>
      <c r="J6" s="2"/>
      <c r="K6" s="3"/>
      <c r="L6" s="4">
        <f>L7-1000</f>
        <v>19000</v>
      </c>
      <c r="M6" s="124">
        <f t="shared" ref="M6:Q12" si="0">(M$5*(3*$L6))-$I$11</f>
        <v>-868.33955571023353</v>
      </c>
      <c r="N6" s="124">
        <f t="shared" si="0"/>
        <v>-298.33955571023353</v>
      </c>
      <c r="O6" s="124">
        <f t="shared" si="0"/>
        <v>271.66044428976602</v>
      </c>
      <c r="P6" s="124">
        <f t="shared" si="0"/>
        <v>841.66044428976602</v>
      </c>
      <c r="Q6" s="147">
        <f t="shared" si="0"/>
        <v>1411.6604442897651</v>
      </c>
      <c r="R6" s="2"/>
      <c r="S6" s="2"/>
      <c r="T6" s="584"/>
      <c r="U6" s="582"/>
      <c r="V6" s="582"/>
      <c r="W6" s="582"/>
      <c r="X6" s="2"/>
    </row>
    <row r="7" spans="1:24" ht="20.100000000000001" customHeight="1">
      <c r="A7" s="2"/>
      <c r="B7" s="117"/>
      <c r="C7" s="574"/>
      <c r="D7" s="574"/>
      <c r="E7" s="574"/>
      <c r="F7" s="574"/>
      <c r="G7" s="2"/>
      <c r="H7" s="1"/>
      <c r="I7" s="1" t="s">
        <v>147</v>
      </c>
      <c r="J7" s="11" t="s">
        <v>148</v>
      </c>
      <c r="K7" s="3"/>
      <c r="L7" s="4">
        <f>L8-1000</f>
        <v>20000</v>
      </c>
      <c r="M7" s="125">
        <f t="shared" si="0"/>
        <v>-688.33955571023353</v>
      </c>
      <c r="N7" s="125">
        <f t="shared" si="0"/>
        <v>-88.339555710233981</v>
      </c>
      <c r="O7" s="125">
        <f t="shared" si="0"/>
        <v>511.66044428976602</v>
      </c>
      <c r="P7" s="125">
        <f t="shared" si="0"/>
        <v>1111.660444289766</v>
      </c>
      <c r="Q7" s="148">
        <f t="shared" si="0"/>
        <v>1711.6604442897651</v>
      </c>
      <c r="R7" s="2"/>
      <c r="S7" s="2"/>
      <c r="T7" s="12" t="s">
        <v>137</v>
      </c>
      <c r="U7" s="305" t="s">
        <v>15</v>
      </c>
      <c r="V7" s="305" t="s">
        <v>15</v>
      </c>
      <c r="W7" s="305" t="s">
        <v>15</v>
      </c>
      <c r="X7" s="2"/>
    </row>
    <row r="8" spans="1:24" ht="20.100000000000001" customHeight="1">
      <c r="A8" s="2"/>
      <c r="B8" s="11" t="s">
        <v>141</v>
      </c>
      <c r="C8" s="119">
        <v>0</v>
      </c>
      <c r="D8" s="120">
        <f>'Guayule Establishment'!J97</f>
        <v>677.00611143850074</v>
      </c>
      <c r="E8" s="104">
        <f>'Guayule Establishment'!J106+'Guayule Establishment'!J111</f>
        <v>1191.0609771853037</v>
      </c>
      <c r="F8" s="104">
        <f t="shared" ref="F8:F13" si="1">C8-(D8+E8)</f>
        <v>-1868.0670886238045</v>
      </c>
      <c r="G8" s="2"/>
      <c r="H8" s="1" t="s">
        <v>144</v>
      </c>
      <c r="I8" s="210">
        <f>D8+E8</f>
        <v>1868.0670886238045</v>
      </c>
      <c r="J8" s="211">
        <f>D8</f>
        <v>677.00611143850074</v>
      </c>
      <c r="K8" s="3"/>
      <c r="L8" s="4">
        <f>L9-1000</f>
        <v>21000</v>
      </c>
      <c r="M8" s="125">
        <f t="shared" si="0"/>
        <v>-508.33955571023353</v>
      </c>
      <c r="N8" s="125">
        <f t="shared" si="0"/>
        <v>121.66044428976602</v>
      </c>
      <c r="O8" s="125">
        <f t="shared" si="0"/>
        <v>751.66044428976602</v>
      </c>
      <c r="P8" s="125">
        <f t="shared" si="0"/>
        <v>1381.660444289766</v>
      </c>
      <c r="Q8" s="148">
        <f t="shared" si="0"/>
        <v>2011.6604442897651</v>
      </c>
      <c r="R8" s="2"/>
      <c r="S8" s="2"/>
      <c r="T8" s="11" t="str">
        <f>PubMachineryTables!N10</f>
        <v>175 HP Tractor &amp; V-Ripper</v>
      </c>
      <c r="U8" s="269">
        <f>'Guayule Establishment'!E19</f>
        <v>1</v>
      </c>
      <c r="V8" s="269"/>
      <c r="W8" s="269"/>
      <c r="X8" s="2"/>
    </row>
    <row r="9" spans="1:24" ht="20.100000000000001" customHeight="1">
      <c r="A9" s="2"/>
      <c r="B9" s="11" t="s">
        <v>362</v>
      </c>
      <c r="C9" s="121">
        <f>'Guayule Harvest'!J6</f>
        <v>1760</v>
      </c>
      <c r="D9" s="110">
        <f>'Guayule Harvest'!J97</f>
        <v>285.44913649168592</v>
      </c>
      <c r="E9" s="103">
        <f>'Guayule Harvest'!J106+'Guayule Harvest'!J111</f>
        <v>174.24674416555581</v>
      </c>
      <c r="F9" s="103">
        <f t="shared" si="1"/>
        <v>1300.3041193427582</v>
      </c>
      <c r="G9" s="2"/>
      <c r="H9" s="1" t="s">
        <v>145</v>
      </c>
      <c r="I9" s="212">
        <f>(D9+E9)*3</f>
        <v>1379.0876419717251</v>
      </c>
      <c r="J9" s="213">
        <f>D9+D11+D13</f>
        <v>856.3474094750577</v>
      </c>
      <c r="K9" s="187">
        <v>0</v>
      </c>
      <c r="L9" s="4">
        <f>'Guayule Harvest'!I4</f>
        <v>22000</v>
      </c>
      <c r="M9" s="125">
        <f t="shared" si="0"/>
        <v>-328.33955571023353</v>
      </c>
      <c r="N9" s="125">
        <f t="shared" si="0"/>
        <v>331.66044428976602</v>
      </c>
      <c r="O9" s="125">
        <f t="shared" si="0"/>
        <v>991.66044428976602</v>
      </c>
      <c r="P9" s="125">
        <f t="shared" si="0"/>
        <v>1651.660444289766</v>
      </c>
      <c r="Q9" s="148">
        <f t="shared" si="0"/>
        <v>2311.6604442897651</v>
      </c>
      <c r="R9" s="2"/>
      <c r="S9" s="2"/>
      <c r="T9" s="11" t="str">
        <f>PubMachineryTables!N11</f>
        <v>175 HP Tractor &amp; Offset Disk</v>
      </c>
      <c r="U9" s="269">
        <f>'Guayule Establishment'!E20</f>
        <v>2.15</v>
      </c>
      <c r="V9" s="269">
        <f>'Guayule Harvest'!E20</f>
        <v>0.1</v>
      </c>
      <c r="W9" s="270">
        <f>'Guayule Grow'!E20</f>
        <v>0.05</v>
      </c>
      <c r="X9" s="2"/>
    </row>
    <row r="10" spans="1:24" ht="20.100000000000001" customHeight="1">
      <c r="A10" s="2"/>
      <c r="B10" s="11" t="s">
        <v>142</v>
      </c>
      <c r="C10" s="121">
        <v>0</v>
      </c>
      <c r="D10" s="110">
        <f>'Guayule Grow'!J97</f>
        <v>338.78639113198096</v>
      </c>
      <c r="E10" s="103">
        <f>'Guayule Grow'!J108+'Guayule Grow'!J113</f>
        <v>181.80602142537126</v>
      </c>
      <c r="F10" s="103">
        <f t="shared" si="1"/>
        <v>-520.59241255735219</v>
      </c>
      <c r="G10" s="2"/>
      <c r="H10" s="1" t="s">
        <v>146</v>
      </c>
      <c r="I10" s="214">
        <f>(D10+E10)*2</f>
        <v>1041.1848251147044</v>
      </c>
      <c r="J10" s="215">
        <f>D10+D12</f>
        <v>677.57278226396193</v>
      </c>
      <c r="K10" s="5"/>
      <c r="L10" s="4">
        <f>L9+1000</f>
        <v>23000</v>
      </c>
      <c r="M10" s="125">
        <f t="shared" si="0"/>
        <v>-148.33955571023398</v>
      </c>
      <c r="N10" s="125">
        <f t="shared" si="0"/>
        <v>541.66044428976693</v>
      </c>
      <c r="O10" s="125">
        <f t="shared" si="0"/>
        <v>1231.660444289766</v>
      </c>
      <c r="P10" s="125">
        <f t="shared" si="0"/>
        <v>1921.660444289766</v>
      </c>
      <c r="Q10" s="148">
        <f t="shared" si="0"/>
        <v>2611.6604442897651</v>
      </c>
      <c r="R10" s="2"/>
      <c r="S10" s="2"/>
      <c r="T10" s="11" t="str">
        <f>PubMachineryTables!N16</f>
        <v>175 HP Tractor &amp; Landplane</v>
      </c>
      <c r="U10" s="269">
        <f>'Guayule Establishment'!E25</f>
        <v>1</v>
      </c>
      <c r="V10" s="269"/>
      <c r="W10" s="269"/>
      <c r="X10" s="2"/>
    </row>
    <row r="11" spans="1:24" ht="20.100000000000001" customHeight="1">
      <c r="A11" s="2"/>
      <c r="B11" s="11" t="s">
        <v>365</v>
      </c>
      <c r="C11" s="121">
        <f>'Guayule Harvest'!J6</f>
        <v>1760</v>
      </c>
      <c r="D11" s="110">
        <f>'Guayule Harvest'!J97</f>
        <v>285.44913649168592</v>
      </c>
      <c r="E11" s="103">
        <f>'Guayule Harvest'!J106+'Guayule Harvest'!J111</f>
        <v>174.24674416555581</v>
      </c>
      <c r="F11" s="103">
        <f t="shared" si="1"/>
        <v>1300.3041193427582</v>
      </c>
      <c r="G11" s="2"/>
      <c r="H11" s="1" t="s">
        <v>7</v>
      </c>
      <c r="I11" s="212">
        <f>SUM(I8:I10)</f>
        <v>4288.339555710234</v>
      </c>
      <c r="J11" s="213">
        <f>SUM(J8:J10)</f>
        <v>2210.9263031775204</v>
      </c>
      <c r="K11" s="5"/>
      <c r="L11" s="4">
        <f>L10+1000</f>
        <v>24000</v>
      </c>
      <c r="M11" s="125">
        <f t="shared" si="0"/>
        <v>31.660444289766019</v>
      </c>
      <c r="N11" s="125">
        <f t="shared" si="0"/>
        <v>751.66044428976693</v>
      </c>
      <c r="O11" s="125">
        <f t="shared" si="0"/>
        <v>1471.660444289766</v>
      </c>
      <c r="P11" s="125">
        <f t="shared" si="0"/>
        <v>2191.660444289766</v>
      </c>
      <c r="Q11" s="148">
        <f t="shared" si="0"/>
        <v>2911.6604442897651</v>
      </c>
      <c r="R11" s="2"/>
      <c r="S11" s="2"/>
      <c r="T11" s="11" t="str">
        <f>PubMachineryTables!N18</f>
        <v>175 HP Tractor &amp; Lister</v>
      </c>
      <c r="U11" s="269">
        <f>'Guayule Establishment'!E27</f>
        <v>1</v>
      </c>
      <c r="V11" s="269"/>
      <c r="W11" s="269"/>
      <c r="X11" s="2"/>
    </row>
    <row r="12" spans="1:24" ht="20.100000000000001" customHeight="1">
      <c r="A12" s="2"/>
      <c r="B12" s="11" t="s">
        <v>143</v>
      </c>
      <c r="C12" s="121">
        <v>0</v>
      </c>
      <c r="D12" s="110">
        <f>'Guayule Grow'!J97</f>
        <v>338.78639113198096</v>
      </c>
      <c r="E12" s="103">
        <f>'Guayule Grow'!J108+'Guayule Grow'!J113</f>
        <v>181.80602142537126</v>
      </c>
      <c r="F12" s="103">
        <f t="shared" si="1"/>
        <v>-520.59241255735219</v>
      </c>
      <c r="G12" s="2"/>
      <c r="H12" s="1"/>
      <c r="I12" s="216">
        <f>I11/('Guayule Harvest'!I4*3)</f>
        <v>6.4974841753185367E-2</v>
      </c>
      <c r="J12" s="217">
        <f>J11/('Guayule Harvest'!I4*3)</f>
        <v>3.3498883381477579E-2</v>
      </c>
      <c r="K12" s="6"/>
      <c r="L12" s="7">
        <f>L11+1000</f>
        <v>25000</v>
      </c>
      <c r="M12" s="125">
        <f t="shared" si="0"/>
        <v>211.66044428976602</v>
      </c>
      <c r="N12" s="125">
        <f t="shared" si="0"/>
        <v>961.66044428976693</v>
      </c>
      <c r="O12" s="125">
        <f t="shared" si="0"/>
        <v>1711.660444289766</v>
      </c>
      <c r="P12" s="125">
        <f t="shared" si="0"/>
        <v>2461.660444289766</v>
      </c>
      <c r="Q12" s="148">
        <f t="shared" si="0"/>
        <v>3211.6604442897651</v>
      </c>
      <c r="R12" s="2"/>
      <c r="S12" s="2"/>
      <c r="T12" s="11" t="str">
        <f>PubMachineryTables!N19</f>
        <v>175 HP Tractor &amp; Bed Shaper</v>
      </c>
      <c r="U12" s="269">
        <f>'Guayule Establishment'!E28</f>
        <v>1</v>
      </c>
      <c r="V12" s="269"/>
      <c r="W12" s="269"/>
      <c r="X12" s="2"/>
    </row>
    <row r="13" spans="1:24" ht="20.100000000000001" customHeight="1">
      <c r="A13" s="2"/>
      <c r="B13" s="76" t="s">
        <v>364</v>
      </c>
      <c r="C13" s="122">
        <f>'Guayule Harvest'!J6</f>
        <v>1760</v>
      </c>
      <c r="D13" s="123">
        <f>'Guayule Harvest'!J97</f>
        <v>285.44913649168592</v>
      </c>
      <c r="E13" s="115">
        <f>'Guayule Harvest'!J106+'Guayule Harvest'!J111</f>
        <v>174.24674416555581</v>
      </c>
      <c r="F13" s="115">
        <f t="shared" si="1"/>
        <v>1300.3041193427582</v>
      </c>
      <c r="G13" s="2"/>
      <c r="H13" s="1"/>
      <c r="I13" s="1"/>
      <c r="J13" s="11"/>
      <c r="K13" s="5"/>
      <c r="L13" s="4">
        <f t="shared" ref="L13:L14" si="2">L6</f>
        <v>19000</v>
      </c>
      <c r="M13" s="124">
        <f t="shared" ref="M13:Q19" si="3">(M$5*(3*$L13))-$I$16</f>
        <v>-10.671644568186821</v>
      </c>
      <c r="N13" s="124">
        <f t="shared" si="3"/>
        <v>559.32835543181318</v>
      </c>
      <c r="O13" s="124">
        <f t="shared" si="3"/>
        <v>1129.3283554318127</v>
      </c>
      <c r="P13" s="124">
        <f t="shared" si="3"/>
        <v>1699.3283554318127</v>
      </c>
      <c r="Q13" s="147">
        <f t="shared" si="3"/>
        <v>2269.3283554318118</v>
      </c>
      <c r="R13" s="2"/>
      <c r="S13" s="2"/>
      <c r="T13" s="11" t="str">
        <f>PubMachineryTables!N21</f>
        <v>175 HP Tractor &amp; Planter</v>
      </c>
      <c r="U13" s="269">
        <f>'Guayule Establishment'!E36</f>
        <v>1</v>
      </c>
      <c r="V13" s="269"/>
      <c r="W13" s="269"/>
      <c r="X13" s="2"/>
    </row>
    <row r="14" spans="1:24" ht="20.100000000000001" customHeight="1">
      <c r="A14" s="2"/>
      <c r="B14" s="586" t="s">
        <v>474</v>
      </c>
      <c r="C14" s="586"/>
      <c r="D14" s="586"/>
      <c r="E14" s="586"/>
      <c r="F14" s="586"/>
      <c r="G14" s="2"/>
      <c r="H14" s="1"/>
      <c r="I14" s="1"/>
      <c r="J14" s="11"/>
      <c r="K14" s="5"/>
      <c r="L14" s="4">
        <f t="shared" si="2"/>
        <v>20000</v>
      </c>
      <c r="M14" s="125">
        <f t="shared" si="3"/>
        <v>169.32835543181318</v>
      </c>
      <c r="N14" s="125">
        <f t="shared" si="3"/>
        <v>769.32835543181272</v>
      </c>
      <c r="O14" s="125">
        <f t="shared" si="3"/>
        <v>1369.3283554318127</v>
      </c>
      <c r="P14" s="125">
        <f t="shared" si="3"/>
        <v>1969.3283554318127</v>
      </c>
      <c r="Q14" s="148">
        <f t="shared" si="3"/>
        <v>2569.3283554318118</v>
      </c>
      <c r="R14" s="2"/>
      <c r="S14" s="2"/>
      <c r="T14" s="11" t="str">
        <f>PubMachineryTables!N22</f>
        <v>125 HP Tractor &amp; Cultivator</v>
      </c>
      <c r="U14" s="269">
        <f>'Guayule Establishment'!E64</f>
        <v>2</v>
      </c>
      <c r="V14" s="270" t="s">
        <v>10</v>
      </c>
      <c r="W14" s="270" t="s">
        <v>10</v>
      </c>
      <c r="X14" s="2"/>
    </row>
    <row r="15" spans="1:24" ht="20.100000000000001" customHeight="1">
      <c r="A15" s="2"/>
      <c r="B15" s="587"/>
      <c r="C15" s="587"/>
      <c r="D15" s="587"/>
      <c r="E15" s="587"/>
      <c r="F15" s="587"/>
      <c r="G15" s="2"/>
      <c r="H15" s="1"/>
      <c r="I15" s="1"/>
      <c r="J15" s="11"/>
      <c r="K15" s="5"/>
      <c r="L15" s="4">
        <f t="shared" ref="L15:L26" si="4">L8</f>
        <v>21000</v>
      </c>
      <c r="M15" s="125">
        <f t="shared" si="3"/>
        <v>349.32835543181318</v>
      </c>
      <c r="N15" s="125">
        <f t="shared" si="3"/>
        <v>979.32835543181272</v>
      </c>
      <c r="O15" s="125">
        <f t="shared" si="3"/>
        <v>1609.3283554318127</v>
      </c>
      <c r="P15" s="125">
        <f t="shared" si="3"/>
        <v>2239.3283554318127</v>
      </c>
      <c r="Q15" s="148">
        <f t="shared" si="3"/>
        <v>2869.3283554318118</v>
      </c>
      <c r="R15" s="2"/>
      <c r="S15" s="2"/>
      <c r="T15" s="11" t="str">
        <f>PubMachineryTables!N25</f>
        <v>125 HP Tractor &amp; Fertilizer Spreader</v>
      </c>
      <c r="U15" s="269">
        <f>'Guayule Establishment'!E43</f>
        <v>1</v>
      </c>
      <c r="V15" s="306"/>
      <c r="W15" s="306"/>
      <c r="X15" s="2"/>
    </row>
    <row r="16" spans="1:24" ht="20.100000000000001" customHeight="1">
      <c r="B16" s="585" t="s">
        <v>475</v>
      </c>
      <c r="C16" s="585"/>
      <c r="D16" s="585"/>
      <c r="E16" s="585"/>
      <c r="F16" s="585"/>
      <c r="H16" s="1"/>
      <c r="I16" s="218">
        <f>I11*(1+K16)</f>
        <v>3430.6716445681873</v>
      </c>
      <c r="J16" s="11"/>
      <c r="K16" s="268">
        <v>-0.2</v>
      </c>
      <c r="L16" s="4">
        <f t="shared" si="4"/>
        <v>22000</v>
      </c>
      <c r="M16" s="125">
        <f t="shared" si="3"/>
        <v>529.32835543181318</v>
      </c>
      <c r="N16" s="125">
        <f t="shared" si="3"/>
        <v>1189.3283554318127</v>
      </c>
      <c r="O16" s="125">
        <f t="shared" si="3"/>
        <v>1849.3283554318127</v>
      </c>
      <c r="P16" s="125">
        <f t="shared" si="3"/>
        <v>2509.3283554318127</v>
      </c>
      <c r="Q16" s="148">
        <f t="shared" si="3"/>
        <v>3169.3283554318118</v>
      </c>
      <c r="R16" s="2"/>
      <c r="S16" s="2"/>
      <c r="T16" s="76" t="str">
        <f>PubMachineryTables!N27</f>
        <v>125 HP Tractor &amp; Boom Sprayer</v>
      </c>
      <c r="U16" s="271">
        <f>'Guayule Establishment'!E54</f>
        <v>3</v>
      </c>
      <c r="V16" s="346" t="s">
        <v>10</v>
      </c>
      <c r="W16" s="271">
        <f>'Guayule Grow'!E54</f>
        <v>1</v>
      </c>
      <c r="X16" s="2"/>
    </row>
    <row r="17" spans="2:24" ht="20.100000000000001" customHeight="1">
      <c r="B17" s="10"/>
      <c r="C17" s="10"/>
      <c r="D17" s="10"/>
      <c r="E17" s="10"/>
      <c r="F17" s="320">
        <f>SUM(F8:F13)/6</f>
        <v>165.27674071496097</v>
      </c>
      <c r="H17" s="1"/>
      <c r="I17" s="1"/>
      <c r="J17" s="11"/>
      <c r="K17" s="5"/>
      <c r="L17" s="4">
        <f t="shared" si="4"/>
        <v>23000</v>
      </c>
      <c r="M17" s="125">
        <f t="shared" si="3"/>
        <v>709.32835543181272</v>
      </c>
      <c r="N17" s="125">
        <f t="shared" si="3"/>
        <v>1399.3283554318136</v>
      </c>
      <c r="O17" s="125">
        <f t="shared" si="3"/>
        <v>2089.3283554318127</v>
      </c>
      <c r="P17" s="125">
        <f t="shared" si="3"/>
        <v>2779.3283554318127</v>
      </c>
      <c r="Q17" s="148">
        <f t="shared" si="3"/>
        <v>3469.3283554318118</v>
      </c>
      <c r="R17" s="2"/>
      <c r="S17" s="2"/>
      <c r="T17" s="2"/>
      <c r="U17" s="2"/>
      <c r="V17" s="2"/>
      <c r="W17" s="2"/>
      <c r="X17" s="2"/>
    </row>
    <row r="18" spans="2:24" ht="20.100000000000001" customHeight="1">
      <c r="B18" s="1"/>
      <c r="C18" s="132"/>
      <c r="D18" s="130"/>
      <c r="E18" s="131"/>
      <c r="F18" s="321" t="s">
        <v>10</v>
      </c>
      <c r="H18" s="1"/>
      <c r="I18" s="1"/>
      <c r="J18" s="11"/>
      <c r="K18" s="5"/>
      <c r="L18" s="4">
        <f t="shared" si="4"/>
        <v>24000</v>
      </c>
      <c r="M18" s="125">
        <f t="shared" si="3"/>
        <v>889.32835543181272</v>
      </c>
      <c r="N18" s="125">
        <f t="shared" si="3"/>
        <v>1609.3283554318136</v>
      </c>
      <c r="O18" s="125">
        <f t="shared" si="3"/>
        <v>2329.3283554318127</v>
      </c>
      <c r="P18" s="125">
        <f t="shared" si="3"/>
        <v>3049.3283554318127</v>
      </c>
      <c r="Q18" s="148">
        <f t="shared" si="3"/>
        <v>3769.3283554318118</v>
      </c>
      <c r="R18" s="2"/>
      <c r="S18" s="2"/>
      <c r="T18" s="244" t="s">
        <v>10</v>
      </c>
      <c r="U18" s="2"/>
      <c r="V18" s="270" t="s">
        <v>10</v>
      </c>
      <c r="W18" s="127" t="s">
        <v>10</v>
      </c>
      <c r="X18" s="127" t="s">
        <v>10</v>
      </c>
    </row>
    <row r="19" spans="2:24" ht="20.100000000000001" customHeight="1">
      <c r="F19" s="322" t="s">
        <v>10</v>
      </c>
      <c r="H19" s="1"/>
      <c r="I19" s="1"/>
      <c r="J19" s="11"/>
      <c r="K19" s="6"/>
      <c r="L19" s="7">
        <f t="shared" si="4"/>
        <v>25000</v>
      </c>
      <c r="M19" s="18">
        <f t="shared" si="3"/>
        <v>1069.3283554318127</v>
      </c>
      <c r="N19" s="18">
        <f t="shared" si="3"/>
        <v>1819.3283554318136</v>
      </c>
      <c r="O19" s="18">
        <f t="shared" si="3"/>
        <v>2569.3283554318127</v>
      </c>
      <c r="P19" s="18">
        <f t="shared" si="3"/>
        <v>3319.3283554318127</v>
      </c>
      <c r="Q19" s="149">
        <f t="shared" si="3"/>
        <v>4069.3283554318118</v>
      </c>
      <c r="R19" s="2"/>
      <c r="S19" s="2"/>
      <c r="X19" s="2"/>
    </row>
    <row r="20" spans="2:24" ht="20.100000000000001" customHeight="1">
      <c r="H20" s="1"/>
      <c r="I20" s="1"/>
      <c r="J20" s="11"/>
      <c r="K20" s="5"/>
      <c r="L20" s="4">
        <f t="shared" si="4"/>
        <v>19000</v>
      </c>
      <c r="M20" s="125">
        <f t="shared" ref="M20:Q26" si="5">(M$5*(3*$L20))-$I$23</f>
        <v>-1726.0074668522798</v>
      </c>
      <c r="N20" s="125">
        <f t="shared" si="5"/>
        <v>-1156.0074668522798</v>
      </c>
      <c r="O20" s="125">
        <f t="shared" si="5"/>
        <v>-586.00746685228023</v>
      </c>
      <c r="P20" s="125">
        <f t="shared" si="5"/>
        <v>-16.007466852280231</v>
      </c>
      <c r="Q20" s="148">
        <f t="shared" si="5"/>
        <v>553.99253314771886</v>
      </c>
      <c r="R20" s="2"/>
      <c r="S20" s="2"/>
      <c r="X20" s="2"/>
    </row>
    <row r="21" spans="2:24" ht="20.100000000000001" customHeight="1">
      <c r="H21" s="1"/>
      <c r="I21" s="1"/>
      <c r="J21" s="11"/>
      <c r="K21" s="5"/>
      <c r="L21" s="4">
        <f t="shared" si="4"/>
        <v>20000</v>
      </c>
      <c r="M21" s="125">
        <f t="shared" si="5"/>
        <v>-1546.0074668522798</v>
      </c>
      <c r="N21" s="125">
        <f t="shared" si="5"/>
        <v>-946.00746685228023</v>
      </c>
      <c r="O21" s="125">
        <f t="shared" si="5"/>
        <v>-346.00746685228023</v>
      </c>
      <c r="P21" s="125">
        <f t="shared" si="5"/>
        <v>253.99253314771977</v>
      </c>
      <c r="Q21" s="148">
        <f t="shared" si="5"/>
        <v>853.99253314771886</v>
      </c>
      <c r="R21" s="2"/>
      <c r="S21" s="2"/>
      <c r="T21" s="2"/>
      <c r="U21" s="2"/>
      <c r="V21" s="2"/>
      <c r="W21" s="2"/>
      <c r="X21" s="2"/>
    </row>
    <row r="22" spans="2:24" ht="20.100000000000001" customHeight="1">
      <c r="H22" s="1"/>
      <c r="I22" s="1"/>
      <c r="J22" s="11"/>
      <c r="K22" s="5"/>
      <c r="L22" s="4">
        <f t="shared" si="4"/>
        <v>21000</v>
      </c>
      <c r="M22" s="125">
        <f t="shared" si="5"/>
        <v>-1366.0074668522798</v>
      </c>
      <c r="N22" s="125">
        <f t="shared" si="5"/>
        <v>-736.00746685228023</v>
      </c>
      <c r="O22" s="125">
        <f t="shared" si="5"/>
        <v>-106.00746685228023</v>
      </c>
      <c r="P22" s="125">
        <f t="shared" si="5"/>
        <v>523.99253314771977</v>
      </c>
      <c r="Q22" s="148">
        <f t="shared" si="5"/>
        <v>1153.9925331477189</v>
      </c>
      <c r="R22" s="2"/>
    </row>
    <row r="23" spans="2:24" ht="20.100000000000001" customHeight="1">
      <c r="H23" s="1"/>
      <c r="I23" s="218">
        <f>I11*(1+K23)</f>
        <v>5146.0074668522802</v>
      </c>
      <c r="J23" s="11"/>
      <c r="K23" s="268">
        <v>0.2</v>
      </c>
      <c r="L23" s="4">
        <f t="shared" si="4"/>
        <v>22000</v>
      </c>
      <c r="M23" s="125">
        <f t="shared" si="5"/>
        <v>-1186.0074668522798</v>
      </c>
      <c r="N23" s="125">
        <f t="shared" si="5"/>
        <v>-526.00746685228023</v>
      </c>
      <c r="O23" s="125">
        <f t="shared" si="5"/>
        <v>133.99253314771977</v>
      </c>
      <c r="P23" s="125">
        <f t="shared" si="5"/>
        <v>793.99253314771977</v>
      </c>
      <c r="Q23" s="148">
        <f t="shared" si="5"/>
        <v>1453.9925331477189</v>
      </c>
      <c r="R23" s="2"/>
    </row>
    <row r="24" spans="2:24" ht="20.100000000000001" customHeight="1">
      <c r="H24" s="1"/>
      <c r="I24" s="1"/>
      <c r="J24" s="11"/>
      <c r="K24" s="3"/>
      <c r="L24" s="4">
        <f t="shared" si="4"/>
        <v>23000</v>
      </c>
      <c r="M24" s="125">
        <f t="shared" si="5"/>
        <v>-1006.0074668522802</v>
      </c>
      <c r="N24" s="125">
        <f t="shared" si="5"/>
        <v>-316.00746685227932</v>
      </c>
      <c r="O24" s="125">
        <f t="shared" si="5"/>
        <v>373.99253314771977</v>
      </c>
      <c r="P24" s="125">
        <f t="shared" si="5"/>
        <v>1063.9925331477198</v>
      </c>
      <c r="Q24" s="148">
        <f t="shared" si="5"/>
        <v>1753.9925331477189</v>
      </c>
      <c r="R24" s="2"/>
    </row>
    <row r="25" spans="2:24" ht="20.100000000000001" customHeight="1">
      <c r="H25" s="1"/>
      <c r="J25" s="2"/>
      <c r="K25" s="3"/>
      <c r="L25" s="4">
        <f t="shared" si="4"/>
        <v>24000</v>
      </c>
      <c r="M25" s="125">
        <f t="shared" si="5"/>
        <v>-826.00746685228023</v>
      </c>
      <c r="N25" s="125">
        <f t="shared" si="5"/>
        <v>-106.00746685227932</v>
      </c>
      <c r="O25" s="125">
        <f t="shared" si="5"/>
        <v>613.99253314771977</v>
      </c>
      <c r="P25" s="125">
        <f t="shared" si="5"/>
        <v>1333.9925331477198</v>
      </c>
      <c r="Q25" s="148">
        <f t="shared" si="5"/>
        <v>2053.9925331477189</v>
      </c>
      <c r="R25" s="2"/>
    </row>
    <row r="26" spans="2:24" ht="21.6" thickBot="1">
      <c r="J26" s="2"/>
      <c r="K26" s="8"/>
      <c r="L26" s="9">
        <f t="shared" si="4"/>
        <v>25000</v>
      </c>
      <c r="M26" s="146">
        <f t="shared" si="5"/>
        <v>-646.00746685228023</v>
      </c>
      <c r="N26" s="146">
        <f t="shared" si="5"/>
        <v>103.99253314772068</v>
      </c>
      <c r="O26" s="146">
        <f t="shared" si="5"/>
        <v>853.99253314771977</v>
      </c>
      <c r="P26" s="146">
        <f t="shared" si="5"/>
        <v>1603.9925331477198</v>
      </c>
      <c r="Q26" s="150">
        <f t="shared" si="5"/>
        <v>2353.9925331477189</v>
      </c>
      <c r="R26" s="2"/>
    </row>
    <row r="27" spans="2:24">
      <c r="R27" s="2"/>
    </row>
    <row r="28" spans="2:24" hidden="1">
      <c r="J28" s="2"/>
      <c r="K28" s="2"/>
      <c r="L28" s="2"/>
      <c r="M28" s="2"/>
      <c r="N28" s="2"/>
      <c r="O28" s="2"/>
      <c r="P28" s="2"/>
      <c r="Q28" s="2"/>
      <c r="R28" s="2"/>
    </row>
    <row r="29" spans="2:24">
      <c r="J29" s="2"/>
      <c r="K29" s="2"/>
      <c r="L29" s="2"/>
      <c r="M29" s="2"/>
      <c r="N29" s="2"/>
      <c r="O29" s="2"/>
      <c r="P29" s="2"/>
      <c r="Q29" s="2"/>
      <c r="R29" s="2"/>
    </row>
    <row r="32" spans="2:24" hidden="1"/>
    <row r="33" hidden="1"/>
    <row r="34" hidden="1"/>
    <row r="35" hidden="1"/>
    <row r="36" hidden="1"/>
    <row r="37" hidden="1"/>
    <row r="38" hidden="1"/>
    <row r="39" hidden="1"/>
    <row r="40" hidden="1"/>
    <row r="41" hidden="1"/>
    <row r="42" hidden="1"/>
    <row r="43" hidden="1"/>
    <row r="44" hidden="1"/>
    <row r="45" hidden="1"/>
    <row r="46" hidden="1"/>
    <row r="47" hidden="1"/>
    <row r="48" hidden="1"/>
    <row r="49" spans="1:3" hidden="1"/>
    <row r="50" spans="1:3" hidden="1"/>
    <row r="51" spans="1:3" hidden="1"/>
    <row r="52" spans="1:3" hidden="1"/>
    <row r="53" spans="1:3" hidden="1"/>
    <row r="54" spans="1:3" hidden="1"/>
    <row r="55" spans="1:3" hidden="1"/>
    <row r="56" spans="1:3" hidden="1"/>
    <row r="58" spans="1:3" hidden="1"/>
    <row r="59" spans="1:3" hidden="1">
      <c r="B59" t="s">
        <v>176</v>
      </c>
      <c r="C59" t="s">
        <v>177</v>
      </c>
    </row>
    <row r="60" spans="1:3" hidden="1"/>
    <row r="61" spans="1:3" hidden="1">
      <c r="A61" t="s">
        <v>181</v>
      </c>
      <c r="B61" t="e">
        <f>IF(BASEBUDGETS!#REF!&lt;=0,0,PubMachineryTables!P25*PubDataTables_Gauyule!#REF!)</f>
        <v>#REF!</v>
      </c>
      <c r="C61" t="e">
        <f>IF(BASEBUDGETS!#REF!&lt;=0,0,PubMachineryTables!P26*PubDataTables_Gauyule!#REF!)</f>
        <v>#REF!</v>
      </c>
    </row>
    <row r="62" spans="1:3" hidden="1">
      <c r="A62" t="s">
        <v>186</v>
      </c>
      <c r="B62" t="e">
        <f>IF(BASEBUDGETS!#REF!&lt;=0,0,PubMachineryTables!Q25*PubDataTables_Gauyule!#REF!)</f>
        <v>#REF!</v>
      </c>
      <c r="C62" t="e">
        <f>IF(BASEBUDGETS!#REF!&lt;=0,0,PubMachineryTables!Q26*PubDataTables_Gauyule!#REF!)</f>
        <v>#REF!</v>
      </c>
    </row>
    <row r="63" spans="1:3" hidden="1">
      <c r="A63" t="s">
        <v>185</v>
      </c>
      <c r="B63" s="102">
        <f>(BASEBUDGETS!F520+BASEBUDGETS!F616+BASEBUDGETS!F617+BASEBUDGETS!F619)/BASEBUDGETS!C511</f>
        <v>0</v>
      </c>
      <c r="C63" s="102">
        <f>(BASEBUDGETS!F520+BASEBUDGETS!F616+BASEBUDGETS!F617+BASEBUDGETS!F619)/BASEBUDGETS!C511</f>
        <v>0</v>
      </c>
    </row>
    <row r="65" spans="1:14">
      <c r="M65" t="s">
        <v>6</v>
      </c>
      <c r="N65" t="s">
        <v>5</v>
      </c>
    </row>
    <row r="66" spans="1:14">
      <c r="L66" t="s">
        <v>197</v>
      </c>
      <c r="M66" s="143">
        <v>8.3400000000000002E-2</v>
      </c>
      <c r="N66" s="143">
        <v>0.28420000000000001</v>
      </c>
    </row>
    <row r="67" spans="1:14">
      <c r="L67" t="s">
        <v>198</v>
      </c>
      <c r="M67" s="143">
        <v>8.4900000000000003E-2</v>
      </c>
      <c r="N67" s="143">
        <v>0.2833</v>
      </c>
    </row>
    <row r="68" spans="1:14">
      <c r="L68" t="s">
        <v>199</v>
      </c>
      <c r="M68" s="143">
        <f>0.0898</f>
        <v>8.9800000000000005E-2</v>
      </c>
      <c r="N68" s="143">
        <v>0.28089999999999998</v>
      </c>
    </row>
    <row r="70" spans="1:14">
      <c r="B70" t="s">
        <v>178</v>
      </c>
      <c r="C70" t="s">
        <v>179</v>
      </c>
      <c r="D70" t="s">
        <v>180</v>
      </c>
    </row>
    <row r="71" spans="1:14">
      <c r="A71" s="75" t="s">
        <v>181</v>
      </c>
      <c r="B71" t="e">
        <f>IF(BASEBUDGETS!#REF!&lt;=0,0,BASEBUDGETS!#REF!/BASEBUDGETS!C511)</f>
        <v>#REF!</v>
      </c>
      <c r="C71" t="e">
        <f>IF(BASEBUDGETS!#REF!&lt;=0,0,BASEBUDGETS!#REF!/BASEBUDGETS!C511)</f>
        <v>#REF!</v>
      </c>
      <c r="D71" t="e">
        <f>IF(BASEBUDGETS!#REF!&lt;=0,0,BASEBUDGETS!#REF!/BASEBUDGETS!C511)</f>
        <v>#REF!</v>
      </c>
    </row>
    <row r="72" spans="1:14">
      <c r="A72" t="s">
        <v>182</v>
      </c>
      <c r="B72" t="e">
        <f>IF(BASEBUDGETS!#REF!&lt;=0,0,BASEBUDGETS!#REF!/BASEBUDGETS!C511)</f>
        <v>#REF!</v>
      </c>
      <c r="C72" t="e">
        <f>IF(BASEBUDGETS!#REF!&lt;=0,0,BASEBUDGETS!#REF!/BASEBUDGETS!C511)</f>
        <v>#REF!</v>
      </c>
      <c r="D72" t="e">
        <f>IF(BASEBUDGETS!#REF!&lt;=0,0,BASEBUDGETS!#REF!/BASEBUDGETS!C511)</f>
        <v>#REF!</v>
      </c>
    </row>
    <row r="73" spans="1:14">
      <c r="A73" t="s">
        <v>183</v>
      </c>
      <c r="C73" t="e">
        <f>IF(BASEBUDGETS!#REF!&lt;=0,0,BASEBUDGETS!#REF!/BASEBUDGETS!C511)</f>
        <v>#REF!</v>
      </c>
      <c r="D73" t="e">
        <f>IF(BASEBUDGETS!#REF!&lt;=0,0,BASEBUDGETS!#REF!/BASEBUDGETS!C511)</f>
        <v>#REF!</v>
      </c>
    </row>
    <row r="74" spans="1:14" hidden="1"/>
    <row r="75" spans="1:14" hidden="1"/>
    <row r="76" spans="1:14" hidden="1"/>
    <row r="77" spans="1:14" hidden="1"/>
    <row r="78" spans="1:14" hidden="1"/>
    <row r="79" spans="1:14" hidden="1"/>
    <row r="82" hidden="1"/>
    <row r="83" hidden="1"/>
    <row r="84" hidden="1"/>
    <row r="85" hidden="1"/>
    <row r="86" hidden="1"/>
    <row r="87" hidden="1"/>
    <row r="90" hidden="1"/>
    <row r="92" hidden="1"/>
    <row r="93" hidden="1"/>
    <row r="114" ht="20.100000000000001" customHeight="1"/>
    <row r="115" ht="20.100000000000001" customHeight="1"/>
    <row r="116" ht="20.100000000000001" customHeight="1"/>
    <row r="129"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hidden="1" customHeight="1"/>
    <row r="159" ht="20.100000000000001" hidden="1" customHeight="1"/>
    <row r="160" ht="20.100000000000001" hidden="1" customHeight="1"/>
    <row r="161" ht="20.100000000000001" hidden="1" customHeight="1"/>
    <row r="162" ht="20.100000000000001" customHeight="1"/>
    <row r="163" ht="20.100000000000001" hidden="1" customHeight="1"/>
    <row r="164" ht="20.100000000000001" customHeight="1"/>
    <row r="165" ht="20.100000000000001" customHeight="1"/>
    <row r="166" ht="20.100000000000001" customHeight="1"/>
    <row r="167" ht="20.100000000000001" customHeight="1"/>
    <row r="168" ht="20.100000000000001" hidden="1" customHeight="1"/>
    <row r="169" ht="20.100000000000001" hidden="1" customHeight="1"/>
    <row r="170" ht="20.100000000000001" hidden="1" customHeight="1"/>
    <row r="171" ht="20.100000000000001" hidden="1" customHeight="1"/>
    <row r="172" ht="20.100000000000001" hidden="1" customHeight="1"/>
    <row r="173" ht="20.100000000000001" hidden="1" customHeight="1"/>
    <row r="174" ht="20.100000000000001" hidden="1" customHeight="1"/>
    <row r="175" ht="20.100000000000001" hidden="1" customHeight="1"/>
    <row r="176" ht="20.100000000000001" customHeight="1"/>
    <row r="177" ht="20.100000000000001" customHeight="1"/>
    <row r="178" ht="20.100000000000001" customHeight="1"/>
    <row r="179" ht="20.100000000000001" customHeight="1"/>
    <row r="180" ht="20.100000000000001" hidden="1" customHeight="1"/>
    <row r="181" ht="20.100000000000001" customHeight="1"/>
    <row r="182" ht="20.100000000000001" hidden="1" customHeight="1"/>
    <row r="183" ht="20.100000000000001" customHeight="1"/>
    <row r="184" ht="20.100000000000001" customHeight="1"/>
    <row r="185" ht="20.100000000000001" customHeight="1"/>
    <row r="186" ht="20.100000000000001" customHeight="1"/>
    <row r="187" ht="20.100000000000001" customHeight="1"/>
    <row r="188" ht="20.100000000000001" hidden="1" customHeight="1"/>
    <row r="189" ht="20.100000000000001" hidden="1" customHeight="1"/>
    <row r="190" ht="20.100000000000001" hidden="1" customHeight="1"/>
    <row r="191" ht="20.100000000000001" hidden="1" customHeight="1"/>
    <row r="192" ht="20.100000000000001" customHeight="1"/>
    <row r="193" ht="20.100000000000001" hidden="1" customHeight="1"/>
    <row r="194" ht="20.100000000000001" customHeight="1"/>
    <row r="195" ht="20.100000000000001" customHeight="1"/>
    <row r="196" ht="20.100000000000001" customHeight="1"/>
    <row r="197" ht="20.100000000000001" customHeight="1"/>
    <row r="198" ht="20.100000000000001" hidden="1" customHeight="1"/>
    <row r="199" ht="20.100000000000001" hidden="1" customHeight="1"/>
    <row r="200" ht="20.100000000000001" hidden="1" customHeight="1"/>
    <row r="201" ht="20.100000000000001" hidden="1" customHeight="1"/>
    <row r="202" ht="20.100000000000001" hidden="1" customHeight="1"/>
    <row r="203" ht="20.100000000000001" hidden="1" customHeight="1"/>
    <row r="204" ht="20.100000000000001" hidden="1" customHeight="1"/>
    <row r="205" ht="20.100000000000001" hidden="1" customHeight="1"/>
    <row r="206" ht="20.100000000000001" customHeight="1"/>
    <row r="207" ht="20.100000000000001" customHeight="1"/>
    <row r="208" ht="20.100000000000001" customHeight="1"/>
    <row r="209" ht="20.100000000000001" customHeight="1"/>
    <row r="210" ht="20.100000000000001" hidden="1" customHeight="1"/>
    <row r="211" ht="20.100000000000001" customHeight="1"/>
    <row r="212" ht="20.100000000000001" hidden="1" customHeight="1"/>
    <row r="213" ht="20.100000000000001" customHeight="1"/>
  </sheetData>
  <sheetProtection algorithmName="SHA-512" hashValue="RDNgbTtWuRT0nnF9dYGMHAfU2mRoiAtkVsik85ikifLeHXetQCgjSPRvqdyXdTFdii4XM8ECBU4mvmnZXi11Yg==" saltValue="KZ/lfiXjh/Wdk2c6qZGVxQ==" spinCount="100000" sheet="1" objects="1" scenarios="1"/>
  <mergeCells count="15">
    <mergeCell ref="B16:F16"/>
    <mergeCell ref="B14:F15"/>
    <mergeCell ref="B4:F5"/>
    <mergeCell ref="K4:K5"/>
    <mergeCell ref="L4:L5"/>
    <mergeCell ref="E6:E7"/>
    <mergeCell ref="C6:C7"/>
    <mergeCell ref="D6:D7"/>
    <mergeCell ref="F6:F7"/>
    <mergeCell ref="M4:Q4"/>
    <mergeCell ref="T4:W4"/>
    <mergeCell ref="U5:U6"/>
    <mergeCell ref="V5:V6"/>
    <mergeCell ref="W5:W6"/>
    <mergeCell ref="T5:T6"/>
  </mergeCells>
  <pageMargins left="0.7" right="0.7" top="0.75" bottom="0.75" header="0.3" footer="0.3"/>
  <pageSetup scale="23" orientation="portrait" horizontalDpi="0" verticalDpi="0"/>
  <ignoredErrors>
    <ignoredError sqref="D10:F10 D12:F12 D11:E11 F11" formula="1"/>
  </ignoredErrors>
  <drawing r:id="rId1"/>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7F94-D55C-E546-834D-D60C8F4FB143}">
  <sheetPr codeName="Sheet37">
    <pageSetUpPr fitToPage="1"/>
  </sheetPr>
  <dimension ref="A1:U168"/>
  <sheetViews>
    <sheetView zoomScale="110" zoomScaleNormal="110" workbookViewId="0">
      <selection activeCell="C5" sqref="C5"/>
    </sheetView>
  </sheetViews>
  <sheetFormatPr defaultColWidth="11.44140625" defaultRowHeight="21"/>
  <cols>
    <col min="1" max="1" width="2.33203125" style="1" customWidth="1"/>
    <col min="2" max="2" width="38.6640625" customWidth="1"/>
    <col min="3" max="3" width="11.109375" customWidth="1"/>
    <col min="4" max="4" width="14" customWidth="1"/>
    <col min="6" max="6" width="12.33203125" customWidth="1"/>
    <col min="7" max="7" width="12.109375" bestFit="1" customWidth="1"/>
    <col min="8" max="8" width="4.88671875" style="30" customWidth="1"/>
    <col min="9" max="9" width="5.88671875" style="30" customWidth="1"/>
    <col min="10" max="10" width="18.44140625" customWidth="1"/>
    <col min="11" max="11" width="16.88671875" customWidth="1"/>
    <col min="12" max="12" width="13.44140625" customWidth="1"/>
    <col min="13" max="13" width="11.44140625" customWidth="1"/>
    <col min="14" max="14" width="13.6640625" customWidth="1"/>
    <col min="15" max="15" width="6.44140625" style="1" customWidth="1"/>
    <col min="16" max="16" width="34.109375" bestFit="1" customWidth="1"/>
    <col min="17" max="17" width="15.44140625" customWidth="1"/>
    <col min="18" max="18" width="9.33203125" customWidth="1"/>
    <col min="19" max="19" width="14.33203125" bestFit="1" customWidth="1"/>
    <col min="20" max="21" width="12.88671875" bestFit="1" customWidth="1"/>
  </cols>
  <sheetData>
    <row r="1" spans="1:21" s="2" customFormat="1">
      <c r="A1" s="11"/>
      <c r="B1" s="10"/>
      <c r="C1" s="10"/>
      <c r="D1" s="10"/>
      <c r="E1" s="10"/>
      <c r="F1" s="10"/>
      <c r="G1" s="10"/>
      <c r="H1" s="11"/>
      <c r="I1" s="126"/>
      <c r="O1" s="11"/>
    </row>
    <row r="2" spans="1:21" s="2" customFormat="1" ht="21" customHeight="1">
      <c r="A2" s="11"/>
      <c r="B2" s="522" t="s">
        <v>493</v>
      </c>
      <c r="C2" s="522"/>
      <c r="D2" s="256">
        <v>300</v>
      </c>
      <c r="E2" s="523" t="s">
        <v>13</v>
      </c>
      <c r="F2" s="523"/>
      <c r="G2" s="523"/>
      <c r="H2" s="279" t="s">
        <v>10</v>
      </c>
      <c r="I2" s="126"/>
      <c r="J2" s="509" t="s">
        <v>100</v>
      </c>
      <c r="K2" s="509"/>
      <c r="L2" s="509"/>
      <c r="M2" s="509"/>
      <c r="N2" s="509"/>
      <c r="O2" s="11"/>
      <c r="P2" s="509" t="s">
        <v>350</v>
      </c>
      <c r="Q2" s="509"/>
      <c r="R2" s="509"/>
      <c r="S2" s="509"/>
      <c r="T2" s="509"/>
      <c r="U2" s="509"/>
    </row>
    <row r="3" spans="1:21" s="2" customFormat="1" ht="21" customHeight="1">
      <c r="A3" s="11"/>
      <c r="B3" s="13" t="s">
        <v>18</v>
      </c>
      <c r="C3" s="251" t="s">
        <v>19</v>
      </c>
      <c r="D3" s="14" t="s">
        <v>17</v>
      </c>
      <c r="E3" s="389" t="s">
        <v>20</v>
      </c>
      <c r="F3" s="389" t="s">
        <v>533</v>
      </c>
      <c r="G3" s="389" t="s">
        <v>98</v>
      </c>
      <c r="H3" s="126"/>
      <c r="I3" s="126"/>
      <c r="J3" s="13" t="s">
        <v>18</v>
      </c>
      <c r="K3" s="262"/>
      <c r="L3" s="73" t="s">
        <v>1</v>
      </c>
      <c r="M3" s="71" t="s">
        <v>45</v>
      </c>
      <c r="N3" s="71" t="s">
        <v>25</v>
      </c>
      <c r="O3" s="11"/>
      <c r="P3" s="385"/>
      <c r="Q3" s="520" t="s">
        <v>1</v>
      </c>
      <c r="R3" s="520" t="s">
        <v>91</v>
      </c>
      <c r="S3" s="383" t="s">
        <v>25</v>
      </c>
      <c r="T3" s="383" t="s">
        <v>25</v>
      </c>
      <c r="U3" s="383" t="s">
        <v>25</v>
      </c>
    </row>
    <row r="4" spans="1:21" s="2" customFormat="1" ht="21" customHeight="1">
      <c r="A4" s="11"/>
      <c r="B4" s="29" t="s">
        <v>6</v>
      </c>
      <c r="C4" s="404">
        <v>0.5</v>
      </c>
      <c r="D4" s="235">
        <f>C4*'AcresYieldsPrices&amp;Water'!$D$2</f>
        <v>150</v>
      </c>
      <c r="E4" s="19">
        <v>1</v>
      </c>
      <c r="F4" s="19">
        <v>0</v>
      </c>
      <c r="G4" s="64">
        <f>IF(E4+F4&gt;1,"ERROR",1-(E4+F4))</f>
        <v>0</v>
      </c>
      <c r="H4" s="126"/>
      <c r="I4" s="126"/>
      <c r="J4" s="487" t="str">
        <f>B4&amp;" Biomass"</f>
        <v>Guayule Biomass</v>
      </c>
      <c r="K4" s="487"/>
      <c r="L4" s="241" t="s">
        <v>244</v>
      </c>
      <c r="M4" s="355">
        <v>0.08</v>
      </c>
      <c r="N4" s="353">
        <v>22000</v>
      </c>
      <c r="O4" s="11"/>
      <c r="P4" s="76"/>
      <c r="Q4" s="521"/>
      <c r="R4" s="521"/>
      <c r="S4" s="384" t="str">
        <f>E3</f>
        <v>Flood</v>
      </c>
      <c r="T4" s="384" t="str">
        <f>F3</f>
        <v>Drip-tape</v>
      </c>
      <c r="U4" s="384" t="str">
        <f>G3</f>
        <v>Sprinkler</v>
      </c>
    </row>
    <row r="5" spans="1:21" s="2" customFormat="1" ht="21" customHeight="1">
      <c r="A5" s="11"/>
      <c r="B5" s="257" t="s">
        <v>5</v>
      </c>
      <c r="C5" s="404">
        <v>0.5</v>
      </c>
      <c r="D5" s="235">
        <f>C5*'AcresYieldsPrices&amp;Water'!$D$2</f>
        <v>150</v>
      </c>
      <c r="E5" s="19">
        <v>1</v>
      </c>
      <c r="F5" s="19">
        <v>0</v>
      </c>
      <c r="G5" s="64">
        <f t="shared" ref="G5:G20" si="0">IF(E5+F5&gt;1,"ERROR",1-(E5+F5))</f>
        <v>0</v>
      </c>
      <c r="H5" s="439" t="s">
        <v>10</v>
      </c>
      <c r="I5" s="126"/>
      <c r="J5" s="487" t="str">
        <f>B4&amp;" Rubber Content"</f>
        <v>Guayule Rubber Content</v>
      </c>
      <c r="K5" s="487"/>
      <c r="L5" s="241" t="s">
        <v>309</v>
      </c>
      <c r="M5" s="355">
        <v>0</v>
      </c>
      <c r="N5" s="353">
        <v>0</v>
      </c>
      <c r="O5" s="11"/>
      <c r="P5" s="11" t="s">
        <v>92</v>
      </c>
      <c r="Q5" s="17" t="s">
        <v>235</v>
      </c>
      <c r="R5" s="236">
        <f>'AcresYieldsPrices&amp;Water'!D2*2.75</f>
        <v>825</v>
      </c>
      <c r="S5" s="11"/>
      <c r="T5" s="11"/>
      <c r="U5" s="11"/>
    </row>
    <row r="6" spans="1:21" s="2" customFormat="1" ht="21" customHeight="1">
      <c r="A6" s="11"/>
      <c r="B6" s="257" t="s">
        <v>495</v>
      </c>
      <c r="C6" s="404">
        <v>0</v>
      </c>
      <c r="D6" s="235">
        <f>C6*'AcresYieldsPrices&amp;Water'!$D$2</f>
        <v>0</v>
      </c>
      <c r="E6" s="19">
        <v>1</v>
      </c>
      <c r="F6" s="19">
        <v>0</v>
      </c>
      <c r="G6" s="64">
        <f t="shared" si="0"/>
        <v>0</v>
      </c>
      <c r="H6" s="126"/>
      <c r="I6" s="126"/>
      <c r="J6" s="487" t="str">
        <f>'AcresYieldsPrices&amp;Water'!B5</f>
        <v>Guar</v>
      </c>
      <c r="K6" s="487"/>
      <c r="L6" s="241" t="s">
        <v>244</v>
      </c>
      <c r="M6" s="355">
        <v>0.25</v>
      </c>
      <c r="N6" s="353">
        <v>1400</v>
      </c>
      <c r="O6" s="244" t="s">
        <v>10</v>
      </c>
      <c r="P6" s="11" t="s">
        <v>272</v>
      </c>
      <c r="Q6" s="11"/>
      <c r="R6" s="11"/>
      <c r="S6" s="237">
        <f>(('Inputs&amp;PricesbyCrop'!$D7*TillageOperations!C4)*E4)+(('Inputs&amp;PricesbyCrop'!$E7*TillageOperations!D$4)*E4)+(('Inputs&amp;PricesbyCrop'!$F7*TillageOperations!E$4)*E4)+(('Inputs&amp;PricesbyCrop'!$G7*TillageOperations!F$4)*E5)+(('Inputs&amp;PricesbyCrop'!$H7*TillageOperations!G$4)*E6)+(('Inputs&amp;PricesbyCrop'!$I7*TillageOperations!H$4)*E7)+(('Inputs&amp;PricesbyCrop'!$J7*TillageOperations!I$4)*E8)+(('Inputs&amp;PricesbyCrop'!$K7*TillageOperations!J$4)*E9)+(('Inputs&amp;PricesbyCrop'!$L7*TillageOperations!K$4)*E10)+(('Inputs&amp;PricesbyCrop'!$M7*TillageOperations!L$4)*E11)+(('Inputs&amp;PricesbyCrop'!$N7*TillageOperations!M$4)*E12)+(('Inputs&amp;PricesbyCrop'!$O7*TillageOperations!N$4)*E13)+(('Inputs&amp;PricesbyCrop'!$P7*TillageOperations!O$4)*E14)+(('Inputs&amp;PricesbyCrop'!$Q7*TillageOperations!P$4)*E15)+(('Inputs&amp;PricesbyCrop'!$R7*TillageOperations!Q$4)*E16)+(('Inputs&amp;PricesbyCrop'!$S7*TillageOperations!R$4)*E17)+(('Inputs&amp;PricesbyCrop'!$T7*TillageOperations!S$4)*E18)+(('Inputs&amp;PricesbyCrop'!$U7*TillageOperations!T$4)*E19)+(('Inputs&amp;PricesbyCrop'!$V7*TillageOperations!U$4)*E20)</f>
        <v>664.66666666666674</v>
      </c>
      <c r="T6" s="237">
        <f>(('Inputs&amp;PricesbyCrop'!$D9*TillageOperations!C$4)*F4)+(('Inputs&amp;PricesbyCrop'!$E9*TillageOperations!D$4)*F4)+(('Inputs&amp;PricesbyCrop'!$F9*TillageOperations!E$4*F4))+(('Inputs&amp;PricesbyCrop'!$G9*TillageOperations!F$4)*F5)+(('Inputs&amp;PricesbyCrop'!$H9*TillageOperations!G$4*F6)+(('Inputs&amp;PricesbyCrop'!$I9*TillageOperations!H$4)*F7)+(('Inputs&amp;PricesbyCrop'!$J9*TillageOperations!I$4)*F8)+(('Inputs&amp;PricesbyCrop'!$K9*TillageOperations!J$4)*F9)+(('Inputs&amp;PricesbyCrop'!$L9*TillageOperations!K$4)*F10)+(('Inputs&amp;PricesbyCrop'!$M9*TillageOperations!L$4)*F11)+(('Inputs&amp;PricesbyCrop'!$N9*TillageOperations!M$4)*F12)+(('Inputs&amp;PricesbyCrop'!$O9*TillageOperations!N$4)*F13)+(('Inputs&amp;PricesbyCrop'!$P9*TillageOperations!O$4)*F14)+(('Inputs&amp;PricesbyCrop'!$Q9*TillageOperations!P$4)*F15)+(('Inputs&amp;PricesbyCrop'!$R9*TillageOperations!Q$4)*F16)+(('Inputs&amp;PricesbyCrop'!$S9*TillageOperations!R$4)*F17)+(('Inputs&amp;PricesbyCrop'!$T9*TillageOperations!S$4)*F18)+(('Inputs&amp;PricesbyCrop'!$U9*TillageOperations!T$4)*F19)+(('Inputs&amp;PricesbyCrop'!$V9*TillageOperations!U$4)*F20))</f>
        <v>0</v>
      </c>
      <c r="U6" s="237">
        <f>(('Inputs&amp;PricesbyCrop'!$D11*TillageOperations!C$4)*G4)+(('Inputs&amp;PricesbyCrop'!$E11*TillageOperations!D$4)*G4)+(('Inputs&amp;PricesbyCrop'!$F11*TillageOperations!E$4*G4))+(('Inputs&amp;PricesbyCrop'!$G11*TillageOperations!F$4)*G5)+(('Inputs&amp;PricesbyCrop'!$H11*TillageOperations!G$4*G6)+(('Inputs&amp;PricesbyCrop'!$I11*TillageOperations!H$4)*G7)+(('Inputs&amp;PricesbyCrop'!$J11*TillageOperations!I$4)*G8)+(('Inputs&amp;PricesbyCrop'!$K11*TillageOperations!J$4)*G9)+(('Inputs&amp;PricesbyCrop'!$L11*TillageOperations!K$4)*G10)+(('Inputs&amp;PricesbyCrop'!$M11*TillageOperations!L$4)*G11)+(('Inputs&amp;PricesbyCrop'!$N11*TillageOperations!M$4)*G12)+(('Inputs&amp;PricesbyCrop'!$O11*TillageOperations!N$4)*G13)+(('Inputs&amp;PricesbyCrop'!$P11*TillageOperations!O$4)*G14)+(('Inputs&amp;PricesbyCrop'!$Q11*TillageOperations!P$4)*G15)+(('Inputs&amp;PricesbyCrop'!$R11*TillageOperations!Q$4)*G16)+(('Inputs&amp;PricesbyCrop'!$S11*TillageOperations!R$4)*G17)+(('Inputs&amp;PricesbyCrop'!$T11*TillageOperations!S$4)*G18)+(('Inputs&amp;PricesbyCrop'!$U11*TillageOperations!T$4)*G19)+(('Inputs&amp;PricesbyCrop'!$V11*TillageOperations!U$4)*G20))</f>
        <v>0</v>
      </c>
    </row>
    <row r="7" spans="1:21" s="2" customFormat="1" ht="21" customHeight="1">
      <c r="A7" s="11"/>
      <c r="B7" s="257" t="s">
        <v>373</v>
      </c>
      <c r="C7" s="404">
        <v>0</v>
      </c>
      <c r="D7" s="235">
        <f>C7*'AcresYieldsPrices&amp;Water'!$D$2</f>
        <v>0</v>
      </c>
      <c r="E7" s="19">
        <v>1</v>
      </c>
      <c r="F7" s="19">
        <v>0</v>
      </c>
      <c r="G7" s="64">
        <f t="shared" si="0"/>
        <v>0</v>
      </c>
      <c r="H7" s="126"/>
      <c r="I7" s="126"/>
      <c r="J7" s="487" t="str">
        <f>'AcresYieldsPrices&amp;Water'!B6</f>
        <v>Hemp for CBD Oil</v>
      </c>
      <c r="K7" s="487"/>
      <c r="L7" s="241" t="s">
        <v>244</v>
      </c>
      <c r="M7" s="355">
        <v>1</v>
      </c>
      <c r="N7" s="353">
        <v>4000</v>
      </c>
      <c r="O7" s="11"/>
      <c r="P7" s="76" t="s">
        <v>349</v>
      </c>
      <c r="Q7" s="308" t="s">
        <v>235</v>
      </c>
      <c r="R7" s="238">
        <f>R5-S6-T6-U6</f>
        <v>160.33333333333326</v>
      </c>
      <c r="S7" s="386"/>
      <c r="T7" s="386"/>
      <c r="U7" s="76"/>
    </row>
    <row r="8" spans="1:21" s="2" customFormat="1" ht="21" customHeight="1">
      <c r="A8" s="11"/>
      <c r="B8" s="257" t="s">
        <v>202</v>
      </c>
      <c r="C8" s="404">
        <v>0</v>
      </c>
      <c r="D8" s="235">
        <f>C8*'AcresYieldsPrices&amp;Water'!$D$2</f>
        <v>0</v>
      </c>
      <c r="E8" s="19">
        <v>1</v>
      </c>
      <c r="F8" s="19">
        <v>0</v>
      </c>
      <c r="G8" s="64">
        <f t="shared" si="0"/>
        <v>0</v>
      </c>
      <c r="H8" s="126"/>
      <c r="I8" s="126"/>
      <c r="J8" s="487" t="str">
        <f>'AcresYieldsPrices&amp;Water'!B7</f>
        <v>Hemp for Grain</v>
      </c>
      <c r="K8" s="487"/>
      <c r="L8" s="241" t="s">
        <v>244</v>
      </c>
      <c r="M8" s="355">
        <v>0.75</v>
      </c>
      <c r="N8" s="353">
        <v>1500</v>
      </c>
      <c r="O8" s="11"/>
      <c r="P8" s="126"/>
      <c r="Q8" s="520" t="s">
        <v>477</v>
      </c>
      <c r="R8" s="520"/>
      <c r="S8" s="520"/>
      <c r="T8" s="520" t="s">
        <v>476</v>
      </c>
      <c r="U8" s="520"/>
    </row>
    <row r="9" spans="1:21" s="2" customFormat="1" ht="21" customHeight="1">
      <c r="A9" s="11"/>
      <c r="B9" s="29" t="s">
        <v>515</v>
      </c>
      <c r="C9" s="404">
        <v>0</v>
      </c>
      <c r="D9" s="235">
        <f>C9*'AcresYieldsPrices&amp;Water'!$D$2</f>
        <v>0</v>
      </c>
      <c r="E9" s="19">
        <v>1</v>
      </c>
      <c r="F9" s="19">
        <v>0</v>
      </c>
      <c r="G9" s="64">
        <f t="shared" si="0"/>
        <v>0</v>
      </c>
      <c r="H9" s="126"/>
      <c r="I9" s="126"/>
      <c r="J9" s="487" t="str">
        <f>'AcresYieldsPrices&amp;Water'!B8</f>
        <v>Hemp for Fiber</v>
      </c>
      <c r="K9" s="487"/>
      <c r="L9" s="241" t="s">
        <v>244</v>
      </c>
      <c r="M9" s="355">
        <v>0.11</v>
      </c>
      <c r="N9" s="353">
        <v>12000</v>
      </c>
      <c r="O9" s="11"/>
      <c r="P9" s="76" t="s">
        <v>482</v>
      </c>
      <c r="Q9" s="521"/>
      <c r="R9" s="521"/>
      <c r="S9" s="521"/>
      <c r="T9" s="521"/>
      <c r="U9" s="521"/>
    </row>
    <row r="10" spans="1:21" s="2" customFormat="1" ht="21" customHeight="1">
      <c r="A10" s="11"/>
      <c r="B10" s="29" t="s">
        <v>11</v>
      </c>
      <c r="C10" s="404">
        <v>0</v>
      </c>
      <c r="D10" s="235">
        <f>C10*'AcresYieldsPrices&amp;Water'!$D$2</f>
        <v>0</v>
      </c>
      <c r="E10" s="19">
        <v>1</v>
      </c>
      <c r="F10" s="19">
        <v>0</v>
      </c>
      <c r="G10" s="64">
        <f t="shared" si="0"/>
        <v>0</v>
      </c>
      <c r="H10" s="126"/>
      <c r="I10" s="126"/>
      <c r="J10" s="487" t="str">
        <f>'AcresYieldsPrices&amp;Water'!B9</f>
        <v>Irr. Water Reduction: Set-aside</v>
      </c>
      <c r="K10" s="487"/>
      <c r="L10" s="241" t="s">
        <v>157</v>
      </c>
      <c r="M10" s="355">
        <v>0</v>
      </c>
      <c r="N10" s="353">
        <v>0</v>
      </c>
      <c r="O10" s="11"/>
      <c r="P10" s="11" t="str">
        <f>B4</f>
        <v>Guayule</v>
      </c>
      <c r="Q10" s="518">
        <f>SUM(Q28:Q30)</f>
        <v>514.66666666666674</v>
      </c>
      <c r="R10" s="518"/>
      <c r="S10" s="17"/>
      <c r="T10" s="515">
        <f>IF(Q10=0,0,Q10/$Q$31)</f>
        <v>0.77432296890672014</v>
      </c>
      <c r="U10" s="515"/>
    </row>
    <row r="11" spans="1:21" s="2" customFormat="1" ht="21" customHeight="1">
      <c r="A11" s="11"/>
      <c r="B11" s="257" t="s">
        <v>453</v>
      </c>
      <c r="C11" s="404">
        <v>0</v>
      </c>
      <c r="D11" s="235">
        <f>C11*'AcresYieldsPrices&amp;Water'!$D$2</f>
        <v>0</v>
      </c>
      <c r="E11" s="19">
        <v>1</v>
      </c>
      <c r="F11" s="19">
        <v>0</v>
      </c>
      <c r="G11" s="64">
        <f t="shared" si="0"/>
        <v>0</v>
      </c>
      <c r="H11" s="126"/>
      <c r="I11" s="126"/>
      <c r="J11" s="487" t="str">
        <f>'AcresYieldsPrices&amp;Water'!B10&amp; " Lint"</f>
        <v>Cotton Lint</v>
      </c>
      <c r="K11" s="487"/>
      <c r="L11" s="241" t="s">
        <v>244</v>
      </c>
      <c r="M11" s="355">
        <v>1</v>
      </c>
      <c r="N11" s="353">
        <v>1500</v>
      </c>
      <c r="O11" s="11"/>
      <c r="P11" s="11" t="str">
        <f>B5</f>
        <v>Guar</v>
      </c>
      <c r="Q11" s="518">
        <f>IF(D5=0,0,(('Inputs&amp;PricesbyCrop'!G7*E5)+('Inputs&amp;PricesbyCrop'!D9*F5)+('Inputs&amp;PricesbyCrop'!D11*G5))*D5)</f>
        <v>150</v>
      </c>
      <c r="R11" s="518"/>
      <c r="S11" s="11"/>
      <c r="T11" s="515">
        <f t="shared" ref="T11:T25" si="1">IF(Q11=0,0,Q11/$Q$31)</f>
        <v>0.2256770310932798</v>
      </c>
      <c r="U11" s="515"/>
    </row>
    <row r="12" spans="1:21" s="2" customFormat="1" ht="21" customHeight="1">
      <c r="A12" s="11"/>
      <c r="B12" s="257" t="s">
        <v>12</v>
      </c>
      <c r="C12" s="404">
        <v>0</v>
      </c>
      <c r="D12" s="235">
        <f>C12*'AcresYieldsPrices&amp;Water'!$D$2</f>
        <v>0</v>
      </c>
      <c r="E12" s="19">
        <v>1</v>
      </c>
      <c r="F12" s="19">
        <v>0</v>
      </c>
      <c r="G12" s="64">
        <f t="shared" si="0"/>
        <v>0</v>
      </c>
      <c r="H12" s="126"/>
      <c r="I12" s="126"/>
      <c r="J12" s="487" t="str">
        <f>'AcresYieldsPrices&amp;Water'!B10&amp; " Seed"</f>
        <v>Cotton Seed</v>
      </c>
      <c r="K12" s="487"/>
      <c r="L12" s="241" t="s">
        <v>244</v>
      </c>
      <c r="M12" s="355">
        <v>0.15</v>
      </c>
      <c r="N12" s="353">
        <v>2250</v>
      </c>
      <c r="O12" s="11"/>
      <c r="P12" s="11" t="str">
        <f t="shared" ref="P12:P24" si="2">B6</f>
        <v>Hemp for CBD Oil</v>
      </c>
      <c r="Q12" s="518">
        <f>IF(D6=0,0,(('Inputs&amp;PricesbyCrop'!H7*E6)+('Inputs&amp;PricesbyCrop'!H9*F6)+('Inputs&amp;PricesbyCrop'!H11*G6))*D6)</f>
        <v>0</v>
      </c>
      <c r="R12" s="518"/>
      <c r="S12" s="11"/>
      <c r="T12" s="515">
        <f t="shared" si="1"/>
        <v>0</v>
      </c>
      <c r="U12" s="515"/>
    </row>
    <row r="13" spans="1:21" s="2" customFormat="1" ht="21" customHeight="1">
      <c r="A13" s="11"/>
      <c r="B13" s="257" t="s">
        <v>444</v>
      </c>
      <c r="C13" s="404">
        <v>0</v>
      </c>
      <c r="D13" s="235">
        <f>C13*'AcresYieldsPrices&amp;Water'!$D$2</f>
        <v>0</v>
      </c>
      <c r="E13" s="19">
        <v>1</v>
      </c>
      <c r="F13" s="19">
        <v>0</v>
      </c>
      <c r="G13" s="64">
        <f t="shared" si="0"/>
        <v>0</v>
      </c>
      <c r="H13" s="126"/>
      <c r="I13" s="126"/>
      <c r="J13" s="487" t="str">
        <f>'AcresYieldsPrices&amp;Water'!B11</f>
        <v>Corn Silage</v>
      </c>
      <c r="K13" s="487"/>
      <c r="L13" s="241" t="s">
        <v>252</v>
      </c>
      <c r="M13" s="355">
        <v>60</v>
      </c>
      <c r="N13" s="353">
        <v>30</v>
      </c>
      <c r="O13" s="11"/>
      <c r="P13" s="11" t="str">
        <f t="shared" si="2"/>
        <v>Hemp for Grain</v>
      </c>
      <c r="Q13" s="518">
        <f>IF(D7=0,0,(('Inputs&amp;PricesbyCrop'!I7*E7)+('Inputs&amp;PricesbyCrop'!I9*F7)+('Inputs&amp;PricesbyCrop'!I11*G7))*D7)</f>
        <v>0</v>
      </c>
      <c r="R13" s="518"/>
      <c r="S13" s="11"/>
      <c r="T13" s="515">
        <f t="shared" si="1"/>
        <v>0</v>
      </c>
      <c r="U13" s="515"/>
    </row>
    <row r="14" spans="1:21" s="2" customFormat="1" ht="21" customHeight="1">
      <c r="A14" s="11"/>
      <c r="B14" s="257" t="s">
        <v>443</v>
      </c>
      <c r="C14" s="404">
        <v>0</v>
      </c>
      <c r="D14" s="235">
        <f>C14*'AcresYieldsPrices&amp;Water'!$D$2</f>
        <v>0</v>
      </c>
      <c r="E14" s="19">
        <v>1</v>
      </c>
      <c r="F14" s="19">
        <v>0</v>
      </c>
      <c r="G14" s="64">
        <f t="shared" si="0"/>
        <v>0</v>
      </c>
      <c r="H14" s="126"/>
      <c r="I14" s="126"/>
      <c r="J14" s="487" t="str">
        <f>'AcresYieldsPrices&amp;Water'!B12</f>
        <v>Sorghum</v>
      </c>
      <c r="K14" s="487"/>
      <c r="L14" s="241" t="s">
        <v>251</v>
      </c>
      <c r="M14" s="355">
        <v>7</v>
      </c>
      <c r="N14" s="353">
        <v>50</v>
      </c>
      <c r="O14" s="11"/>
      <c r="P14" s="11" t="str">
        <f t="shared" si="2"/>
        <v>Hemp for Fiber</v>
      </c>
      <c r="Q14" s="518">
        <f>IF(D8=0,0,(('Inputs&amp;PricesbyCrop'!J7*E8)+('Inputs&amp;PricesbyCrop'!J9*F8)+('Inputs&amp;PricesbyCrop'!J11*G8))*D8)</f>
        <v>0</v>
      </c>
      <c r="R14" s="518"/>
      <c r="S14" s="11"/>
      <c r="T14" s="515">
        <f t="shared" si="1"/>
        <v>0</v>
      </c>
      <c r="U14" s="515"/>
    </row>
    <row r="15" spans="1:21" s="2" customFormat="1" ht="21" customHeight="1">
      <c r="A15" s="11"/>
      <c r="B15" s="257" t="s">
        <v>388</v>
      </c>
      <c r="C15" s="404">
        <v>0</v>
      </c>
      <c r="D15" s="235">
        <f>C15*'AcresYieldsPrices&amp;Water'!$D$2</f>
        <v>0</v>
      </c>
      <c r="E15" s="19">
        <v>1</v>
      </c>
      <c r="F15" s="19">
        <v>0</v>
      </c>
      <c r="G15" s="64">
        <f t="shared" si="0"/>
        <v>0</v>
      </c>
      <c r="H15" s="126"/>
      <c r="I15" s="126"/>
      <c r="J15" s="487" t="str">
        <f>'AcresYieldsPrices&amp;Water'!B13</f>
        <v>Spring Barley</v>
      </c>
      <c r="K15" s="487"/>
      <c r="L15" s="241" t="s">
        <v>445</v>
      </c>
      <c r="M15" s="355">
        <v>14</v>
      </c>
      <c r="N15" s="353">
        <v>60</v>
      </c>
      <c r="O15" s="11"/>
      <c r="P15" s="11" t="str">
        <f t="shared" si="2"/>
        <v>Irr. Water Reduction: Set-aside</v>
      </c>
      <c r="Q15" s="518">
        <f>IF(D9=0,0,(('Inputs&amp;PricesbyCrop'!K7*E9)+('Inputs&amp;PricesbyCrop'!K9*F9)+('Inputs&amp;PricesbyCrop'!K11*G9))*D9)</f>
        <v>0</v>
      </c>
      <c r="R15" s="518"/>
      <c r="S15" s="11"/>
      <c r="T15" s="515">
        <f t="shared" si="1"/>
        <v>0</v>
      </c>
      <c r="U15" s="515"/>
    </row>
    <row r="16" spans="1:21" s="2" customFormat="1" ht="21" customHeight="1">
      <c r="A16" s="11"/>
      <c r="B16" s="257" t="s">
        <v>389</v>
      </c>
      <c r="C16" s="404">
        <v>0</v>
      </c>
      <c r="D16" s="235">
        <f>C16*'AcresYieldsPrices&amp;Water'!$D$2</f>
        <v>0</v>
      </c>
      <c r="E16" s="19">
        <v>1</v>
      </c>
      <c r="F16" s="19">
        <v>0</v>
      </c>
      <c r="G16" s="64">
        <f t="shared" si="0"/>
        <v>0</v>
      </c>
      <c r="H16" s="126"/>
      <c r="I16" s="126"/>
      <c r="J16" s="487" t="str">
        <f>'AcresYieldsPrices&amp;Water'!B14</f>
        <v>Durum Wheat</v>
      </c>
      <c r="K16" s="487"/>
      <c r="L16" s="241" t="s">
        <v>445</v>
      </c>
      <c r="M16" s="355">
        <v>17.653099999999998</v>
      </c>
      <c r="N16" s="353">
        <v>66</v>
      </c>
      <c r="O16" s="11"/>
      <c r="P16" s="11" t="str">
        <f t="shared" si="2"/>
        <v>Cotton</v>
      </c>
      <c r="Q16" s="518">
        <f>IF(D10=0,0,(('Inputs&amp;PricesbyCrop'!L7*E10)+('Inputs&amp;PricesbyCrop'!L9*F10)+('Inputs&amp;PricesbyCrop'!L11*G10))*D10)</f>
        <v>0</v>
      </c>
      <c r="R16" s="518"/>
      <c r="S16" s="11"/>
      <c r="T16" s="515">
        <f t="shared" si="1"/>
        <v>0</v>
      </c>
      <c r="U16" s="515"/>
    </row>
    <row r="17" spans="1:21" s="2" customFormat="1" ht="21" customHeight="1">
      <c r="A17" s="11"/>
      <c r="B17" s="257" t="s">
        <v>390</v>
      </c>
      <c r="C17" s="404">
        <v>0</v>
      </c>
      <c r="D17" s="235">
        <f>C17*'AcresYieldsPrices&amp;Water'!$D$2</f>
        <v>0</v>
      </c>
      <c r="E17" s="19">
        <v>1</v>
      </c>
      <c r="F17" s="19">
        <v>0</v>
      </c>
      <c r="G17" s="64">
        <f t="shared" si="0"/>
        <v>0</v>
      </c>
      <c r="H17" s="126"/>
      <c r="I17" s="126"/>
      <c r="J17" s="487" t="str">
        <f>'AcresYieldsPrices&amp;Water'!B15</f>
        <v>Alt Crop #1</v>
      </c>
      <c r="K17" s="487"/>
      <c r="L17" s="241" t="s">
        <v>251</v>
      </c>
      <c r="M17" s="355">
        <v>0</v>
      </c>
      <c r="N17" s="353">
        <v>0</v>
      </c>
      <c r="O17" s="11"/>
      <c r="P17" s="11" t="str">
        <f t="shared" si="2"/>
        <v>Corn Silage</v>
      </c>
      <c r="Q17" s="518">
        <f>IF(D11=0,0,(('Inputs&amp;PricesbyCrop'!M7*E11)+('Inputs&amp;PricesbyCrop'!M9*F11)+('Inputs&amp;PricesbyCrop'!M11*G11))*D11)</f>
        <v>0</v>
      </c>
      <c r="R17" s="518"/>
      <c r="S17" s="11"/>
      <c r="T17" s="515">
        <f t="shared" si="1"/>
        <v>0</v>
      </c>
      <c r="U17" s="515"/>
    </row>
    <row r="18" spans="1:21" s="2" customFormat="1" ht="21" customHeight="1">
      <c r="A18" s="11"/>
      <c r="B18" s="257" t="s">
        <v>391</v>
      </c>
      <c r="C18" s="404">
        <v>0</v>
      </c>
      <c r="D18" s="235">
        <f>C18*'AcresYieldsPrices&amp;Water'!$D$2</f>
        <v>0</v>
      </c>
      <c r="E18" s="19">
        <v>1</v>
      </c>
      <c r="F18" s="19">
        <v>0</v>
      </c>
      <c r="G18" s="64">
        <f t="shared" si="0"/>
        <v>0</v>
      </c>
      <c r="H18" s="126"/>
      <c r="I18" s="126"/>
      <c r="J18" s="487" t="str">
        <f>'AcresYieldsPrices&amp;Water'!B16</f>
        <v>Alt Crop #2</v>
      </c>
      <c r="K18" s="487"/>
      <c r="L18" s="241" t="s">
        <v>251</v>
      </c>
      <c r="M18" s="355">
        <v>0</v>
      </c>
      <c r="N18" s="353">
        <v>0</v>
      </c>
      <c r="O18" s="11"/>
      <c r="P18" s="11" t="str">
        <f t="shared" si="2"/>
        <v>Sorghum</v>
      </c>
      <c r="Q18" s="518">
        <f>IF(D12=0,0,(('Inputs&amp;PricesbyCrop'!N7*E12)+('Inputs&amp;PricesbyCrop'!N9*F12)+('Inputs&amp;PricesbyCrop'!N11*G12))*D12)</f>
        <v>0</v>
      </c>
      <c r="R18" s="518"/>
      <c r="S18" s="11"/>
      <c r="T18" s="515">
        <f t="shared" si="1"/>
        <v>0</v>
      </c>
      <c r="U18" s="515"/>
    </row>
    <row r="19" spans="1:21" s="2" customFormat="1" ht="21" customHeight="1">
      <c r="A19" s="11"/>
      <c r="B19" s="29" t="s">
        <v>489</v>
      </c>
      <c r="C19" s="404">
        <v>0</v>
      </c>
      <c r="D19" s="235">
        <f>C19*'AcresYieldsPrices&amp;Water'!$D$2</f>
        <v>0</v>
      </c>
      <c r="E19" s="19">
        <v>1</v>
      </c>
      <c r="F19" s="19">
        <v>0</v>
      </c>
      <c r="G19" s="64">
        <f t="shared" si="0"/>
        <v>0</v>
      </c>
      <c r="H19" s="126"/>
      <c r="I19" s="126"/>
      <c r="J19" s="487" t="str">
        <f>'AcresYieldsPrices&amp;Water'!B17</f>
        <v>Alt Crop #3</v>
      </c>
      <c r="K19" s="487"/>
      <c r="L19" s="241" t="s">
        <v>251</v>
      </c>
      <c r="M19" s="355">
        <v>0</v>
      </c>
      <c r="N19" s="353">
        <v>0</v>
      </c>
      <c r="O19" s="11"/>
      <c r="P19" s="11" t="str">
        <f t="shared" si="2"/>
        <v>Spring Barley</v>
      </c>
      <c r="Q19" s="518">
        <f>IF(D13=0,0,(('Inputs&amp;PricesbyCrop'!O7*E13)+('Inputs&amp;PricesbyCrop'!O9*F13)+('Inputs&amp;PricesbyCrop'!O11*G13))*D13)</f>
        <v>0</v>
      </c>
      <c r="R19" s="518"/>
      <c r="S19" s="11"/>
      <c r="T19" s="515">
        <f t="shared" si="1"/>
        <v>0</v>
      </c>
      <c r="U19" s="515"/>
    </row>
    <row r="20" spans="1:21" s="2" customFormat="1" ht="21" customHeight="1">
      <c r="A20" s="11"/>
      <c r="B20" s="406" t="s">
        <v>490</v>
      </c>
      <c r="C20" s="405">
        <f>C19*3</f>
        <v>0</v>
      </c>
      <c r="D20" s="258">
        <f>C20*'AcresYieldsPrices&amp;Water'!$D$2</f>
        <v>0</v>
      </c>
      <c r="E20" s="259">
        <v>1</v>
      </c>
      <c r="F20" s="259">
        <v>0</v>
      </c>
      <c r="G20" s="260">
        <f t="shared" si="0"/>
        <v>0</v>
      </c>
      <c r="H20" s="126"/>
      <c r="I20" s="126"/>
      <c r="J20" s="487" t="str">
        <f>'AcresYieldsPrices&amp;Water'!B18</f>
        <v>Alt Crop #4</v>
      </c>
      <c r="K20" s="487"/>
      <c r="L20" s="241" t="s">
        <v>251</v>
      </c>
      <c r="M20" s="355">
        <v>0</v>
      </c>
      <c r="N20" s="353">
        <v>0</v>
      </c>
      <c r="O20" s="11"/>
      <c r="P20" s="11" t="str">
        <f t="shared" si="2"/>
        <v>Durum Wheat</v>
      </c>
      <c r="Q20" s="518">
        <f>IF(D14=0,0,(('Inputs&amp;PricesbyCrop'!P7*E14)+('Inputs&amp;PricesbyCrop'!P9*F14)+('Inputs&amp;PricesbyCrop'!P11*G14))*D14)</f>
        <v>0</v>
      </c>
      <c r="R20" s="518"/>
      <c r="S20" s="11"/>
      <c r="T20" s="515">
        <f t="shared" si="1"/>
        <v>0</v>
      </c>
      <c r="U20" s="515"/>
    </row>
    <row r="21" spans="1:21" s="2" customFormat="1">
      <c r="A21" s="11"/>
      <c r="B21" s="15"/>
      <c r="C21" s="474">
        <f>IF(SUM(C4:C20)&gt;1,"ERROR",SUM(C4:C20))</f>
        <v>1</v>
      </c>
      <c r="D21" s="235">
        <f>IF(SUM(D4:D20)&gt;'AcresYieldsPrices&amp;Water'!D2,"ERROR",SUM(D4:D20))</f>
        <v>300</v>
      </c>
      <c r="E21" s="16">
        <f>AVERAGE(E6:E20)</f>
        <v>1</v>
      </c>
      <c r="F21" s="16">
        <f>AVERAGE(F6:F20)</f>
        <v>0</v>
      </c>
      <c r="G21" s="16">
        <f>AVERAGE(G6:G20)</f>
        <v>0</v>
      </c>
      <c r="H21" s="126"/>
      <c r="I21" s="126"/>
      <c r="J21" s="487" t="str">
        <f>'AcresYieldsPrices&amp;Water'!B19</f>
        <v>Alfalfa Hay Estab.</v>
      </c>
      <c r="K21" s="487"/>
      <c r="L21" s="241" t="s">
        <v>252</v>
      </c>
      <c r="M21" s="355">
        <v>250</v>
      </c>
      <c r="N21" s="353">
        <v>8.5</v>
      </c>
      <c r="O21" s="11"/>
      <c r="P21" s="11" t="str">
        <f t="shared" si="2"/>
        <v>Alt Crop #1</v>
      </c>
      <c r="Q21" s="518">
        <f>IF(D15=0,0,(('Inputs&amp;PricesbyCrop'!Q7*E15)+('Inputs&amp;PricesbyCrop'!Q9*F15)+('Inputs&amp;PricesbyCrop'!Q11*G15))*D15)</f>
        <v>0</v>
      </c>
      <c r="R21" s="518"/>
      <c r="S21" s="11"/>
      <c r="T21" s="515">
        <f t="shared" si="1"/>
        <v>0</v>
      </c>
      <c r="U21" s="515"/>
    </row>
    <row r="22" spans="1:21" s="2" customFormat="1">
      <c r="A22" s="11"/>
      <c r="C22" s="513" t="str">
        <f>IF(C21&lt;1,1-SUM(C4:C20),"")</f>
        <v/>
      </c>
      <c r="D22" s="511" t="str">
        <f>IF(C21&lt;1,CONCATENATE("Percent of farm does not equal 100%, increase individual crop(s) acres by this percentage.")," ")</f>
        <v xml:space="preserve"> </v>
      </c>
      <c r="E22" s="511"/>
      <c r="F22" s="511"/>
      <c r="G22" s="511"/>
      <c r="H22" s="511"/>
      <c r="J22" s="524" t="str">
        <f>'AcresYieldsPrices&amp;Water'!B20</f>
        <v>Alfalfa Hay Prod.</v>
      </c>
      <c r="K22" s="524"/>
      <c r="L22" s="261" t="s">
        <v>252</v>
      </c>
      <c r="M22" s="356">
        <v>250</v>
      </c>
      <c r="N22" s="354">
        <v>8.5</v>
      </c>
      <c r="O22" s="11"/>
      <c r="P22" s="11" t="str">
        <f t="shared" si="2"/>
        <v>Alt Crop #2</v>
      </c>
      <c r="Q22" s="518">
        <f>IF(D16=0,0,(('Inputs&amp;PricesbyCrop'!R7*E16)+('Inputs&amp;PricesbyCrop'!R9*F16)+('Inputs&amp;PricesbyCrop'!R11*G16))*D16)</f>
        <v>0</v>
      </c>
      <c r="R22" s="518"/>
      <c r="S22" s="11"/>
      <c r="T22" s="515">
        <f t="shared" si="1"/>
        <v>0</v>
      </c>
      <c r="U22" s="515"/>
    </row>
    <row r="23" spans="1:21" s="2" customFormat="1" ht="21" customHeight="1">
      <c r="A23" s="11"/>
      <c r="B23" s="263"/>
      <c r="C23" s="513"/>
      <c r="D23" s="511"/>
      <c r="E23" s="511"/>
      <c r="F23" s="511"/>
      <c r="G23" s="511"/>
      <c r="H23" s="511"/>
      <c r="O23" s="11"/>
      <c r="P23" s="11" t="str">
        <f t="shared" si="2"/>
        <v>Alt Crop #3</v>
      </c>
      <c r="Q23" s="518">
        <f>IF(D17=0,0,(('Inputs&amp;PricesbyCrop'!S7*E17)+('Inputs&amp;PricesbyCrop'!S9*F17)+('Inputs&amp;PricesbyCrop'!S11*G17))*D17)</f>
        <v>0</v>
      </c>
      <c r="R23" s="518"/>
      <c r="S23" s="11"/>
      <c r="T23" s="515">
        <f t="shared" si="1"/>
        <v>0</v>
      </c>
      <c r="U23" s="515"/>
    </row>
    <row r="24" spans="1:21" s="2" customFormat="1" ht="21" customHeight="1">
      <c r="A24" s="11"/>
      <c r="B24" s="263"/>
      <c r="C24" s="512" t="str">
        <f>IF(C21&gt;1,1-SUM(C4:C20),"")</f>
        <v/>
      </c>
      <c r="D24" s="510" t="str">
        <f>IF(C21&gt;1,CONCATENATE("Percent of farm does not equal 100%, reduce individual crop(s) acres by this percentage.")," ")</f>
        <v xml:space="preserve"> </v>
      </c>
      <c r="E24" s="510"/>
      <c r="F24" s="510"/>
      <c r="G24" s="510"/>
      <c r="H24" s="510"/>
      <c r="I24" s="475"/>
      <c r="O24" s="11"/>
      <c r="P24" s="11" t="str">
        <f t="shared" si="2"/>
        <v>Alt Crop #4</v>
      </c>
      <c r="Q24" s="518">
        <f>IF(D18=0,0,(('Inputs&amp;PricesbyCrop'!T7*E18)+('Inputs&amp;PricesbyCrop'!T9*F18)+('Inputs&amp;PricesbyCrop'!T11*G18))*D18)</f>
        <v>0</v>
      </c>
      <c r="R24" s="518"/>
      <c r="S24" s="11"/>
      <c r="T24" s="515">
        <f t="shared" si="1"/>
        <v>0</v>
      </c>
      <c r="U24" s="515"/>
    </row>
    <row r="25" spans="1:21" s="2" customFormat="1">
      <c r="A25" s="11"/>
      <c r="B25" s="263"/>
      <c r="C25" s="512"/>
      <c r="D25" s="510"/>
      <c r="E25" s="510"/>
      <c r="F25" s="510"/>
      <c r="G25" s="510"/>
      <c r="H25" s="510"/>
      <c r="I25" s="126"/>
      <c r="O25" s="11"/>
      <c r="P25" s="76" t="s">
        <v>478</v>
      </c>
      <c r="Q25" s="516">
        <f>Q26+Q27</f>
        <v>0</v>
      </c>
      <c r="R25" s="516"/>
      <c r="S25" s="76"/>
      <c r="T25" s="517">
        <f t="shared" si="1"/>
        <v>0</v>
      </c>
      <c r="U25" s="517"/>
    </row>
    <row r="26" spans="1:21" s="2" customFormat="1" hidden="1">
      <c r="A26" s="11"/>
      <c r="C26" s="263"/>
      <c r="D26" s="263"/>
      <c r="H26" s="126"/>
      <c r="I26" s="126"/>
      <c r="O26" s="11"/>
      <c r="P26" s="11" t="str">
        <f>B19</f>
        <v>Alfalfa Hay Estab.</v>
      </c>
      <c r="Q26" s="519">
        <f>IF(D19=0,0,(('Inputs&amp;PricesbyCrop'!U7*E19)+('Inputs&amp;PricesbyCrop'!U9*F19)+('Inputs&amp;PricesbyCrop'!U11*G19))*D19)</f>
        <v>0</v>
      </c>
      <c r="R26" s="519"/>
      <c r="S26" s="126">
        <f>Q26/Q$31</f>
        <v>0</v>
      </c>
      <c r="T26" s="344" t="s">
        <v>10</v>
      </c>
      <c r="U26" s="341">
        <f>SUM(T10:U25)</f>
        <v>1</v>
      </c>
    </row>
    <row r="27" spans="1:21" s="2" customFormat="1" hidden="1">
      <c r="A27" s="11"/>
      <c r="C27" s="263"/>
      <c r="D27" s="263"/>
      <c r="H27" s="126"/>
      <c r="I27" s="126"/>
      <c r="O27" s="11"/>
      <c r="P27" s="11" t="str">
        <f>B20</f>
        <v>Alfalfa Hay Prod.</v>
      </c>
      <c r="Q27" s="519">
        <f>IF(D20=0,0,(('Inputs&amp;PricesbyCrop'!V7*E20)+('Inputs&amp;PricesbyCrop'!V9*F20)+('Inputs&amp;PricesbyCrop'!V11*G20))*D20)</f>
        <v>0</v>
      </c>
      <c r="R27" s="519"/>
      <c r="S27" s="126">
        <f>Q27/Q$31</f>
        <v>0</v>
      </c>
      <c r="T27" s="341"/>
      <c r="U27" s="341"/>
    </row>
    <row r="28" spans="1:21" s="2" customFormat="1" hidden="1">
      <c r="A28" s="11"/>
      <c r="C28" s="263"/>
      <c r="D28" s="263"/>
      <c r="H28" s="126"/>
      <c r="I28" s="126"/>
      <c r="O28" s="11"/>
      <c r="P28" s="244" t="s">
        <v>479</v>
      </c>
      <c r="Q28" s="342">
        <f>IF(D4=0,0,(('Inputs&amp;PricesbyCrop'!D7*E4)+('Inputs&amp;PricesbyCrop'!D9*F4)+('Inputs&amp;PricesbyCrop'!D11*G4))*(D4*(1/6)))</f>
        <v>98</v>
      </c>
      <c r="R28" s="342"/>
      <c r="S28" s="473">
        <f>SUM(S16:S27)</f>
        <v>0</v>
      </c>
      <c r="T28" s="341"/>
      <c r="U28" s="341"/>
    </row>
    <row r="29" spans="1:21" s="2" customFormat="1" hidden="1">
      <c r="A29" s="11"/>
      <c r="C29" s="263"/>
      <c r="D29" s="263"/>
      <c r="H29" s="126"/>
      <c r="I29" s="126"/>
      <c r="O29" s="11"/>
      <c r="P29" s="244" t="s">
        <v>480</v>
      </c>
      <c r="Q29" s="342">
        <f>IF(D4=0,0,(('Inputs&amp;PricesbyCrop'!E7*E4)+('Inputs&amp;PricesbyCrop'!E9*F4)+('Inputs&amp;PricesbyCrop'!E11*G4))*(D4*(3/6)))</f>
        <v>250</v>
      </c>
      <c r="R29" s="342"/>
      <c r="S29" s="126"/>
      <c r="T29" s="341"/>
      <c r="U29" s="341"/>
    </row>
    <row r="30" spans="1:21" s="2" customFormat="1" hidden="1">
      <c r="A30" s="11"/>
      <c r="C30" s="263"/>
      <c r="D30" s="263"/>
      <c r="H30" s="126"/>
      <c r="I30" s="126"/>
      <c r="O30" s="11"/>
      <c r="P30" s="11" t="s">
        <v>481</v>
      </c>
      <c r="Q30" s="471">
        <f>IF(D4=0,0,(('Inputs&amp;PricesbyCrop'!F7*E4)+('Inputs&amp;PricesbyCrop'!F9*F4)+('Inputs&amp;PricesbyCrop'!F11*G4))*(D4*(2/6)))</f>
        <v>166.66666666666669</v>
      </c>
      <c r="R30" s="342"/>
      <c r="S30" s="126"/>
      <c r="T30" s="514"/>
      <c r="U30" s="514"/>
    </row>
    <row r="31" spans="1:21" s="2" customFormat="1" hidden="1">
      <c r="A31" s="11"/>
      <c r="C31" s="263"/>
      <c r="D31" s="263"/>
      <c r="H31" s="126"/>
      <c r="I31" s="126"/>
      <c r="O31" s="11"/>
      <c r="P31" s="11" t="s">
        <v>7</v>
      </c>
      <c r="Q31" s="387">
        <f>SUM(Q11:R30)-Q25</f>
        <v>664.66666666666674</v>
      </c>
      <c r="R31" s="126"/>
      <c r="S31" s="126"/>
      <c r="T31" s="343"/>
      <c r="U31" s="343"/>
    </row>
    <row r="32" spans="1:21" s="2" customFormat="1">
      <c r="A32" s="11"/>
      <c r="C32" s="263"/>
      <c r="D32" s="263"/>
      <c r="H32" s="126"/>
      <c r="I32" s="126"/>
      <c r="O32" s="11"/>
      <c r="P32" s="11"/>
      <c r="Q32" s="126"/>
      <c r="R32" s="126"/>
      <c r="S32" s="126"/>
      <c r="T32" s="343"/>
      <c r="U32" s="343"/>
    </row>
    <row r="33" spans="1:21" s="2" customFormat="1">
      <c r="A33" s="11"/>
      <c r="H33" s="126"/>
      <c r="I33" s="126"/>
      <c r="O33" s="11"/>
      <c r="P33" s="11"/>
      <c r="T33" s="343"/>
      <c r="U33" s="343"/>
    </row>
    <row r="34" spans="1:21" s="2" customFormat="1">
      <c r="A34" s="11"/>
      <c r="H34" s="126"/>
      <c r="I34" s="126"/>
      <c r="O34" s="11"/>
      <c r="P34" s="11"/>
      <c r="T34" s="343"/>
      <c r="U34" s="343"/>
    </row>
    <row r="35" spans="1:21" s="2" customFormat="1">
      <c r="A35" s="11"/>
      <c r="H35" s="126"/>
      <c r="I35" s="126"/>
      <c r="O35" s="11"/>
      <c r="P35" s="11"/>
      <c r="T35" s="343"/>
      <c r="U35" s="343"/>
    </row>
    <row r="36" spans="1:21" s="2" customFormat="1">
      <c r="A36" s="11"/>
      <c r="H36" s="126"/>
      <c r="I36" s="126"/>
      <c r="O36" s="11"/>
      <c r="P36" s="11"/>
      <c r="T36" s="343"/>
      <c r="U36" s="343"/>
    </row>
    <row r="37" spans="1:21" s="2" customFormat="1">
      <c r="A37" s="11"/>
      <c r="H37" s="126"/>
      <c r="I37" s="126"/>
      <c r="O37" s="11"/>
      <c r="P37" s="11"/>
      <c r="T37" s="343"/>
      <c r="U37" s="343"/>
    </row>
    <row r="38" spans="1:21" s="2" customFormat="1">
      <c r="A38" s="11"/>
      <c r="H38" s="126"/>
      <c r="I38" s="126"/>
      <c r="O38" s="11"/>
      <c r="P38" s="11"/>
      <c r="T38" s="343"/>
      <c r="U38" s="343"/>
    </row>
    <row r="39" spans="1:21" s="2" customFormat="1">
      <c r="A39" s="11"/>
      <c r="H39" s="126"/>
      <c r="I39" s="126"/>
      <c r="O39" s="11"/>
      <c r="P39" s="11"/>
      <c r="T39" s="343"/>
      <c r="U39" s="343"/>
    </row>
    <row r="40" spans="1:21" s="2" customFormat="1">
      <c r="A40" s="11"/>
      <c r="H40" s="126"/>
      <c r="I40" s="126"/>
      <c r="O40" s="11"/>
      <c r="P40" s="11"/>
      <c r="T40" s="343"/>
      <c r="U40" s="343"/>
    </row>
    <row r="41" spans="1:21" s="2" customFormat="1">
      <c r="A41" s="11"/>
      <c r="H41" s="126"/>
      <c r="I41" s="126"/>
      <c r="O41" s="11"/>
      <c r="P41" s="11"/>
      <c r="T41" s="343"/>
      <c r="U41" s="343"/>
    </row>
    <row r="42" spans="1:21" s="2" customFormat="1">
      <c r="A42" s="11"/>
      <c r="H42" s="126"/>
      <c r="I42" s="126"/>
      <c r="O42" s="11"/>
      <c r="P42" s="11"/>
      <c r="T42" s="343"/>
      <c r="U42" s="343"/>
    </row>
    <row r="43" spans="1:21" s="2" customFormat="1">
      <c r="A43" s="11"/>
      <c r="H43" s="126"/>
      <c r="I43" s="126"/>
      <c r="O43" s="11"/>
      <c r="P43" s="11"/>
      <c r="T43" s="343"/>
      <c r="U43" s="343"/>
    </row>
    <row r="44" spans="1:21" s="2" customFormat="1">
      <c r="A44" s="11"/>
      <c r="H44" s="126"/>
      <c r="I44" s="126"/>
      <c r="O44" s="11"/>
      <c r="P44" s="11"/>
      <c r="T44" s="343"/>
      <c r="U44" s="343"/>
    </row>
    <row r="45" spans="1:21" s="2" customFormat="1">
      <c r="A45" s="11"/>
      <c r="H45" s="126"/>
      <c r="I45" s="126"/>
      <c r="O45" s="11"/>
      <c r="P45" s="11"/>
      <c r="T45" s="343"/>
      <c r="U45" s="343"/>
    </row>
    <row r="46" spans="1:21" s="2" customFormat="1">
      <c r="A46" s="11"/>
      <c r="H46" s="126"/>
      <c r="I46" s="126"/>
      <c r="O46" s="11"/>
      <c r="P46" s="11"/>
      <c r="T46" s="343"/>
      <c r="U46" s="343"/>
    </row>
    <row r="47" spans="1:21" s="2" customFormat="1">
      <c r="A47" s="11"/>
      <c r="H47" s="126"/>
      <c r="I47" s="126"/>
      <c r="O47" s="11"/>
      <c r="P47" s="11"/>
      <c r="T47" s="343"/>
      <c r="U47" s="343"/>
    </row>
    <row r="48" spans="1:21" s="2" customFormat="1">
      <c r="A48" s="11"/>
      <c r="H48" s="126"/>
      <c r="I48" s="126"/>
      <c r="O48" s="11"/>
      <c r="P48" s="11"/>
      <c r="T48" s="343"/>
      <c r="U48" s="343"/>
    </row>
    <row r="49" spans="1:21" s="2" customFormat="1">
      <c r="A49" s="11"/>
      <c r="H49" s="126"/>
      <c r="I49" s="126"/>
      <c r="O49" s="11"/>
      <c r="P49" s="11"/>
      <c r="T49" s="343"/>
      <c r="U49" s="343"/>
    </row>
    <row r="50" spans="1:21" s="2" customFormat="1">
      <c r="A50" s="11"/>
      <c r="H50" s="126"/>
      <c r="I50" s="126"/>
      <c r="O50" s="11"/>
      <c r="P50" s="11"/>
      <c r="T50" s="343"/>
      <c r="U50" s="343"/>
    </row>
    <row r="51" spans="1:21" s="2" customFormat="1">
      <c r="A51" s="11"/>
      <c r="H51" s="126"/>
      <c r="I51" s="126"/>
      <c r="O51" s="11"/>
      <c r="P51" s="11"/>
      <c r="T51" s="343"/>
      <c r="U51" s="343"/>
    </row>
    <row r="52" spans="1:21" s="2" customFormat="1">
      <c r="A52" s="11"/>
      <c r="H52" s="126"/>
      <c r="I52" s="126"/>
      <c r="O52" s="11"/>
      <c r="P52" s="11"/>
      <c r="T52" s="343"/>
      <c r="U52" s="343"/>
    </row>
    <row r="53" spans="1:21" s="2" customFormat="1">
      <c r="A53" s="11"/>
      <c r="H53" s="126"/>
      <c r="I53" s="126"/>
      <c r="O53" s="11"/>
      <c r="P53" s="11"/>
      <c r="T53" s="343"/>
      <c r="U53" s="343"/>
    </row>
    <row r="54" spans="1:21" s="2" customFormat="1">
      <c r="A54" s="11"/>
      <c r="H54" s="126"/>
      <c r="I54" s="126"/>
      <c r="O54" s="11"/>
      <c r="P54" s="11"/>
      <c r="T54" s="343"/>
      <c r="U54" s="343"/>
    </row>
    <row r="55" spans="1:21" s="2" customFormat="1">
      <c r="A55" s="11"/>
      <c r="H55" s="126"/>
      <c r="I55" s="126"/>
      <c r="O55" s="11"/>
      <c r="P55" s="11"/>
      <c r="T55" s="343"/>
      <c r="U55" s="343"/>
    </row>
    <row r="56" spans="1:21" s="2" customFormat="1">
      <c r="A56" s="11"/>
      <c r="H56" s="126"/>
      <c r="I56" s="126"/>
      <c r="O56" s="11"/>
      <c r="P56" s="11"/>
      <c r="T56" s="343"/>
      <c r="U56" s="343"/>
    </row>
    <row r="57" spans="1:21" s="2" customFormat="1">
      <c r="A57" s="11"/>
      <c r="H57" s="126"/>
      <c r="I57" s="126"/>
      <c r="O57" s="11"/>
      <c r="P57" s="11"/>
      <c r="T57" s="343"/>
      <c r="U57" s="343"/>
    </row>
    <row r="58" spans="1:21" s="2" customFormat="1">
      <c r="A58" s="11"/>
      <c r="H58" s="126"/>
      <c r="I58" s="126"/>
      <c r="O58" s="11"/>
      <c r="P58" s="11"/>
      <c r="T58" s="343"/>
      <c r="U58" s="343"/>
    </row>
    <row r="59" spans="1:21" s="2" customFormat="1">
      <c r="A59" s="11"/>
      <c r="H59" s="126"/>
      <c r="I59" s="126"/>
      <c r="O59" s="11"/>
      <c r="P59" s="11"/>
      <c r="T59" s="343"/>
      <c r="U59" s="343"/>
    </row>
    <row r="60" spans="1:21" s="2" customFormat="1">
      <c r="A60" s="11"/>
      <c r="H60" s="126"/>
      <c r="I60" s="126"/>
      <c r="O60" s="11"/>
      <c r="P60" s="11"/>
      <c r="T60" s="343"/>
      <c r="U60" s="343"/>
    </row>
    <row r="61" spans="1:21" s="2" customFormat="1">
      <c r="A61" s="11"/>
      <c r="H61" s="126"/>
      <c r="I61" s="126"/>
      <c r="O61" s="11"/>
      <c r="P61" s="11"/>
      <c r="T61" s="343"/>
      <c r="U61" s="343"/>
    </row>
    <row r="62" spans="1:21" s="2" customFormat="1">
      <c r="A62" s="11"/>
      <c r="H62" s="126"/>
      <c r="I62" s="126"/>
      <c r="O62" s="11"/>
      <c r="P62" s="11"/>
      <c r="T62" s="343"/>
      <c r="U62" s="343"/>
    </row>
    <row r="63" spans="1:21" s="2" customFormat="1">
      <c r="A63" s="11"/>
      <c r="H63" s="126"/>
      <c r="I63" s="126"/>
      <c r="O63" s="11"/>
      <c r="P63" s="11"/>
      <c r="T63" s="343"/>
      <c r="U63" s="343"/>
    </row>
    <row r="64" spans="1:21" s="2" customFormat="1">
      <c r="A64" s="11"/>
      <c r="H64" s="126"/>
      <c r="I64" s="126"/>
      <c r="O64" s="11"/>
      <c r="P64" s="11"/>
      <c r="T64" s="343"/>
      <c r="U64" s="343"/>
    </row>
    <row r="65" spans="1:21" s="2" customFormat="1">
      <c r="A65" s="11"/>
      <c r="H65" s="126"/>
      <c r="I65" s="126"/>
      <c r="O65" s="11"/>
      <c r="P65" s="11"/>
      <c r="T65" s="343"/>
      <c r="U65" s="343"/>
    </row>
    <row r="66" spans="1:21" s="2" customFormat="1">
      <c r="A66" s="11"/>
      <c r="H66" s="126"/>
      <c r="I66" s="126"/>
      <c r="O66" s="11"/>
      <c r="P66" s="11"/>
      <c r="T66" s="343"/>
      <c r="U66" s="343"/>
    </row>
    <row r="67" spans="1:21" s="2" customFormat="1">
      <c r="A67" s="11"/>
      <c r="H67" s="126"/>
      <c r="I67" s="126"/>
      <c r="O67" s="11"/>
      <c r="P67" s="11"/>
      <c r="T67" s="343"/>
      <c r="U67" s="343"/>
    </row>
    <row r="68" spans="1:21" s="2" customFormat="1">
      <c r="A68" s="11"/>
      <c r="H68" s="126"/>
      <c r="I68" s="126"/>
      <c r="O68" s="11"/>
      <c r="P68" s="11"/>
      <c r="T68" s="343"/>
      <c r="U68" s="343"/>
    </row>
    <row r="69" spans="1:21" s="2" customFormat="1">
      <c r="A69" s="11"/>
      <c r="H69" s="126"/>
      <c r="I69" s="126"/>
      <c r="O69" s="11"/>
      <c r="P69" s="11"/>
      <c r="T69" s="343"/>
      <c r="U69" s="343"/>
    </row>
    <row r="70" spans="1:21" s="2" customFormat="1">
      <c r="A70" s="11"/>
      <c r="H70" s="126"/>
      <c r="I70" s="126"/>
      <c r="O70" s="11"/>
      <c r="P70" s="11"/>
      <c r="T70" s="343"/>
      <c r="U70" s="343"/>
    </row>
    <row r="71" spans="1:21" s="2" customFormat="1">
      <c r="A71" s="11"/>
      <c r="H71" s="126"/>
      <c r="I71" s="126"/>
      <c r="O71" s="11"/>
      <c r="P71" s="11"/>
      <c r="T71" s="343"/>
      <c r="U71" s="343"/>
    </row>
    <row r="72" spans="1:21" s="2" customFormat="1">
      <c r="A72" s="11"/>
      <c r="H72" s="126"/>
      <c r="I72" s="126"/>
      <c r="O72" s="11"/>
      <c r="P72" s="11"/>
      <c r="T72" s="343"/>
      <c r="U72" s="343"/>
    </row>
    <row r="73" spans="1:21" s="2" customFormat="1">
      <c r="A73" s="11"/>
      <c r="H73" s="126"/>
      <c r="I73" s="126"/>
      <c r="O73" s="11"/>
      <c r="P73" s="11"/>
      <c r="T73" s="343"/>
      <c r="U73" s="343"/>
    </row>
    <row r="74" spans="1:21" s="2" customFormat="1">
      <c r="A74" s="11"/>
      <c r="H74" s="126"/>
      <c r="I74" s="126"/>
      <c r="O74" s="11"/>
      <c r="P74" s="11"/>
      <c r="T74" s="343"/>
      <c r="U74" s="343"/>
    </row>
    <row r="75" spans="1:21" s="2" customFormat="1">
      <c r="A75" s="11"/>
      <c r="H75" s="126"/>
      <c r="I75" s="126"/>
      <c r="O75" s="11"/>
      <c r="P75" s="11"/>
      <c r="T75" s="343"/>
      <c r="U75" s="343"/>
    </row>
    <row r="76" spans="1:21" s="2" customFormat="1">
      <c r="A76" s="11"/>
      <c r="H76" s="126"/>
      <c r="I76" s="126"/>
      <c r="O76" s="11"/>
      <c r="P76" s="11"/>
      <c r="T76" s="343"/>
      <c r="U76" s="343"/>
    </row>
    <row r="77" spans="1:21" s="2" customFormat="1">
      <c r="A77" s="11"/>
      <c r="H77" s="126"/>
      <c r="I77" s="126"/>
      <c r="O77" s="11"/>
      <c r="P77" s="11"/>
      <c r="T77" s="343"/>
      <c r="U77" s="343"/>
    </row>
    <row r="78" spans="1:21" s="2" customFormat="1">
      <c r="A78" s="11"/>
      <c r="H78" s="126"/>
      <c r="I78" s="126"/>
      <c r="O78" s="11"/>
      <c r="P78" s="11"/>
      <c r="T78" s="343"/>
      <c r="U78" s="343"/>
    </row>
    <row r="79" spans="1:21" s="2" customFormat="1">
      <c r="A79" s="11"/>
      <c r="H79" s="126"/>
      <c r="I79" s="126"/>
      <c r="O79" s="11"/>
      <c r="P79" s="11"/>
      <c r="T79" s="343"/>
      <c r="U79" s="343"/>
    </row>
    <row r="80" spans="1:21" s="2" customFormat="1">
      <c r="A80" s="11"/>
      <c r="H80" s="126"/>
      <c r="I80" s="126"/>
      <c r="O80" s="11"/>
      <c r="P80" s="11"/>
      <c r="T80" s="343"/>
      <c r="U80" s="343"/>
    </row>
    <row r="81" spans="1:21" s="2" customFormat="1">
      <c r="A81" s="11"/>
      <c r="H81" s="126"/>
      <c r="I81" s="126"/>
      <c r="O81" s="11"/>
      <c r="P81" s="11"/>
      <c r="T81" s="343"/>
      <c r="U81" s="343"/>
    </row>
    <row r="82" spans="1:21" s="2" customFormat="1">
      <c r="A82" s="11"/>
      <c r="H82" s="126"/>
      <c r="I82" s="126"/>
      <c r="O82" s="11"/>
      <c r="P82" s="11"/>
      <c r="T82" s="343"/>
      <c r="U82" s="343"/>
    </row>
    <row r="83" spans="1:21" s="2" customFormat="1">
      <c r="A83" s="11"/>
      <c r="H83" s="126"/>
      <c r="I83" s="126"/>
      <c r="O83" s="11"/>
      <c r="P83" s="11"/>
      <c r="T83" s="343"/>
      <c r="U83" s="343"/>
    </row>
    <row r="84" spans="1:21" s="2" customFormat="1">
      <c r="A84" s="11"/>
      <c r="H84" s="126"/>
      <c r="I84" s="126"/>
      <c r="O84" s="11"/>
      <c r="P84" s="11"/>
      <c r="T84" s="343"/>
      <c r="U84" s="343"/>
    </row>
    <row r="85" spans="1:21" s="2" customFormat="1">
      <c r="A85" s="11"/>
      <c r="H85" s="126"/>
      <c r="I85" s="126"/>
      <c r="O85" s="11"/>
      <c r="P85" s="11"/>
      <c r="T85" s="343"/>
      <c r="U85" s="343"/>
    </row>
    <row r="86" spans="1:21" s="2" customFormat="1">
      <c r="A86" s="11"/>
      <c r="H86" s="126"/>
      <c r="I86" s="126"/>
      <c r="O86" s="11"/>
      <c r="P86" s="11"/>
      <c r="T86" s="343"/>
      <c r="U86" s="343"/>
    </row>
    <row r="87" spans="1:21" s="2" customFormat="1">
      <c r="A87" s="11"/>
      <c r="H87" s="126"/>
      <c r="I87" s="126"/>
      <c r="O87" s="11"/>
      <c r="P87" s="11"/>
      <c r="T87" s="343"/>
      <c r="U87" s="343"/>
    </row>
    <row r="88" spans="1:21" s="2" customFormat="1">
      <c r="A88" s="11"/>
      <c r="H88" s="126"/>
      <c r="I88" s="126"/>
      <c r="O88" s="11"/>
      <c r="P88" s="11"/>
    </row>
    <row r="89" spans="1:21" s="2" customFormat="1" hidden="1">
      <c r="A89" s="11"/>
      <c r="D89" s="127" t="s">
        <v>10</v>
      </c>
      <c r="H89" s="126"/>
      <c r="I89" s="126"/>
      <c r="J89" s="2" t="s">
        <v>157</v>
      </c>
      <c r="O89" s="11"/>
    </row>
    <row r="90" spans="1:21" s="2" customFormat="1" hidden="1">
      <c r="A90" s="11"/>
      <c r="H90" s="126"/>
      <c r="I90" s="126"/>
      <c r="J90" s="2" t="s">
        <v>157</v>
      </c>
      <c r="O90" s="11"/>
    </row>
    <row r="91" spans="1:21" s="2" customFormat="1" hidden="1">
      <c r="A91" s="11"/>
      <c r="H91" s="126"/>
      <c r="I91" s="126"/>
      <c r="J91" s="2" t="s">
        <v>335</v>
      </c>
      <c r="O91" s="11"/>
    </row>
    <row r="92" spans="1:21" s="2" customFormat="1" hidden="1">
      <c r="A92" s="11"/>
      <c r="H92" s="388" t="s">
        <v>10</v>
      </c>
      <c r="I92" s="126"/>
      <c r="J92" s="2" t="s">
        <v>316</v>
      </c>
      <c r="O92" s="11"/>
    </row>
    <row r="93" spans="1:21" s="2" customFormat="1" hidden="1">
      <c r="A93" s="11"/>
      <c r="H93" s="388" t="s">
        <v>10</v>
      </c>
      <c r="I93" s="126"/>
      <c r="J93" s="2" t="s">
        <v>315</v>
      </c>
      <c r="O93" s="11"/>
      <c r="P93" s="11" t="str">
        <f t="shared" ref="P93:P135" si="3">J89</f>
        <v>acre</v>
      </c>
    </row>
    <row r="94" spans="1:21" s="2" customFormat="1" hidden="1">
      <c r="A94" s="11"/>
      <c r="H94" s="388" t="s">
        <v>10</v>
      </c>
      <c r="I94" s="126"/>
      <c r="J94" s="2" t="s">
        <v>299</v>
      </c>
      <c r="O94" s="11"/>
      <c r="P94" s="11" t="str">
        <f t="shared" si="3"/>
        <v>acre</v>
      </c>
    </row>
    <row r="95" spans="1:21" s="2" customFormat="1" hidden="1">
      <c r="A95" s="11"/>
      <c r="H95" s="388" t="s">
        <v>10</v>
      </c>
      <c r="I95" s="126"/>
      <c r="J95" s="2" t="s">
        <v>301</v>
      </c>
      <c r="O95" s="11"/>
      <c r="P95" s="11" t="str">
        <f t="shared" si="3"/>
        <v>annual</v>
      </c>
    </row>
    <row r="96" spans="1:21" s="2" customFormat="1" hidden="1">
      <c r="A96" s="11"/>
      <c r="H96" s="388" t="s">
        <v>10</v>
      </c>
      <c r="I96" s="126"/>
      <c r="J96" s="2" t="s">
        <v>317</v>
      </c>
      <c r="O96" s="11"/>
      <c r="P96" s="11" t="str">
        <f t="shared" si="3"/>
        <v>bag</v>
      </c>
    </row>
    <row r="97" spans="1:16" s="2" customFormat="1" hidden="1">
      <c r="A97" s="11"/>
      <c r="H97" s="388" t="s">
        <v>10</v>
      </c>
      <c r="I97" s="126"/>
      <c r="J97" s="2" t="s">
        <v>318</v>
      </c>
      <c r="O97" s="11"/>
      <c r="P97" s="11" t="str">
        <f t="shared" si="3"/>
        <v>bags</v>
      </c>
    </row>
    <row r="98" spans="1:16" s="2" customFormat="1" hidden="1">
      <c r="A98" s="11"/>
      <c r="H98" s="388" t="s">
        <v>10</v>
      </c>
      <c r="I98" s="126"/>
      <c r="J98" s="2" t="s">
        <v>296</v>
      </c>
      <c r="O98" s="11"/>
      <c r="P98" s="11" t="str">
        <f t="shared" si="3"/>
        <v>bale</v>
      </c>
    </row>
    <row r="99" spans="1:16" s="2" customFormat="1" hidden="1">
      <c r="A99" s="11"/>
      <c r="H99" s="388" t="s">
        <v>10</v>
      </c>
      <c r="I99" s="126"/>
      <c r="J99" s="2" t="s">
        <v>298</v>
      </c>
      <c r="O99" s="11"/>
      <c r="P99" s="11" t="str">
        <f t="shared" si="3"/>
        <v>bales</v>
      </c>
    </row>
    <row r="100" spans="1:16" s="2" customFormat="1" hidden="1">
      <c r="A100" s="11"/>
      <c r="H100" s="388" t="s">
        <v>10</v>
      </c>
      <c r="I100" s="126"/>
      <c r="J100" s="2" t="s">
        <v>251</v>
      </c>
      <c r="O100" s="11"/>
      <c r="P100" s="11" t="str">
        <f t="shared" si="3"/>
        <v>bin</v>
      </c>
    </row>
    <row r="101" spans="1:16" s="2" customFormat="1" hidden="1">
      <c r="A101" s="11"/>
      <c r="H101" s="388" t="s">
        <v>10</v>
      </c>
      <c r="I101" s="126"/>
      <c r="J101" s="2" t="s">
        <v>319</v>
      </c>
      <c r="O101" s="11"/>
      <c r="P101" s="11" t="str">
        <f t="shared" si="3"/>
        <v>bins</v>
      </c>
    </row>
    <row r="102" spans="1:16" s="2" customFormat="1" hidden="1">
      <c r="A102" s="11"/>
      <c r="H102" s="388" t="s">
        <v>10</v>
      </c>
      <c r="I102" s="126"/>
      <c r="J102" s="2" t="s">
        <v>320</v>
      </c>
      <c r="O102" s="11"/>
      <c r="P102" s="11" t="str">
        <f t="shared" si="3"/>
        <v>box</v>
      </c>
    </row>
    <row r="103" spans="1:16" s="2" customFormat="1" hidden="1">
      <c r="A103" s="11"/>
      <c r="H103" s="388" t="s">
        <v>10</v>
      </c>
      <c r="I103" s="126"/>
      <c r="J103" s="2" t="s">
        <v>321</v>
      </c>
      <c r="O103" s="11"/>
      <c r="P103" s="11" t="str">
        <f t="shared" si="3"/>
        <v>boxes</v>
      </c>
    </row>
    <row r="104" spans="1:16" s="2" customFormat="1" hidden="1">
      <c r="A104" s="11"/>
      <c r="H104" s="388" t="s">
        <v>10</v>
      </c>
      <c r="I104" s="126"/>
      <c r="J104" s="2" t="s">
        <v>322</v>
      </c>
      <c r="O104" s="11"/>
      <c r="P104" s="11" t="str">
        <f t="shared" si="3"/>
        <v>bushel</v>
      </c>
    </row>
    <row r="105" spans="1:16" s="2" customFormat="1" hidden="1">
      <c r="A105" s="11"/>
      <c r="H105" s="388" t="s">
        <v>10</v>
      </c>
      <c r="I105" s="126"/>
      <c r="J105" s="2" t="s">
        <v>323</v>
      </c>
      <c r="O105" s="11"/>
      <c r="P105" s="11" t="str">
        <f t="shared" si="3"/>
        <v>bushels</v>
      </c>
    </row>
    <row r="106" spans="1:16" s="2" customFormat="1" hidden="1">
      <c r="A106" s="11"/>
      <c r="H106" s="388" t="s">
        <v>10</v>
      </c>
      <c r="I106" s="126"/>
      <c r="J106" s="2" t="s">
        <v>312</v>
      </c>
      <c r="O106" s="11"/>
      <c r="P106" s="11" t="str">
        <f t="shared" si="3"/>
        <v>carton</v>
      </c>
    </row>
    <row r="107" spans="1:16" s="2" customFormat="1" hidden="1">
      <c r="A107" s="11"/>
      <c r="H107" s="388" t="s">
        <v>10</v>
      </c>
      <c r="I107" s="126"/>
      <c r="J107" s="2" t="s">
        <v>324</v>
      </c>
      <c r="O107" s="11"/>
      <c r="P107" s="11" t="str">
        <f t="shared" si="3"/>
        <v>cartons</v>
      </c>
    </row>
    <row r="108" spans="1:16" s="2" customFormat="1" hidden="1">
      <c r="A108" s="11"/>
      <c r="H108" s="388" t="s">
        <v>10</v>
      </c>
      <c r="I108" s="126"/>
      <c r="J108" s="2" t="s">
        <v>334</v>
      </c>
      <c r="O108" s="11"/>
      <c r="P108" s="11" t="str">
        <f t="shared" si="3"/>
        <v>case</v>
      </c>
    </row>
    <row r="109" spans="1:16" s="2" customFormat="1" hidden="1">
      <c r="A109" s="11"/>
      <c r="H109" s="126"/>
      <c r="I109" s="126"/>
      <c r="J109" s="2" t="s">
        <v>243</v>
      </c>
      <c r="O109" s="11"/>
      <c r="P109" s="11" t="str">
        <f t="shared" si="3"/>
        <v>cases</v>
      </c>
    </row>
    <row r="110" spans="1:16" s="2" customFormat="1" hidden="1">
      <c r="A110" s="11"/>
      <c r="H110" s="126"/>
      <c r="I110" s="126"/>
      <c r="J110" s="2" t="s">
        <v>311</v>
      </c>
      <c r="O110" s="11"/>
      <c r="P110" s="11" t="str">
        <f t="shared" si="3"/>
        <v>cwt</v>
      </c>
    </row>
    <row r="111" spans="1:16" s="2" customFormat="1" hidden="1">
      <c r="A111" s="11"/>
      <c r="H111" s="126"/>
      <c r="I111" s="126"/>
      <c r="J111" s="2" t="s">
        <v>309</v>
      </c>
      <c r="O111" s="11"/>
      <c r="P111" s="11" t="str">
        <f t="shared" si="3"/>
        <v>each</v>
      </c>
    </row>
    <row r="112" spans="1:16" s="2" customFormat="1" hidden="1">
      <c r="A112" s="11"/>
      <c r="H112" s="126"/>
      <c r="I112" s="126"/>
      <c r="J112" s="2" t="s">
        <v>310</v>
      </c>
      <c r="O112" s="11"/>
      <c r="P112" s="11" t="str">
        <f t="shared" si="3"/>
        <v>gross</v>
      </c>
    </row>
    <row r="113" spans="1:16" s="2" customFormat="1" hidden="1">
      <c r="A113" s="11"/>
      <c r="H113" s="126"/>
      <c r="I113" s="126"/>
      <c r="J113" s="2" t="s">
        <v>326</v>
      </c>
      <c r="O113" s="11"/>
      <c r="P113" s="11" t="str">
        <f t="shared" si="3"/>
        <v>hour</v>
      </c>
    </row>
    <row r="114" spans="1:16" s="2" customFormat="1" hidden="1">
      <c r="A114" s="11"/>
      <c r="H114" s="126"/>
      <c r="I114" s="126"/>
      <c r="J114" s="2" t="s">
        <v>325</v>
      </c>
      <c r="O114" s="11"/>
      <c r="P114" s="11" t="str">
        <f t="shared" si="3"/>
        <v>hours</v>
      </c>
    </row>
    <row r="115" spans="1:16" s="2" customFormat="1" hidden="1">
      <c r="A115" s="11"/>
      <c r="H115" s="126"/>
      <c r="I115" s="126"/>
      <c r="J115" s="2" t="s">
        <v>247</v>
      </c>
      <c r="O115" s="11"/>
      <c r="P115" s="11" t="str">
        <f t="shared" si="3"/>
        <v>kilogram</v>
      </c>
    </row>
    <row r="116" spans="1:16" s="2" customFormat="1" hidden="1">
      <c r="A116" s="11"/>
      <c r="H116" s="126"/>
      <c r="I116" s="126"/>
      <c r="J116" s="2" t="s">
        <v>336</v>
      </c>
      <c r="O116" s="11"/>
      <c r="P116" s="11" t="str">
        <f t="shared" si="3"/>
        <v>kilograms</v>
      </c>
    </row>
    <row r="117" spans="1:16" s="2" customFormat="1" hidden="1">
      <c r="A117" s="11"/>
      <c r="H117" s="126"/>
      <c r="I117" s="126"/>
      <c r="J117" s="2" t="s">
        <v>337</v>
      </c>
      <c r="O117" s="11"/>
      <c r="P117" s="11" t="str">
        <f t="shared" si="3"/>
        <v>linear feet</v>
      </c>
    </row>
    <row r="118" spans="1:16" s="2" customFormat="1" hidden="1">
      <c r="A118" s="11"/>
      <c r="H118" s="126"/>
      <c r="I118" s="126"/>
      <c r="J118" s="2" t="s">
        <v>250</v>
      </c>
      <c r="O118" s="11"/>
      <c r="P118" s="11" t="str">
        <f t="shared" si="3"/>
        <v>linear foot</v>
      </c>
    </row>
    <row r="119" spans="1:16" s="2" customFormat="1" hidden="1">
      <c r="A119" s="11"/>
      <c r="H119" s="126"/>
      <c r="I119" s="126"/>
      <c r="J119" s="2" t="s">
        <v>338</v>
      </c>
      <c r="O119" s="11"/>
      <c r="P119" s="11" t="str">
        <f t="shared" si="3"/>
        <v>mile</v>
      </c>
    </row>
    <row r="120" spans="1:16" s="2" customFormat="1" hidden="1">
      <c r="A120" s="11"/>
      <c r="H120" s="126"/>
      <c r="I120" s="126"/>
      <c r="J120" s="2" t="s">
        <v>152</v>
      </c>
      <c r="O120" s="11"/>
      <c r="P120" s="11" t="str">
        <f t="shared" si="3"/>
        <v>miles</v>
      </c>
    </row>
    <row r="121" spans="1:16" s="2" customFormat="1" hidden="1">
      <c r="A121" s="11"/>
      <c r="H121" s="126"/>
      <c r="I121" s="126"/>
      <c r="J121" s="2" t="s">
        <v>339</v>
      </c>
      <c r="O121" s="11"/>
      <c r="P121" s="11" t="str">
        <f t="shared" si="3"/>
        <v>month</v>
      </c>
    </row>
    <row r="122" spans="1:16" s="2" customFormat="1" hidden="1">
      <c r="A122" s="11"/>
      <c r="H122" s="126"/>
      <c r="I122" s="126"/>
      <c r="J122" s="2" t="s">
        <v>340</v>
      </c>
      <c r="O122" s="11"/>
      <c r="P122" s="11" t="str">
        <f t="shared" si="3"/>
        <v>months</v>
      </c>
    </row>
    <row r="123" spans="1:16" s="2" customFormat="1" hidden="1">
      <c r="A123" s="11"/>
      <c r="H123" s="126"/>
      <c r="I123" s="126"/>
      <c r="J123" s="2" t="s">
        <v>327</v>
      </c>
      <c r="O123" s="11"/>
      <c r="P123" s="11" t="str">
        <f t="shared" si="3"/>
        <v>other</v>
      </c>
    </row>
    <row r="124" spans="1:16" s="2" customFormat="1" hidden="1">
      <c r="A124" s="11"/>
      <c r="H124" s="126"/>
      <c r="I124" s="126"/>
      <c r="J124" s="2" t="s">
        <v>328</v>
      </c>
      <c r="O124" s="11"/>
      <c r="P124" s="11" t="str">
        <f t="shared" si="3"/>
        <v>percent</v>
      </c>
    </row>
    <row r="125" spans="1:16" s="2" customFormat="1" hidden="1">
      <c r="A125" s="11"/>
      <c r="H125" s="126"/>
      <c r="I125" s="126"/>
      <c r="J125" s="2" t="s">
        <v>244</v>
      </c>
      <c r="O125" s="11"/>
      <c r="P125" s="11" t="str">
        <f t="shared" si="3"/>
        <v>piece</v>
      </c>
    </row>
    <row r="126" spans="1:16" s="2" customFormat="1" hidden="1">
      <c r="A126" s="11"/>
      <c r="H126" s="126"/>
      <c r="I126" s="126"/>
      <c r="J126" s="2" t="s">
        <v>300</v>
      </c>
      <c r="O126" s="11"/>
      <c r="P126" s="11" t="str">
        <f t="shared" si="3"/>
        <v>pieces</v>
      </c>
    </row>
    <row r="127" spans="1:16" s="2" customFormat="1" hidden="1">
      <c r="A127" s="11"/>
      <c r="H127" s="126"/>
      <c r="I127" s="126"/>
      <c r="J127" s="2" t="s">
        <v>342</v>
      </c>
      <c r="O127" s="11"/>
      <c r="P127" s="11" t="str">
        <f t="shared" si="3"/>
        <v>plant</v>
      </c>
    </row>
    <row r="128" spans="1:16" s="2" customFormat="1" hidden="1">
      <c r="A128" s="11"/>
      <c r="H128" s="126"/>
      <c r="I128" s="126"/>
      <c r="J128" s="2" t="s">
        <v>343</v>
      </c>
      <c r="O128" s="11"/>
      <c r="P128" s="11" t="str">
        <f t="shared" si="3"/>
        <v>plants</v>
      </c>
    </row>
    <row r="129" spans="1:16" s="2" customFormat="1" hidden="1">
      <c r="A129" s="11"/>
      <c r="H129" s="126"/>
      <c r="I129" s="126"/>
      <c r="J129" s="2" t="s">
        <v>329</v>
      </c>
      <c r="O129" s="11"/>
      <c r="P129" s="11" t="str">
        <f t="shared" si="3"/>
        <v>pound</v>
      </c>
    </row>
    <row r="130" spans="1:16" s="2" customFormat="1" hidden="1">
      <c r="A130" s="11"/>
      <c r="H130" s="126"/>
      <c r="I130" s="126"/>
      <c r="J130" s="2" t="s">
        <v>330</v>
      </c>
      <c r="O130" s="11"/>
      <c r="P130" s="11" t="str">
        <f t="shared" si="3"/>
        <v>pounds</v>
      </c>
    </row>
    <row r="131" spans="1:16" s="2" customFormat="1" hidden="1">
      <c r="A131" s="11"/>
      <c r="H131" s="126"/>
      <c r="I131" s="126"/>
      <c r="J131" s="2" t="s">
        <v>331</v>
      </c>
      <c r="O131" s="11"/>
      <c r="P131" s="11" t="str">
        <f t="shared" si="3"/>
        <v>round bale</v>
      </c>
    </row>
    <row r="132" spans="1:16" s="2" customFormat="1" hidden="1">
      <c r="A132" s="11"/>
      <c r="H132" s="126"/>
      <c r="I132" s="126"/>
      <c r="J132" s="2" t="s">
        <v>332</v>
      </c>
      <c r="O132" s="11"/>
      <c r="P132" s="11" t="str">
        <f t="shared" si="3"/>
        <v>round bales</v>
      </c>
    </row>
    <row r="133" spans="1:16" s="2" customFormat="1" hidden="1">
      <c r="A133" s="11"/>
      <c r="H133" s="126"/>
      <c r="I133" s="126"/>
      <c r="J133" s="2" t="s">
        <v>341</v>
      </c>
      <c r="O133" s="11"/>
      <c r="P133" s="11" t="str">
        <f t="shared" si="3"/>
        <v>row</v>
      </c>
    </row>
    <row r="134" spans="1:16" s="2" customFormat="1" hidden="1">
      <c r="A134" s="11"/>
      <c r="H134" s="126"/>
      <c r="I134" s="126"/>
      <c r="J134" s="2" t="s">
        <v>313</v>
      </c>
      <c r="O134" s="11"/>
      <c r="P134" s="11" t="str">
        <f t="shared" si="3"/>
        <v>rows</v>
      </c>
    </row>
    <row r="135" spans="1:16" s="2" customFormat="1" hidden="1">
      <c r="A135" s="11"/>
      <c r="H135" s="126"/>
      <c r="I135" s="126"/>
      <c r="J135" s="2" t="s">
        <v>314</v>
      </c>
      <c r="O135" s="11"/>
      <c r="P135" s="11" t="str">
        <f t="shared" si="3"/>
        <v>sack</v>
      </c>
    </row>
    <row r="136" spans="1:16" s="2" customFormat="1" hidden="1">
      <c r="A136" s="11"/>
      <c r="H136" s="126"/>
      <c r="I136" s="126"/>
      <c r="J136" s="2" t="s">
        <v>252</v>
      </c>
      <c r="O136" s="11"/>
      <c r="P136" s="11" t="str">
        <f t="shared" ref="P136:P141" si="4">J132</f>
        <v>sacks</v>
      </c>
    </row>
    <row r="137" spans="1:16" s="2" customFormat="1" hidden="1">
      <c r="A137" s="11"/>
      <c r="H137" s="126"/>
      <c r="I137" s="126"/>
      <c r="J137" s="2" t="s">
        <v>333</v>
      </c>
      <c r="O137" s="11"/>
      <c r="P137" s="11" t="str">
        <f t="shared" si="4"/>
        <v>sq ft</v>
      </c>
    </row>
    <row r="138" spans="1:16" s="2" customFormat="1" hidden="1">
      <c r="A138" s="11"/>
      <c r="H138" s="126"/>
      <c r="I138" s="126"/>
      <c r="O138" s="11"/>
      <c r="P138" s="11" t="str">
        <f t="shared" si="4"/>
        <v>square bale</v>
      </c>
    </row>
    <row r="139" spans="1:16" s="2" customFormat="1" hidden="1">
      <c r="A139" s="11"/>
      <c r="H139" s="126"/>
      <c r="I139" s="126"/>
      <c r="O139" s="11"/>
      <c r="P139" s="11" t="str">
        <f t="shared" si="4"/>
        <v>square bales</v>
      </c>
    </row>
    <row r="140" spans="1:16" s="2" customFormat="1" hidden="1">
      <c r="A140" s="11"/>
      <c r="H140" s="126"/>
      <c r="I140" s="126"/>
      <c r="O140" s="11"/>
      <c r="P140" s="11" t="str">
        <f t="shared" si="4"/>
        <v>ton</v>
      </c>
    </row>
    <row r="141" spans="1:16" s="2" customFormat="1" hidden="1">
      <c r="A141" s="11"/>
      <c r="H141" s="126"/>
      <c r="I141" s="126"/>
      <c r="O141" s="11"/>
      <c r="P141" s="11" t="str">
        <f t="shared" si="4"/>
        <v>tonnes</v>
      </c>
    </row>
    <row r="142" spans="1:16" s="2" customFormat="1">
      <c r="A142" s="11"/>
      <c r="C142" s="127" t="s">
        <v>10</v>
      </c>
      <c r="H142" s="126"/>
      <c r="I142" s="126"/>
      <c r="O142" s="11"/>
      <c r="P142" s="11"/>
    </row>
    <row r="143" spans="1:16" s="2" customFormat="1">
      <c r="A143" s="11"/>
      <c r="H143" s="126"/>
      <c r="I143" s="126"/>
      <c r="O143" s="11"/>
      <c r="P143" s="11"/>
    </row>
    <row r="144" spans="1:16" s="2" customFormat="1">
      <c r="A144" s="11"/>
      <c r="H144" s="126"/>
      <c r="I144" s="126"/>
      <c r="O144" s="11"/>
      <c r="P144" s="11"/>
    </row>
    <row r="145" spans="1:16" s="2" customFormat="1">
      <c r="A145" s="11"/>
      <c r="H145" s="126"/>
      <c r="I145" s="126"/>
      <c r="O145" s="11"/>
      <c r="P145" s="11"/>
    </row>
    <row r="146" spans="1:16" s="2" customFormat="1">
      <c r="A146" s="11"/>
      <c r="H146" s="126"/>
      <c r="I146" s="126"/>
      <c r="O146" s="11"/>
      <c r="P146" s="11"/>
    </row>
    <row r="147" spans="1:16" s="2" customFormat="1">
      <c r="A147" s="11"/>
      <c r="H147" s="126"/>
      <c r="I147" s="126"/>
      <c r="O147" s="11"/>
      <c r="P147" s="11"/>
    </row>
    <row r="148" spans="1:16" s="2" customFormat="1">
      <c r="A148" s="11"/>
      <c r="H148" s="126"/>
      <c r="I148" s="126"/>
      <c r="O148" s="11"/>
      <c r="P148" s="11"/>
    </row>
    <row r="149" spans="1:16" s="2" customFormat="1">
      <c r="A149" s="11"/>
      <c r="H149" s="126"/>
      <c r="I149" s="126"/>
      <c r="O149" s="11"/>
      <c r="P149" s="11"/>
    </row>
    <row r="150" spans="1:16" s="2" customFormat="1">
      <c r="A150" s="11"/>
      <c r="H150" s="126"/>
      <c r="I150" s="126"/>
      <c r="O150" s="11"/>
      <c r="P150" s="11"/>
    </row>
    <row r="151" spans="1:16" s="2" customFormat="1">
      <c r="A151" s="11"/>
      <c r="H151" s="126"/>
      <c r="I151" s="126"/>
      <c r="O151" s="11"/>
      <c r="P151" s="11"/>
    </row>
    <row r="152" spans="1:16" s="2" customFormat="1">
      <c r="A152" s="11"/>
      <c r="H152" s="126"/>
      <c r="I152" s="126"/>
      <c r="O152" s="11"/>
      <c r="P152" s="11"/>
    </row>
    <row r="153" spans="1:16" s="2" customFormat="1">
      <c r="A153" s="11"/>
      <c r="H153" s="126"/>
      <c r="I153" s="126"/>
      <c r="O153" s="11"/>
      <c r="P153" s="11"/>
    </row>
    <row r="154" spans="1:16" s="2" customFormat="1">
      <c r="A154" s="11"/>
      <c r="H154" s="126"/>
      <c r="I154" s="126"/>
      <c r="O154" s="11"/>
      <c r="P154" s="11"/>
    </row>
    <row r="155" spans="1:16" s="2" customFormat="1">
      <c r="A155" s="11"/>
      <c r="H155" s="126"/>
      <c r="I155" s="126"/>
      <c r="O155" s="11"/>
      <c r="P155" s="11"/>
    </row>
    <row r="156" spans="1:16" s="2" customFormat="1">
      <c r="A156" s="11"/>
      <c r="H156" s="126"/>
      <c r="I156" s="126"/>
      <c r="O156" s="11"/>
      <c r="P156" s="11"/>
    </row>
    <row r="157" spans="1:16" s="2" customFormat="1">
      <c r="A157" s="11"/>
      <c r="H157" s="126"/>
      <c r="I157" s="126"/>
      <c r="O157" s="11"/>
      <c r="P157" s="11"/>
    </row>
    <row r="158" spans="1:16" s="2" customFormat="1">
      <c r="A158" s="11"/>
      <c r="H158" s="126"/>
      <c r="I158" s="126"/>
      <c r="O158" s="11"/>
      <c r="P158" s="11"/>
    </row>
    <row r="159" spans="1:16" s="2" customFormat="1">
      <c r="A159" s="11"/>
      <c r="H159" s="126"/>
      <c r="I159" s="126"/>
      <c r="O159" s="11"/>
      <c r="P159" s="11"/>
    </row>
    <row r="160" spans="1:16" s="2" customFormat="1">
      <c r="A160" s="11"/>
      <c r="H160" s="126"/>
      <c r="I160" s="126"/>
      <c r="O160" s="11"/>
      <c r="P160" s="244"/>
    </row>
    <row r="161" spans="1:15" s="2" customFormat="1">
      <c r="A161" s="11"/>
      <c r="H161" s="126"/>
      <c r="I161" s="126"/>
      <c r="O161" s="11"/>
    </row>
    <row r="162" spans="1:15" s="2" customFormat="1">
      <c r="A162" s="11"/>
      <c r="H162" s="126"/>
      <c r="I162" s="126"/>
      <c r="O162" s="11"/>
    </row>
    <row r="163" spans="1:15" s="2" customFormat="1">
      <c r="A163" s="11"/>
      <c r="H163" s="126"/>
      <c r="I163" s="126"/>
      <c r="O163" s="11"/>
    </row>
    <row r="164" spans="1:15" s="2" customFormat="1">
      <c r="A164" s="11"/>
      <c r="H164" s="126"/>
      <c r="I164" s="126"/>
      <c r="O164" s="11"/>
    </row>
    <row r="165" spans="1:15" s="2" customFormat="1">
      <c r="A165" s="11"/>
      <c r="H165" s="126"/>
      <c r="I165" s="126"/>
      <c r="O165" s="11"/>
    </row>
    <row r="166" spans="1:15" s="2" customFormat="1">
      <c r="A166" s="11"/>
      <c r="H166" s="126"/>
      <c r="I166" s="126"/>
      <c r="O166" s="11"/>
    </row>
    <row r="167" spans="1:15" s="2" customFormat="1">
      <c r="A167" s="11"/>
      <c r="H167" s="126"/>
      <c r="I167" s="126"/>
      <c r="O167" s="11"/>
    </row>
    <row r="168" spans="1:15" s="2" customFormat="1">
      <c r="A168" s="11"/>
      <c r="H168" s="126"/>
      <c r="I168" s="126"/>
      <c r="O168" s="11"/>
    </row>
  </sheetData>
  <sheetProtection algorithmName="SHA-512" hashValue="PWxswXzA1Mh3m7susGTYNCSk/G18sX/jb3eLcLrc/xRTW8IeYUAsPBO2Zjf5k9ynlVguBZ/2uimLrppmUc3f4Q==" saltValue="4eGTF4AO2z/jd7N2Bs9ymg==" spinCount="100000" sheet="1" objects="1" scenarios="1"/>
  <mergeCells count="66">
    <mergeCell ref="J18:K18"/>
    <mergeCell ref="J19:K19"/>
    <mergeCell ref="J20:K20"/>
    <mergeCell ref="J21:K21"/>
    <mergeCell ref="J22:K22"/>
    <mergeCell ref="B2:C2"/>
    <mergeCell ref="J12:K12"/>
    <mergeCell ref="J13:K13"/>
    <mergeCell ref="J14:K14"/>
    <mergeCell ref="J15:K15"/>
    <mergeCell ref="J6:K6"/>
    <mergeCell ref="J4:K4"/>
    <mergeCell ref="J5:K5"/>
    <mergeCell ref="E2:G2"/>
    <mergeCell ref="J2:N2"/>
    <mergeCell ref="J16:K16"/>
    <mergeCell ref="J17:K17"/>
    <mergeCell ref="J7:K7"/>
    <mergeCell ref="J8:K8"/>
    <mergeCell ref="J9:K9"/>
    <mergeCell ref="J10:K10"/>
    <mergeCell ref="J11:K11"/>
    <mergeCell ref="P2:U2"/>
    <mergeCell ref="Q3:Q4"/>
    <mergeCell ref="R3:R4"/>
    <mergeCell ref="T8:U9"/>
    <mergeCell ref="Q11:R11"/>
    <mergeCell ref="T10:U10"/>
    <mergeCell ref="T11:U11"/>
    <mergeCell ref="Q12:R12"/>
    <mergeCell ref="Q13:R13"/>
    <mergeCell ref="Q14:R14"/>
    <mergeCell ref="Q10:R10"/>
    <mergeCell ref="Q8:S9"/>
    <mergeCell ref="Q15:R15"/>
    <mergeCell ref="Q16:R16"/>
    <mergeCell ref="Q17:R17"/>
    <mergeCell ref="Q18:R18"/>
    <mergeCell ref="Q19:R19"/>
    <mergeCell ref="T12:U12"/>
    <mergeCell ref="T13:U13"/>
    <mergeCell ref="T14:U14"/>
    <mergeCell ref="Q26:R26"/>
    <mergeCell ref="Q27:R27"/>
    <mergeCell ref="T15:U15"/>
    <mergeCell ref="T16:U16"/>
    <mergeCell ref="T17:U17"/>
    <mergeCell ref="T18:U18"/>
    <mergeCell ref="T19:U19"/>
    <mergeCell ref="T20:U20"/>
    <mergeCell ref="T21:U21"/>
    <mergeCell ref="T22:U22"/>
    <mergeCell ref="T23:U23"/>
    <mergeCell ref="Q20:R20"/>
    <mergeCell ref="Q21:R21"/>
    <mergeCell ref="D24:H25"/>
    <mergeCell ref="D22:H23"/>
    <mergeCell ref="C24:C25"/>
    <mergeCell ref="C22:C23"/>
    <mergeCell ref="T30:U30"/>
    <mergeCell ref="T24:U24"/>
    <mergeCell ref="Q25:R25"/>
    <mergeCell ref="T25:U25"/>
    <mergeCell ref="Q24:R24"/>
    <mergeCell ref="Q22:R22"/>
    <mergeCell ref="Q23:R23"/>
  </mergeCells>
  <pageMargins left="0.7" right="0.7" top="0.75" bottom="0.75" header="0.3" footer="0.3"/>
  <pageSetup scale="23" orientation="landscape" horizontalDpi="0" verticalDpi="0"/>
  <ignoredErrors>
    <ignoredError sqref="S10 R30:S30 R28 R29 S24 S23 S22 S21 R16 S15 S14 S13 S12 T25:U25 T12:U12 T13:U13 T14:U14 T15:U15 T16:U16 T17:U17 T18:U18 T19:U19 T20:U20 T21:U21 T22:U22 T23:U23 T24:U24 U10 T11:U11 T10 S25 R5 R10 Q10 Q11:R15 Q17:R25 Q16 Q26:Q30 U26 C20 C24 C22" unlockedFormula="1"/>
    <ignoredError sqref="E21:F21" formulaRange="1"/>
  </ignoredErrors>
  <drawing r:id="rId1"/>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6947C-10C8-7043-8977-6A04AAB3E636}">
  <dimension ref="B4:C26"/>
  <sheetViews>
    <sheetView topLeftCell="C34" zoomScale="150" zoomScaleNormal="150" workbookViewId="0">
      <selection activeCell="A6" sqref="A6"/>
    </sheetView>
  </sheetViews>
  <sheetFormatPr defaultColWidth="11.44140625" defaultRowHeight="14.4"/>
  <sheetData>
    <row r="4" spans="2:3">
      <c r="B4" t="s">
        <v>71</v>
      </c>
      <c r="C4" t="s">
        <v>468</v>
      </c>
    </row>
    <row r="5" spans="2:3">
      <c r="B5" t="str">
        <f>'AcresYieldsPrices&amp;Water'!B9</f>
        <v>Irr. Water Reduction: Set-aside</v>
      </c>
      <c r="C5" s="337" t="e">
        <f>Fallow!J112</f>
        <v>#DIV/0!</v>
      </c>
    </row>
    <row r="6" spans="2:3">
      <c r="B6" t="str">
        <f>'AcresYieldsPrices&amp;Water'!B20&amp;"*"</f>
        <v>Alfalfa Hay Prod.*</v>
      </c>
      <c r="C6" s="337">
        <f>AlfalfaHayProd!J116</f>
        <v>0</v>
      </c>
    </row>
    <row r="7" spans="2:3">
      <c r="B7" t="str">
        <f>'AcresYieldsPrices&amp;Water'!B10</f>
        <v>Cotton</v>
      </c>
      <c r="C7" s="337">
        <f>Cotton!J120</f>
        <v>0</v>
      </c>
    </row>
    <row r="8" spans="2:3">
      <c r="B8" t="str">
        <f>'AcresYieldsPrices&amp;Water'!B14</f>
        <v>Durum Wheat</v>
      </c>
      <c r="C8" s="337">
        <f>'Sheet #13'!J113</f>
        <v>0</v>
      </c>
    </row>
    <row r="9" spans="2:3">
      <c r="B9" t="str">
        <f>'AcresYieldsPrices&amp;Water'!B13</f>
        <v>Spring Barley</v>
      </c>
      <c r="C9" s="337">
        <f>'Sheet #12'!J113</f>
        <v>0</v>
      </c>
    </row>
    <row r="10" spans="2:3">
      <c r="B10" t="s">
        <v>470</v>
      </c>
      <c r="C10" s="337">
        <f>'Sheet #10'!J113</f>
        <v>0</v>
      </c>
    </row>
    <row r="12" spans="2:3">
      <c r="B12" t="s">
        <v>71</v>
      </c>
      <c r="C12" t="s">
        <v>17</v>
      </c>
    </row>
    <row r="13" spans="2:3">
      <c r="B13" t="str">
        <f t="shared" ref="B13:B18" si="0">B5</f>
        <v>Irr. Water Reduction: Set-aside</v>
      </c>
      <c r="C13" s="338">
        <f>'AcresYieldsPrices&amp;Water'!D9</f>
        <v>0</v>
      </c>
    </row>
    <row r="14" spans="2:3">
      <c r="B14" t="str">
        <f t="shared" si="0"/>
        <v>Alfalfa Hay Prod.*</v>
      </c>
      <c r="C14" s="338">
        <f>'AcresYieldsPrices&amp;Water'!D19+'AcresYieldsPrices&amp;Water'!D20</f>
        <v>0</v>
      </c>
    </row>
    <row r="15" spans="2:3">
      <c r="B15" t="str">
        <f t="shared" si="0"/>
        <v>Cotton</v>
      </c>
      <c r="C15" s="338">
        <f>'AcresYieldsPrices&amp;Water'!D10</f>
        <v>0</v>
      </c>
    </row>
    <row r="16" spans="2:3">
      <c r="B16" t="str">
        <f t="shared" si="0"/>
        <v>Durum Wheat</v>
      </c>
      <c r="C16" s="338">
        <f>'AcresYieldsPrices&amp;Water'!D14</f>
        <v>0</v>
      </c>
    </row>
    <row r="17" spans="2:3">
      <c r="B17" t="str">
        <f t="shared" si="0"/>
        <v>Spring Barley</v>
      </c>
      <c r="C17" s="338">
        <f>'AcresYieldsPrices&amp;Water'!D13</f>
        <v>0</v>
      </c>
    </row>
    <row r="18" spans="2:3">
      <c r="B18" t="str">
        <f t="shared" si="0"/>
        <v>Silage Corn*</v>
      </c>
      <c r="C18" s="338">
        <f>'AcresYieldsPrices&amp;Water'!D11</f>
        <v>0</v>
      </c>
    </row>
    <row r="20" spans="2:3">
      <c r="B20" t="s">
        <v>71</v>
      </c>
      <c r="C20" t="s">
        <v>469</v>
      </c>
    </row>
    <row r="21" spans="2:3">
      <c r="B21" t="str">
        <f>B5</f>
        <v>Irr. Water Reduction: Set-aside</v>
      </c>
      <c r="C21" s="339" t="s">
        <v>415</v>
      </c>
    </row>
    <row r="22" spans="2:3">
      <c r="B22" t="str">
        <f>B6</f>
        <v>Alfalfa Hay Prod.*</v>
      </c>
      <c r="C22" s="340">
        <v>0.151</v>
      </c>
    </row>
    <row r="23" spans="2:3">
      <c r="B23" t="str">
        <f>B7</f>
        <v>Cotton</v>
      </c>
      <c r="C23" s="340">
        <v>0.11550000000000001</v>
      </c>
    </row>
    <row r="24" spans="2:3">
      <c r="B24" t="str">
        <f>B8</f>
        <v>Durum Wheat</v>
      </c>
      <c r="C24" s="340">
        <v>8.6999999999999994E-2</v>
      </c>
    </row>
    <row r="25" spans="2:3">
      <c r="B25" s="75" t="s">
        <v>471</v>
      </c>
      <c r="C25" s="340">
        <v>8.5800000000000001E-2</v>
      </c>
    </row>
    <row r="26" spans="2:3">
      <c r="B26" s="75" t="s">
        <v>472</v>
      </c>
      <c r="C26" s="340">
        <v>0.09</v>
      </c>
    </row>
  </sheetData>
  <sheetProtection algorithmName="SHA-512" hashValue="j7Bg/KvDRzFuatA8arZrRQJSfR7xBBkx2ZRnjPCVurwo/C0Nx4bYBlaCzFO4KGAoiPYU/sCB35AS4nKAlYBtQQ==" saltValue="55xYec1u5bF6eVoYhzwP6g==" spinCount="100000" sheet="1" objects="1" scenarios="1"/>
  <pageMargins left="0.7" right="0.7" top="0.75" bottom="0.75" header="0.3" footer="0.3"/>
  <pageSetup orientation="portrait" horizontalDpi="0" verticalDpi="0"/>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28CF-8F67-7D46-9D87-6F06D5185797}">
  <sheetPr codeName="Sheet3">
    <pageSetUpPr fitToPage="1"/>
  </sheetPr>
  <dimension ref="A1:AW210"/>
  <sheetViews>
    <sheetView topLeftCell="B8" zoomScale="110" zoomScaleNormal="110" workbookViewId="0">
      <selection activeCell="B19" sqref="B19"/>
    </sheetView>
  </sheetViews>
  <sheetFormatPr defaultColWidth="11.44140625" defaultRowHeight="14.4"/>
  <cols>
    <col min="1" max="1" width="3.6640625" customWidth="1"/>
    <col min="2" max="2" width="64.44140625" customWidth="1"/>
    <col min="3" max="3" width="27" customWidth="1"/>
    <col min="4" max="4" width="18.44140625" customWidth="1"/>
    <col min="5" max="5" width="6.109375" customWidth="1"/>
  </cols>
  <sheetData>
    <row r="1" spans="1:49" ht="21">
      <c r="A1" s="2"/>
      <c r="B1" s="11"/>
      <c r="C1" s="11"/>
      <c r="D1" s="1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21" customHeight="1">
      <c r="A2" s="2"/>
      <c r="B2" s="522" t="s">
        <v>208</v>
      </c>
      <c r="C2" s="522"/>
      <c r="D2" s="71" t="s">
        <v>24</v>
      </c>
      <c r="E2" s="2"/>
      <c r="F2" s="263"/>
      <c r="G2" s="26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ht="21" customHeight="1">
      <c r="A3" s="2"/>
      <c r="B3" s="11" t="s">
        <v>236</v>
      </c>
      <c r="C3" s="241" t="s">
        <v>300</v>
      </c>
      <c r="D3" s="239">
        <v>3</v>
      </c>
      <c r="E3" s="2"/>
      <c r="F3" s="263"/>
      <c r="G3" s="263"/>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ht="21" customHeight="1">
      <c r="A4" s="2"/>
      <c r="B4" s="243" t="s">
        <v>273</v>
      </c>
      <c r="C4" s="263"/>
      <c r="D4" s="263"/>
      <c r="E4" s="2"/>
      <c r="F4" s="263"/>
      <c r="G4" s="263"/>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ht="21" customHeight="1">
      <c r="A5" s="2"/>
      <c r="B5" s="313" t="s">
        <v>190</v>
      </c>
      <c r="C5" s="241" t="s">
        <v>300</v>
      </c>
      <c r="D5" s="239">
        <v>0.46</v>
      </c>
      <c r="E5" s="2"/>
      <c r="F5" s="263"/>
      <c r="G5" s="263"/>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row>
    <row r="6" spans="1:49" ht="20.399999999999999">
      <c r="A6" s="2"/>
      <c r="B6" s="313" t="s">
        <v>191</v>
      </c>
      <c r="C6" s="241" t="s">
        <v>300</v>
      </c>
      <c r="D6" s="239">
        <v>0.36</v>
      </c>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49" ht="20.399999999999999">
      <c r="A7" s="2"/>
      <c r="B7" s="257" t="s">
        <v>237</v>
      </c>
      <c r="C7" s="241" t="s">
        <v>300</v>
      </c>
      <c r="D7" s="239">
        <f>0.21</f>
        <v>0.21</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49" ht="20.399999999999999">
      <c r="A8" s="2"/>
      <c r="B8" s="313" t="s">
        <v>238</v>
      </c>
      <c r="C8" s="241" t="s">
        <v>300</v>
      </c>
      <c r="D8" s="239">
        <f>0.24</f>
        <v>0.24</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row>
    <row r="9" spans="1:49" ht="21">
      <c r="A9" s="2"/>
      <c r="B9" s="243" t="s">
        <v>274</v>
      </c>
      <c r="C9" s="263"/>
      <c r="D9" s="263"/>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row>
    <row r="10" spans="1:49" ht="20.399999999999999">
      <c r="A10" s="2"/>
      <c r="B10" s="314" t="s">
        <v>192</v>
      </c>
      <c r="C10" s="241" t="s">
        <v>344</v>
      </c>
      <c r="D10" s="239">
        <f>(48.5/8)</f>
        <v>6.0625</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49" ht="20.399999999999999">
      <c r="A11" s="2"/>
      <c r="B11" s="314" t="s">
        <v>193</v>
      </c>
      <c r="C11" s="241" t="s">
        <v>345</v>
      </c>
      <c r="D11" s="239">
        <f>(190/32)</f>
        <v>5.9375</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49" ht="20.399999999999999">
      <c r="A12" s="2"/>
      <c r="B12" s="314" t="s">
        <v>194</v>
      </c>
      <c r="C12" s="241" t="s">
        <v>345</v>
      </c>
      <c r="D12" s="239">
        <f>(160/128)</f>
        <v>1.25</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49" ht="21">
      <c r="A13" s="2"/>
      <c r="B13" s="391" t="s">
        <v>113</v>
      </c>
      <c r="C13" s="392" t="s">
        <v>234</v>
      </c>
      <c r="D13" s="393">
        <f>55*1</f>
        <v>55</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49" ht="21">
      <c r="A14" s="2"/>
      <c r="B14" s="394" t="s">
        <v>512</v>
      </c>
      <c r="C14" s="395"/>
      <c r="D14" s="396"/>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49" ht="21">
      <c r="A15" s="2"/>
      <c r="B15" s="394" t="str">
        <f>'AcresYieldsPrices&amp;Water'!E3</f>
        <v>Flood</v>
      </c>
      <c r="C15" s="392" t="s">
        <v>2</v>
      </c>
      <c r="D15" s="442">
        <v>0.8</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49" ht="21">
      <c r="A16" s="2"/>
      <c r="B16" s="391" t="s">
        <v>544</v>
      </c>
      <c r="C16" s="397" t="s">
        <v>157</v>
      </c>
      <c r="D16" s="398">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ht="21">
      <c r="A17" s="2"/>
      <c r="B17" s="391" t="s">
        <v>513</v>
      </c>
      <c r="C17" s="397" t="s">
        <v>514</v>
      </c>
      <c r="D17" s="441">
        <v>0</v>
      </c>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ht="21">
      <c r="A18" s="2"/>
      <c r="B18" s="399" t="s">
        <v>543</v>
      </c>
      <c r="C18" s="400" t="s">
        <v>157</v>
      </c>
      <c r="D18" s="401">
        <v>3</v>
      </c>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ht="21">
      <c r="A19" s="2"/>
      <c r="B19" s="394" t="str">
        <f>'AcresYieldsPrices&amp;Water'!F3</f>
        <v>Drip-tape</v>
      </c>
      <c r="C19" s="392" t="s">
        <v>2</v>
      </c>
      <c r="D19" s="442">
        <v>0.95</v>
      </c>
      <c r="E19" s="2"/>
      <c r="F19" s="127" t="s">
        <v>10</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ht="21">
      <c r="A20" s="2"/>
      <c r="B20" s="391" t="s">
        <v>544</v>
      </c>
      <c r="C20" s="397" t="s">
        <v>157</v>
      </c>
      <c r="D20" s="398">
        <v>500</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ht="21">
      <c r="A21" s="2"/>
      <c r="B21" s="391" t="s">
        <v>513</v>
      </c>
      <c r="C21" s="397" t="s">
        <v>514</v>
      </c>
      <c r="D21" s="441">
        <v>3</v>
      </c>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ht="21">
      <c r="A22" s="2"/>
      <c r="B22" s="399" t="s">
        <v>543</v>
      </c>
      <c r="C22" s="400" t="s">
        <v>157</v>
      </c>
      <c r="D22" s="401">
        <v>7.5</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ht="21">
      <c r="A23" s="2"/>
      <c r="B23" s="394" t="str">
        <f>'AcresYieldsPrices&amp;Water'!G3</f>
        <v>Sprinkler</v>
      </c>
      <c r="C23" s="392" t="s">
        <v>2</v>
      </c>
      <c r="D23" s="442">
        <v>0.9</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ht="21">
      <c r="A24" s="2"/>
      <c r="B24" s="391" t="s">
        <v>544</v>
      </c>
      <c r="C24" s="397" t="s">
        <v>157</v>
      </c>
      <c r="D24" s="398">
        <v>800</v>
      </c>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ht="21">
      <c r="A25" s="2"/>
      <c r="B25" s="391" t="s">
        <v>513</v>
      </c>
      <c r="C25" s="397" t="s">
        <v>514</v>
      </c>
      <c r="D25" s="441">
        <v>10</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ht="21">
      <c r="A26" s="2"/>
      <c r="B26" s="399" t="s">
        <v>543</v>
      </c>
      <c r="C26" s="400" t="s">
        <v>157</v>
      </c>
      <c r="D26" s="401">
        <v>15</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ht="21" customHeight="1">
      <c r="A27" s="2"/>
      <c r="B27" s="219" t="s">
        <v>66</v>
      </c>
      <c r="C27" s="17" t="s">
        <v>249</v>
      </c>
      <c r="D27" s="247">
        <f>4</f>
        <v>4</v>
      </c>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ht="21">
      <c r="A28" s="2"/>
      <c r="B28" s="219" t="s">
        <v>67</v>
      </c>
      <c r="C28" s="17" t="s">
        <v>243</v>
      </c>
      <c r="D28" s="245">
        <f>14.55</f>
        <v>14.55</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ht="21" customHeight="1">
      <c r="A29" s="2"/>
      <c r="B29" s="219" t="s">
        <v>68</v>
      </c>
      <c r="C29" s="246" t="s">
        <v>243</v>
      </c>
      <c r="D29" s="245">
        <f>17.89</f>
        <v>17.89</v>
      </c>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ht="21" customHeight="1">
      <c r="A30" s="2"/>
      <c r="B30" s="219" t="s">
        <v>302</v>
      </c>
      <c r="C30" s="246" t="s">
        <v>243</v>
      </c>
      <c r="D30" s="245">
        <f>14.55</f>
        <v>14.55</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ht="21" customHeight="1">
      <c r="A31" s="2"/>
      <c r="B31" s="219" t="s">
        <v>303</v>
      </c>
      <c r="C31" s="246" t="s">
        <v>243</v>
      </c>
      <c r="D31" s="245">
        <f>14.55</f>
        <v>14.55</v>
      </c>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ht="21" customHeight="1">
      <c r="A32" s="2"/>
      <c r="B32" s="219" t="s">
        <v>304</v>
      </c>
      <c r="C32" s="246" t="s">
        <v>243</v>
      </c>
      <c r="D32" s="245">
        <f>17.89</f>
        <v>17.89</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ht="21">
      <c r="A33" s="2"/>
      <c r="B33" s="219" t="s">
        <v>486</v>
      </c>
      <c r="C33" s="246" t="s">
        <v>248</v>
      </c>
      <c r="D33" s="440">
        <v>3</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ht="21">
      <c r="A34" s="2"/>
      <c r="B34" s="219" t="s">
        <v>59</v>
      </c>
      <c r="C34" s="17" t="s">
        <v>152</v>
      </c>
      <c r="D34" s="248">
        <v>0.05</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ht="21">
      <c r="A35" s="2"/>
      <c r="B35" s="219" t="s">
        <v>440</v>
      </c>
      <c r="C35" s="17" t="s">
        <v>152</v>
      </c>
      <c r="D35" s="248">
        <v>0.06</v>
      </c>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ht="21">
      <c r="A36" s="2"/>
      <c r="B36" s="28" t="s">
        <v>127</v>
      </c>
      <c r="C36" s="17" t="s">
        <v>152</v>
      </c>
      <c r="D36" s="248">
        <v>0.06</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ht="21">
      <c r="A37" s="2"/>
      <c r="B37" s="28" t="s">
        <v>136</v>
      </c>
      <c r="C37" s="17" t="s">
        <v>152</v>
      </c>
      <c r="D37" s="248">
        <v>0.03</v>
      </c>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ht="21">
      <c r="A38" s="2"/>
      <c r="B38" s="11" t="s">
        <v>530</v>
      </c>
      <c r="C38" s="17" t="s">
        <v>250</v>
      </c>
      <c r="D38" s="240">
        <v>6</v>
      </c>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ht="21">
      <c r="A39" s="2"/>
      <c r="B39" s="108" t="s">
        <v>69</v>
      </c>
      <c r="C39" s="308" t="s">
        <v>250</v>
      </c>
      <c r="D39" s="242">
        <v>6</v>
      </c>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ht="21.9"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ht="20.100000000000001" hidden="1"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hidden="1">
      <c r="A42" s="2"/>
      <c r="B42" s="2"/>
      <c r="C42" s="2" t="s">
        <v>157</v>
      </c>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ht="21" hidden="1" customHeight="1">
      <c r="A43" s="2"/>
      <c r="B43" s="2"/>
      <c r="C43" s="2" t="s">
        <v>157</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hidden="1">
      <c r="A44" s="2"/>
      <c r="B44" s="2"/>
      <c r="C44" s="2" t="s">
        <v>335</v>
      </c>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hidden="1">
      <c r="A45" s="2"/>
      <c r="B45" s="2"/>
      <c r="C45" s="2" t="s">
        <v>316</v>
      </c>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hidden="1">
      <c r="A46" s="2"/>
      <c r="B46" s="2"/>
      <c r="C46" s="2" t="s">
        <v>315</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hidden="1">
      <c r="A47" s="2"/>
      <c r="B47" s="2"/>
      <c r="C47" s="2" t="s">
        <v>299</v>
      </c>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hidden="1">
      <c r="A48" s="2"/>
      <c r="B48" s="2"/>
      <c r="C48" s="2" t="s">
        <v>301</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hidden="1">
      <c r="A49" s="2"/>
      <c r="B49" s="2"/>
      <c r="C49" s="2" t="s">
        <v>317</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hidden="1">
      <c r="A50" s="2"/>
      <c r="B50" s="2"/>
      <c r="C50" s="2" t="s">
        <v>318</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hidden="1">
      <c r="A51" s="2"/>
      <c r="B51" s="2"/>
      <c r="C51" s="2" t="s">
        <v>296</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hidden="1">
      <c r="A52" s="2"/>
      <c r="B52" s="2"/>
      <c r="C52" s="2" t="s">
        <v>298</v>
      </c>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hidden="1">
      <c r="A53" s="2"/>
      <c r="B53" s="2"/>
      <c r="C53" s="2" t="s">
        <v>251</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row>
    <row r="54" spans="1:49" hidden="1">
      <c r="A54" s="2"/>
      <c r="B54" s="2"/>
      <c r="C54" s="2" t="s">
        <v>319</v>
      </c>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row>
    <row r="55" spans="1:49" hidden="1">
      <c r="A55" s="2"/>
      <c r="B55" s="2"/>
      <c r="C55" s="2" t="s">
        <v>320</v>
      </c>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row>
    <row r="56" spans="1:49" hidden="1">
      <c r="A56" s="2"/>
      <c r="B56" s="2"/>
      <c r="C56" s="2" t="s">
        <v>321</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row>
    <row r="57" spans="1:49" hidden="1">
      <c r="A57" s="2"/>
      <c r="B57" s="2"/>
      <c r="C57" s="2" t="s">
        <v>322</v>
      </c>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idden="1">
      <c r="A58" s="2"/>
      <c r="B58" s="2"/>
      <c r="C58" s="2" t="s">
        <v>323</v>
      </c>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idden="1">
      <c r="A59" s="2"/>
      <c r="B59" s="2"/>
      <c r="C59" s="2" t="s">
        <v>312</v>
      </c>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0" spans="1:49" hidden="1">
      <c r="A60" s="2"/>
      <c r="B60" s="2"/>
      <c r="C60" s="2" t="s">
        <v>324</v>
      </c>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49" hidden="1">
      <c r="A61" s="2"/>
      <c r="B61" s="2"/>
      <c r="C61" s="2" t="s">
        <v>334</v>
      </c>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49" hidden="1">
      <c r="A62" s="2"/>
      <c r="B62" s="2"/>
      <c r="C62" s="2" t="s">
        <v>243</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49" ht="21" hidden="1">
      <c r="A63" s="2"/>
      <c r="B63" s="11"/>
      <c r="C63" s="2" t="s">
        <v>311</v>
      </c>
      <c r="D63" s="1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49" ht="21" hidden="1">
      <c r="A64" s="2"/>
      <c r="B64" s="11"/>
      <c r="C64" s="2" t="s">
        <v>309</v>
      </c>
      <c r="D64" s="1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49" ht="21" hidden="1">
      <c r="A65" s="2"/>
      <c r="B65" s="11"/>
      <c r="C65" s="2" t="s">
        <v>310</v>
      </c>
      <c r="D65" s="1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49" ht="21" hidden="1">
      <c r="A66" s="2"/>
      <c r="B66" s="11"/>
      <c r="C66" s="2" t="s">
        <v>326</v>
      </c>
      <c r="D66" s="1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49" ht="21" hidden="1">
      <c r="A67" s="2"/>
      <c r="B67" s="11"/>
      <c r="C67" s="2" t="s">
        <v>325</v>
      </c>
      <c r="D67" s="1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49" ht="21" hidden="1">
      <c r="A68" s="2"/>
      <c r="B68" s="11"/>
      <c r="C68" s="2" t="s">
        <v>247</v>
      </c>
      <c r="D68" s="11"/>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49" ht="21" hidden="1">
      <c r="A69" s="2"/>
      <c r="B69" s="11"/>
      <c r="C69" s="2" t="s">
        <v>336</v>
      </c>
      <c r="D69" s="11"/>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49" ht="21" hidden="1">
      <c r="A70" s="2"/>
      <c r="B70" s="11"/>
      <c r="C70" s="2" t="s">
        <v>337</v>
      </c>
      <c r="D70" s="11"/>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49" ht="21" hidden="1">
      <c r="A71" s="2"/>
      <c r="B71" s="11"/>
      <c r="C71" s="2" t="s">
        <v>250</v>
      </c>
      <c r="D71" s="11"/>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49" ht="21" hidden="1">
      <c r="A72" s="2"/>
      <c r="B72" s="11"/>
      <c r="C72" s="2" t="s">
        <v>338</v>
      </c>
      <c r="D72" s="1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49" ht="21" hidden="1">
      <c r="A73" s="2"/>
      <c r="B73" s="11"/>
      <c r="C73" s="2" t="s">
        <v>152</v>
      </c>
      <c r="D73" s="1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row>
    <row r="74" spans="1:49" ht="21" hidden="1">
      <c r="A74" s="2"/>
      <c r="B74" s="11"/>
      <c r="C74" s="2" t="s">
        <v>339</v>
      </c>
      <c r="D74" s="11"/>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row>
    <row r="75" spans="1:49" ht="21" hidden="1">
      <c r="A75" s="2"/>
      <c r="B75" s="11"/>
      <c r="C75" s="2" t="s">
        <v>340</v>
      </c>
      <c r="D75" s="11"/>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row>
    <row r="76" spans="1:49" ht="21" hidden="1">
      <c r="A76" s="2"/>
      <c r="B76" s="11"/>
      <c r="C76" s="2" t="s">
        <v>327</v>
      </c>
      <c r="D76" s="11"/>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1:49" ht="21" hidden="1">
      <c r="A77" s="2"/>
      <c r="B77" s="11"/>
      <c r="C77" s="2" t="s">
        <v>328</v>
      </c>
      <c r="D77" s="11"/>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row>
    <row r="78" spans="1:49" ht="21" hidden="1">
      <c r="A78" s="2"/>
      <c r="B78" s="11"/>
      <c r="C78" s="2" t="s">
        <v>244</v>
      </c>
      <c r="D78" s="11"/>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row>
    <row r="79" spans="1:49" ht="21" hidden="1">
      <c r="A79" s="2"/>
      <c r="B79" s="11"/>
      <c r="C79" s="2" t="s">
        <v>300</v>
      </c>
      <c r="D79" s="11"/>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row>
    <row r="80" spans="1:49" ht="21" hidden="1">
      <c r="A80" s="2"/>
      <c r="B80" s="11"/>
      <c r="C80" s="2" t="s">
        <v>342</v>
      </c>
      <c r="D80" s="11"/>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row>
    <row r="81" spans="1:49" ht="21" hidden="1">
      <c r="A81" s="2"/>
      <c r="B81" s="11"/>
      <c r="C81" s="2" t="s">
        <v>343</v>
      </c>
      <c r="D81" s="11"/>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row>
    <row r="82" spans="1:49" ht="21" hidden="1">
      <c r="A82" s="2"/>
      <c r="B82" s="11"/>
      <c r="C82" s="2" t="s">
        <v>329</v>
      </c>
      <c r="D82" s="11"/>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row>
    <row r="83" spans="1:49" ht="21" hidden="1">
      <c r="A83" s="2"/>
      <c r="B83" s="11"/>
      <c r="C83" s="2" t="s">
        <v>330</v>
      </c>
      <c r="D83" s="11"/>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ht="21" hidden="1">
      <c r="A84" s="2"/>
      <c r="B84" s="11"/>
      <c r="C84" s="2" t="s">
        <v>331</v>
      </c>
      <c r="D84" s="11"/>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ht="21" hidden="1">
      <c r="A85" s="2"/>
      <c r="B85" s="11"/>
      <c r="C85" s="2" t="s">
        <v>332</v>
      </c>
      <c r="D85" s="11"/>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ht="21" hidden="1">
      <c r="A86" s="2"/>
      <c r="B86" s="11"/>
      <c r="C86" s="2" t="s">
        <v>341</v>
      </c>
      <c r="D86" s="11"/>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ht="21" hidden="1">
      <c r="A87" s="2"/>
      <c r="B87" s="11"/>
      <c r="C87" s="2" t="s">
        <v>313</v>
      </c>
      <c r="D87" s="11"/>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ht="21" hidden="1">
      <c r="A88" s="2"/>
      <c r="B88" s="11"/>
      <c r="C88" s="2" t="s">
        <v>314</v>
      </c>
      <c r="D88" s="11"/>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ht="21" hidden="1">
      <c r="A89" s="2"/>
      <c r="B89" s="11"/>
      <c r="C89" s="2" t="s">
        <v>252</v>
      </c>
      <c r="D89" s="11"/>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ht="21" hidden="1">
      <c r="A90" s="2"/>
      <c r="B90" s="11"/>
      <c r="C90" s="2" t="s">
        <v>333</v>
      </c>
      <c r="D90" s="11"/>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ht="21" hidden="1">
      <c r="A91" s="2"/>
      <c r="B91" s="11"/>
      <c r="C91" s="11" t="s">
        <v>245</v>
      </c>
      <c r="D91" s="11"/>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ht="21" hidden="1">
      <c r="A92" s="2"/>
      <c r="B92" s="11"/>
      <c r="C92" s="11" t="s">
        <v>344</v>
      </c>
      <c r="D92" s="11"/>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ht="21" hidden="1">
      <c r="A93" s="2"/>
      <c r="B93" s="11"/>
      <c r="C93" s="11" t="s">
        <v>246</v>
      </c>
      <c r="D93" s="11"/>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ht="21" hidden="1">
      <c r="A94" s="2"/>
      <c r="B94" s="11"/>
      <c r="C94" s="11" t="s">
        <v>345</v>
      </c>
      <c r="D94" s="11"/>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ht="21" hidden="1">
      <c r="A95" s="2"/>
      <c r="B95" s="11"/>
      <c r="C95" s="11"/>
      <c r="D95" s="11"/>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ht="21" hidden="1">
      <c r="B96" s="11"/>
      <c r="C96" s="11"/>
      <c r="D96" s="11"/>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2:49" ht="21" hidden="1">
      <c r="B97" s="11"/>
      <c r="C97" s="11"/>
      <c r="D97" s="11"/>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2:49" hidden="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2:49" hidden="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2:49" hidden="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2:49" hidden="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2:49" hidden="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2:49" hidden="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2:49" hidden="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2:49" hidden="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2:49" hidden="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2:49" hidden="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2:49" hidden="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2:49" hidden="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2:49" hidden="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2:49" hidden="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2:49" hidden="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2:49" hidden="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2:49" hidden="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2:49" hidden="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2:49" hidden="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2:49" hidden="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2:49" hidden="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2:49" hidden="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2:49" hidden="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2:49" hidden="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2:49" hidden="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2:49" hidden="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2:49" hidden="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2:49" hidden="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2:49" hidden="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2:49" hidden="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2:49" hidden="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2:49" hidden="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2:49" hidden="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2:49" hidden="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2:49" hidden="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2:49" hidden="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2:49" hidden="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2:49" hidden="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2:49" hidden="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2:49" hidden="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2:49" hidden="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2:49" hidden="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2:49" hidden="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2:49" hidden="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2:49" hidden="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2:49" hidden="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2:49" hidden="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2:49" hidden="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2:49" hidden="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2:49" hidden="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2:49" hidden="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2:49" hidden="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2:49" hidden="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2:49" hidden="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2:49" hidden="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2:49" hidden="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2:49" hidden="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2:49" hidden="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2:49" hidden="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2:49" hidden="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2:49" hidden="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2:49" hidden="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2:49" hidden="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2:49" hidden="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2:49" hidden="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2:49" hidden="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2:49" hidden="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2:49" hidden="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2:49" hidden="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2:49" hidden="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2:49" hidden="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2:49" hidden="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2:49" hidden="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2:49" hidden="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2:49" hidden="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2:49" hidden="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2:49" hidden="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2:49" hidden="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2:49" hidden="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2:49" hidden="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2:49" hidden="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2:49" hidden="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2:49" hidden="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2:49" hidden="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2:49" hidden="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2:49" hidden="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2:49" hidden="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2:49" hidden="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2:49" hidden="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2:49" hidden="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2:49" hidden="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2:49" hidden="1">
      <c r="B189" s="2"/>
      <c r="C189" s="2"/>
      <c r="D189" s="2"/>
    </row>
    <row r="190" spans="2:49" hidden="1"/>
    <row r="191" spans="2:49" hidden="1"/>
    <row r="192" spans="2:49" hidden="1"/>
    <row r="193" hidden="1"/>
    <row r="194" hidden="1"/>
    <row r="195" hidden="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sheetData>
  <sheetProtection algorithmName="SHA-512" hashValue="5L4eEsTAtdwWRe1cs8tKg+jNd8WY1QSPIn96NePmHKurv8YB1wSv0nJ4uD3AgSzr0WYTEbMElJg0ycYVxnEp5A==" saltValue="adJssXaUWE5PqNDlxAeqWg==" spinCount="100000" sheet="1" objects="1" scenarios="1"/>
  <mergeCells count="1">
    <mergeCell ref="B2:C2"/>
  </mergeCells>
  <pageMargins left="0.7" right="0.7" top="0.75" bottom="0.75" header="0.3" footer="0.3"/>
  <pageSetup scale="13" fitToHeight="2" orientation="portrait" horizontalDpi="360" verticalDpi="360" r:id="rId1"/>
  <ignoredErrors>
    <ignoredError sqref="D7:D13 D27:D28 D30:D32" unlockedFormula="1"/>
    <ignoredError sqref="D29" formula="1" unlockedFormula="1"/>
  </ignoredError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6CEEA-833F-B948-98A5-95B96FF50DB6}">
  <sheetPr codeName="Sheet4">
    <pageSetUpPr fitToPage="1"/>
  </sheetPr>
  <dimension ref="B1:X179"/>
  <sheetViews>
    <sheetView zoomScale="108" zoomScaleNormal="110" workbookViewId="0">
      <pane xSplit="3" ySplit="3" topLeftCell="O4" activePane="bottomRight" state="frozen"/>
      <selection pane="topRight" activeCell="D1" sqref="D1"/>
      <selection pane="bottomLeft" activeCell="A4" sqref="A4"/>
      <selection pane="bottomRight" activeCell="P2" sqref="P2:P3"/>
    </sheetView>
  </sheetViews>
  <sheetFormatPr defaultColWidth="11.44140625" defaultRowHeight="14.4"/>
  <cols>
    <col min="1" max="1" width="3.33203125" style="653" customWidth="1"/>
    <col min="2" max="2" width="60.44140625" style="653" customWidth="1"/>
    <col min="3" max="3" width="13.88671875" style="653" bestFit="1" customWidth="1"/>
    <col min="4" max="7" width="10.88671875" style="653" customWidth="1"/>
    <col min="8" max="8" width="12.33203125" style="653" customWidth="1"/>
    <col min="9" max="10" width="11.88671875" style="653" customWidth="1"/>
    <col min="11" max="11" width="13" style="653" customWidth="1"/>
    <col min="12" max="12" width="13.88671875" style="653" customWidth="1"/>
    <col min="13" max="20" width="10.88671875" style="653" customWidth="1"/>
    <col min="21" max="21" width="13.44140625" style="653" customWidth="1"/>
    <col min="22" max="22" width="14" style="653" customWidth="1"/>
    <col min="23" max="16384" width="11.44140625" style="653"/>
  </cols>
  <sheetData>
    <row r="1" spans="2:23">
      <c r="B1" s="685"/>
      <c r="C1" s="611"/>
      <c r="D1" s="611"/>
      <c r="Q1" s="611"/>
      <c r="R1" s="611"/>
      <c r="S1" s="611"/>
      <c r="T1" s="611"/>
    </row>
    <row r="2" spans="2:23" ht="21" customHeight="1">
      <c r="C2" s="686"/>
      <c r="D2" s="687" t="str">
        <f>TillageOperations!C2</f>
        <v>Guayule Estab.</v>
      </c>
      <c r="E2" s="688" t="str">
        <f>TillageOperations!D2</f>
        <v>Guayule Grow</v>
      </c>
      <c r="F2" s="688" t="str">
        <f>TillageOperations!E2</f>
        <v>Guayule Harvest</v>
      </c>
      <c r="G2" s="688" t="str">
        <f>TillageOperations!F2</f>
        <v>Guar</v>
      </c>
      <c r="H2" s="688" t="str">
        <f>TillageOperations!G2</f>
        <v>Hemp for CBD Oil</v>
      </c>
      <c r="I2" s="688" t="str">
        <f>TillageOperations!H2</f>
        <v>Hemp for Grain</v>
      </c>
      <c r="J2" s="688" t="str">
        <f>TillageOperations!I2</f>
        <v>Hemp for Fiber</v>
      </c>
      <c r="K2" s="688" t="str">
        <f>TillageOperations!J2</f>
        <v>Irr. Water Reduction: Set-aside</v>
      </c>
      <c r="L2" s="689" t="str">
        <f>TillageOperations!K2</f>
        <v>Cotton</v>
      </c>
      <c r="M2" s="689" t="str">
        <f>TillageOperations!L2</f>
        <v>Corn Silage</v>
      </c>
      <c r="N2" s="689" t="str">
        <f>TillageOperations!M2</f>
        <v>Sorghum</v>
      </c>
      <c r="O2" s="689" t="str">
        <f>TillageOperations!N2</f>
        <v>Spring Barley</v>
      </c>
      <c r="P2" s="689" t="str">
        <f>TillageOperations!O2</f>
        <v>Durum Wheat</v>
      </c>
      <c r="Q2" s="690" t="str">
        <f>TillageOperations!P2</f>
        <v>Alt Crop #1</v>
      </c>
      <c r="R2" s="690" t="str">
        <f>TillageOperations!Q2</f>
        <v>Alt Crop #2</v>
      </c>
      <c r="S2" s="690" t="str">
        <f>TillageOperations!R2</f>
        <v>Alt Crop #3</v>
      </c>
      <c r="T2" s="690" t="str">
        <f>TillageOperations!S2</f>
        <v>Alt Crop #4</v>
      </c>
      <c r="U2" s="688" t="str">
        <f>TillageOperations!T2</f>
        <v>Alfalfa Hay Estab.</v>
      </c>
      <c r="V2" s="688" t="str">
        <f>TillageOperations!U2</f>
        <v>Alfalfa Hay Prod.</v>
      </c>
    </row>
    <row r="3" spans="2:23" ht="21" customHeight="1">
      <c r="B3" s="691" t="s">
        <v>209</v>
      </c>
      <c r="C3" s="692"/>
      <c r="D3" s="693"/>
      <c r="E3" s="694"/>
      <c r="F3" s="694"/>
      <c r="G3" s="694"/>
      <c r="H3" s="694"/>
      <c r="I3" s="694"/>
      <c r="J3" s="694"/>
      <c r="K3" s="694"/>
      <c r="L3" s="695"/>
      <c r="M3" s="695"/>
      <c r="N3" s="695"/>
      <c r="O3" s="695"/>
      <c r="P3" s="695"/>
      <c r="Q3" s="696"/>
      <c r="R3" s="696"/>
      <c r="S3" s="696"/>
      <c r="T3" s="696"/>
      <c r="U3" s="694"/>
      <c r="V3" s="694"/>
    </row>
    <row r="4" spans="2:23" ht="21" customHeight="1">
      <c r="B4" s="697"/>
      <c r="C4" s="698" t="s">
        <v>1</v>
      </c>
      <c r="D4" s="699" t="s">
        <v>205</v>
      </c>
      <c r="E4" s="699"/>
      <c r="F4" s="699"/>
      <c r="G4" s="699"/>
      <c r="H4" s="699"/>
      <c r="I4" s="699"/>
      <c r="J4" s="699"/>
      <c r="K4" s="699"/>
      <c r="L4" s="699"/>
      <c r="M4" s="699"/>
      <c r="N4" s="699"/>
      <c r="O4" s="699"/>
      <c r="P4" s="699"/>
      <c r="Q4" s="699"/>
      <c r="R4" s="699"/>
      <c r="S4" s="699"/>
      <c r="T4" s="699"/>
      <c r="U4" s="699"/>
      <c r="V4" s="699"/>
    </row>
    <row r="5" spans="2:23" ht="21" customHeight="1">
      <c r="B5" s="700" t="s">
        <v>206</v>
      </c>
      <c r="D5" s="159">
        <v>75.2</v>
      </c>
      <c r="E5" s="310">
        <v>0</v>
      </c>
      <c r="F5" s="310">
        <v>0</v>
      </c>
      <c r="G5" s="159">
        <v>0.34</v>
      </c>
      <c r="H5" s="159">
        <v>0.25</v>
      </c>
      <c r="I5" s="310">
        <f>1.67</f>
        <v>1.67</v>
      </c>
      <c r="J5" s="159">
        <f>1.67</f>
        <v>1.67</v>
      </c>
      <c r="K5" s="159">
        <v>0</v>
      </c>
      <c r="L5" s="310">
        <v>110</v>
      </c>
      <c r="M5" s="159">
        <v>50</v>
      </c>
      <c r="N5" s="159">
        <v>1.04</v>
      </c>
      <c r="O5" s="310">
        <v>0.39</v>
      </c>
      <c r="P5" s="159">
        <v>0.39</v>
      </c>
      <c r="Q5" s="310">
        <v>0</v>
      </c>
      <c r="R5" s="159">
        <v>0</v>
      </c>
      <c r="S5" s="310">
        <v>0</v>
      </c>
      <c r="T5" s="159">
        <v>0</v>
      </c>
      <c r="U5" s="310">
        <v>140</v>
      </c>
      <c r="V5" s="159">
        <v>0</v>
      </c>
      <c r="W5" s="701" t="s">
        <v>10</v>
      </c>
    </row>
    <row r="6" spans="2:23" ht="21">
      <c r="B6" s="700" t="s">
        <v>207</v>
      </c>
      <c r="C6" s="702" t="s">
        <v>10</v>
      </c>
      <c r="D6" s="347">
        <v>1</v>
      </c>
      <c r="E6" s="347">
        <v>0</v>
      </c>
      <c r="F6" s="347">
        <v>0</v>
      </c>
      <c r="G6" s="348">
        <v>10</v>
      </c>
      <c r="H6" s="348">
        <v>3556</v>
      </c>
      <c r="I6" s="347">
        <v>30</v>
      </c>
      <c r="J6" s="347">
        <v>50</v>
      </c>
      <c r="K6" s="347">
        <v>0</v>
      </c>
      <c r="L6" s="347">
        <v>1</v>
      </c>
      <c r="M6" s="347">
        <v>1</v>
      </c>
      <c r="N6" s="347">
        <v>18</v>
      </c>
      <c r="O6" s="347">
        <v>150</v>
      </c>
      <c r="P6" s="347">
        <v>150</v>
      </c>
      <c r="Q6" s="161">
        <v>0</v>
      </c>
      <c r="R6" s="161">
        <v>0</v>
      </c>
      <c r="S6" s="161">
        <v>0</v>
      </c>
      <c r="T6" s="161">
        <v>0</v>
      </c>
      <c r="U6" s="347">
        <v>1</v>
      </c>
      <c r="V6" s="347">
        <v>0</v>
      </c>
      <c r="W6" s="701" t="s">
        <v>10</v>
      </c>
    </row>
    <row r="7" spans="2:23" ht="21">
      <c r="B7" s="700" t="str">
        <f>'AcresYieldsPrices&amp;Water'!$E$3&amp;" - Irrigation Water"</f>
        <v>Flood - Irrigation Water</v>
      </c>
      <c r="C7" s="706" t="s">
        <v>235</v>
      </c>
      <c r="D7" s="347">
        <v>3.92</v>
      </c>
      <c r="E7" s="347">
        <f t="shared" ref="E7:F7" si="0">40/12</f>
        <v>3.3333333333333335</v>
      </c>
      <c r="F7" s="347">
        <f t="shared" si="0"/>
        <v>3.3333333333333335</v>
      </c>
      <c r="G7" s="348">
        <v>1</v>
      </c>
      <c r="H7" s="348">
        <v>3</v>
      </c>
      <c r="I7" s="347">
        <v>3</v>
      </c>
      <c r="J7" s="347">
        <v>3</v>
      </c>
      <c r="K7" s="347">
        <v>0</v>
      </c>
      <c r="L7" s="347">
        <v>5</v>
      </c>
      <c r="M7" s="347">
        <v>5.5</v>
      </c>
      <c r="N7" s="347">
        <v>0</v>
      </c>
      <c r="O7" s="347">
        <v>2.5</v>
      </c>
      <c r="P7" s="347">
        <v>3.5</v>
      </c>
      <c r="Q7" s="347">
        <v>0</v>
      </c>
      <c r="R7" s="347">
        <v>0</v>
      </c>
      <c r="S7" s="347">
        <v>0</v>
      </c>
      <c r="T7" s="347">
        <v>0</v>
      </c>
      <c r="U7" s="347">
        <v>6</v>
      </c>
      <c r="V7" s="347">
        <v>5</v>
      </c>
    </row>
    <row r="8" spans="2:23" ht="21">
      <c r="B8" s="700" t="str">
        <f>'AcresYieldsPrices&amp;Water'!$E$3&amp;" - Irrigation Labor"</f>
        <v>Flood - Irrigation Labor</v>
      </c>
      <c r="C8" s="706" t="s">
        <v>243</v>
      </c>
      <c r="D8" s="347">
        <v>3.92</v>
      </c>
      <c r="E8" s="347">
        <f t="shared" ref="E8:U8" si="1">E7</f>
        <v>3.3333333333333335</v>
      </c>
      <c r="F8" s="347">
        <f t="shared" si="1"/>
        <v>3.3333333333333335</v>
      </c>
      <c r="G8" s="348">
        <v>1</v>
      </c>
      <c r="H8" s="348">
        <v>3</v>
      </c>
      <c r="I8" s="347">
        <v>3</v>
      </c>
      <c r="J8" s="347">
        <v>3</v>
      </c>
      <c r="K8" s="347">
        <v>0</v>
      </c>
      <c r="L8" s="347">
        <f t="shared" si="1"/>
        <v>5</v>
      </c>
      <c r="M8" s="347">
        <v>5.5</v>
      </c>
      <c r="N8" s="347">
        <v>0</v>
      </c>
      <c r="O8" s="347">
        <f t="shared" si="1"/>
        <v>2.5</v>
      </c>
      <c r="P8" s="347">
        <v>3.5</v>
      </c>
      <c r="Q8" s="347">
        <v>0</v>
      </c>
      <c r="R8" s="347">
        <v>0</v>
      </c>
      <c r="S8" s="347">
        <v>0</v>
      </c>
      <c r="T8" s="347">
        <v>0</v>
      </c>
      <c r="U8" s="347">
        <f t="shared" si="1"/>
        <v>6</v>
      </c>
      <c r="V8" s="347">
        <v>5</v>
      </c>
    </row>
    <row r="9" spans="2:23" ht="21">
      <c r="B9" s="700" t="str">
        <f>'AcresYieldsPrices&amp;Water'!$F$3&amp;" - Irrigation Water"</f>
        <v>Drip-tape - Irrigation Water</v>
      </c>
      <c r="C9" s="706" t="s">
        <v>235</v>
      </c>
      <c r="D9" s="390">
        <f>(D7*GeneralInputPrices!$D$15)/GeneralInputPrices!$D$19</f>
        <v>3.3010526315789477</v>
      </c>
      <c r="E9" s="390">
        <f>(E7*GeneralInputPrices!$D$15)/GeneralInputPrices!$D$19</f>
        <v>2.8070175438596494</v>
      </c>
      <c r="F9" s="390">
        <f>(F7*GeneralInputPrices!$D$15)/GeneralInputPrices!$D$19</f>
        <v>2.8070175438596494</v>
      </c>
      <c r="G9" s="390">
        <f>(G7*GeneralInputPrices!$D$15)/GeneralInputPrices!$D$19</f>
        <v>0.8421052631578948</v>
      </c>
      <c r="H9" s="390">
        <f>(H7*GeneralInputPrices!$D$15)/GeneralInputPrices!$D$19</f>
        <v>2.5263157894736845</v>
      </c>
      <c r="I9" s="390">
        <f>(I7*GeneralInputPrices!$D$15)/GeneralInputPrices!$D$19</f>
        <v>2.5263157894736845</v>
      </c>
      <c r="J9" s="390">
        <f>(J7*GeneralInputPrices!$D$15)/GeneralInputPrices!$D$19</f>
        <v>2.5263157894736845</v>
      </c>
      <c r="K9" s="390">
        <f>(K7*GeneralInputPrices!$D$15)/GeneralInputPrices!$D$19</f>
        <v>0</v>
      </c>
      <c r="L9" s="390">
        <f>(L7*GeneralInputPrices!$D$15)/GeneralInputPrices!$D$19</f>
        <v>4.2105263157894735</v>
      </c>
      <c r="M9" s="390">
        <f>(M7*GeneralInputPrices!$D$15)/GeneralInputPrices!$D$19</f>
        <v>4.6315789473684212</v>
      </c>
      <c r="N9" s="390">
        <f>(N7*GeneralInputPrices!$D$15)/GeneralInputPrices!$D$19</f>
        <v>0</v>
      </c>
      <c r="O9" s="390">
        <f>(O7*GeneralInputPrices!$D$15)/GeneralInputPrices!$D$19</f>
        <v>2.1052631578947367</v>
      </c>
      <c r="P9" s="390">
        <f>(P7*GeneralInputPrices!$D$15)/GeneralInputPrices!$D$19</f>
        <v>2.9473684210526319</v>
      </c>
      <c r="Q9" s="390">
        <f>(Q7*GeneralInputPrices!$D$15)/GeneralInputPrices!$D$19</f>
        <v>0</v>
      </c>
      <c r="R9" s="390">
        <f>(R7*GeneralInputPrices!$D$15)/GeneralInputPrices!$D$19</f>
        <v>0</v>
      </c>
      <c r="S9" s="390">
        <f>(S7*GeneralInputPrices!$D$15)/GeneralInputPrices!$D$19</f>
        <v>0</v>
      </c>
      <c r="T9" s="390">
        <f>(T7*GeneralInputPrices!$D$15)/GeneralInputPrices!$D$19</f>
        <v>0</v>
      </c>
      <c r="U9" s="390">
        <f>(U7*GeneralInputPrices!$D$15)/GeneralInputPrices!$D$19</f>
        <v>5.052631578947369</v>
      </c>
      <c r="V9" s="390">
        <f>(V7*GeneralInputPrices!$D$15)/GeneralInputPrices!$D$19</f>
        <v>4.2105263157894735</v>
      </c>
      <c r="W9" s="701" t="s">
        <v>10</v>
      </c>
    </row>
    <row r="10" spans="2:23" ht="21">
      <c r="B10" s="700" t="str">
        <f>'AcresYieldsPrices&amp;Water'!$F$3&amp;" - Irrigation Labor"</f>
        <v>Drip-tape - Irrigation Labor</v>
      </c>
      <c r="C10" s="706" t="s">
        <v>243</v>
      </c>
      <c r="D10" s="347">
        <v>1</v>
      </c>
      <c r="E10" s="347">
        <v>1</v>
      </c>
      <c r="F10" s="347">
        <v>1</v>
      </c>
      <c r="G10" s="347">
        <v>1</v>
      </c>
      <c r="H10" s="347">
        <v>1</v>
      </c>
      <c r="I10" s="347">
        <v>1</v>
      </c>
      <c r="J10" s="347">
        <v>1</v>
      </c>
      <c r="K10" s="347">
        <v>0</v>
      </c>
      <c r="L10" s="347">
        <v>1</v>
      </c>
      <c r="M10" s="347">
        <v>1</v>
      </c>
      <c r="N10" s="347">
        <v>1</v>
      </c>
      <c r="O10" s="347">
        <v>1</v>
      </c>
      <c r="P10" s="347">
        <v>1</v>
      </c>
      <c r="Q10" s="347">
        <v>1</v>
      </c>
      <c r="R10" s="347">
        <v>1</v>
      </c>
      <c r="S10" s="347">
        <v>1</v>
      </c>
      <c r="T10" s="347">
        <v>1</v>
      </c>
      <c r="U10" s="347">
        <v>1</v>
      </c>
      <c r="V10" s="347">
        <v>1</v>
      </c>
    </row>
    <row r="11" spans="2:23" ht="21">
      <c r="B11" s="700" t="str">
        <f>'AcresYieldsPrices&amp;Water'!$G$3&amp;" - Irrigation Water"</f>
        <v>Sprinkler - Irrigation Water</v>
      </c>
      <c r="C11" s="706" t="s">
        <v>235</v>
      </c>
      <c r="D11" s="390">
        <f>(D7*GeneralInputPrices!$D$15)/GeneralInputPrices!$D$23</f>
        <v>3.4844444444444447</v>
      </c>
      <c r="E11" s="390">
        <f>(E7*GeneralInputPrices!$D$15)/GeneralInputPrices!$D$23</f>
        <v>2.9629629629629632</v>
      </c>
      <c r="F11" s="390">
        <f>(F7*GeneralInputPrices!$D$15)/GeneralInputPrices!$D$23</f>
        <v>2.9629629629629632</v>
      </c>
      <c r="G11" s="390">
        <f>(G7*GeneralInputPrices!$D$15)/GeneralInputPrices!$D$23</f>
        <v>0.88888888888888895</v>
      </c>
      <c r="H11" s="390">
        <f>(H7*GeneralInputPrices!$D$15)/GeneralInputPrices!$D$23</f>
        <v>2.666666666666667</v>
      </c>
      <c r="I11" s="390">
        <f>(I7*GeneralInputPrices!$D$15)/GeneralInputPrices!$D$23</f>
        <v>2.666666666666667</v>
      </c>
      <c r="J11" s="390">
        <f>(J7*GeneralInputPrices!$D$15)/GeneralInputPrices!$D$23</f>
        <v>2.666666666666667</v>
      </c>
      <c r="K11" s="390">
        <f>(K7*GeneralInputPrices!$D$15)/GeneralInputPrices!$D$23</f>
        <v>0</v>
      </c>
      <c r="L11" s="390">
        <f>(L7*GeneralInputPrices!$D$15)/GeneralInputPrices!$D$23</f>
        <v>4.4444444444444446</v>
      </c>
      <c r="M11" s="390">
        <f>(M7*GeneralInputPrices!$D$15)/GeneralInputPrices!$D$23</f>
        <v>4.8888888888888893</v>
      </c>
      <c r="N11" s="390">
        <f>(N7*GeneralInputPrices!$D$15)/GeneralInputPrices!$D$23</f>
        <v>0</v>
      </c>
      <c r="O11" s="390">
        <f>(O7*GeneralInputPrices!$D$15)/GeneralInputPrices!$D$23</f>
        <v>2.2222222222222223</v>
      </c>
      <c r="P11" s="390">
        <f>(P7*GeneralInputPrices!$D$15)/GeneralInputPrices!$D$23</f>
        <v>3.1111111111111112</v>
      </c>
      <c r="Q11" s="390">
        <f>(Q7*GeneralInputPrices!$D$15)/GeneralInputPrices!$D$23</f>
        <v>0</v>
      </c>
      <c r="R11" s="390">
        <f>(R7*GeneralInputPrices!$D$15)/GeneralInputPrices!$D$23</f>
        <v>0</v>
      </c>
      <c r="S11" s="390">
        <f>(S7*GeneralInputPrices!$D$15)/GeneralInputPrices!$D$23</f>
        <v>0</v>
      </c>
      <c r="T11" s="390">
        <f>(T7*GeneralInputPrices!$D$15)/GeneralInputPrices!$D$23</f>
        <v>0</v>
      </c>
      <c r="U11" s="390">
        <f>(U7*GeneralInputPrices!$D$15)/GeneralInputPrices!$D$23</f>
        <v>5.3333333333333339</v>
      </c>
      <c r="V11" s="390">
        <f>(V7*GeneralInputPrices!$D$15)/GeneralInputPrices!$D$23</f>
        <v>4.4444444444444446</v>
      </c>
    </row>
    <row r="12" spans="2:23" ht="21">
      <c r="B12" s="700" t="str">
        <f>'AcresYieldsPrices&amp;Water'!$G$3&amp;" - Irrigation Labor"</f>
        <v>Sprinkler - Irrigation Labor</v>
      </c>
      <c r="C12" s="706" t="s">
        <v>243</v>
      </c>
      <c r="D12" s="703">
        <f>D11</f>
        <v>3.4844444444444447</v>
      </c>
      <c r="E12" s="703">
        <f t="shared" ref="E12:F12" si="2">E11</f>
        <v>2.9629629629629632</v>
      </c>
      <c r="F12" s="703">
        <f t="shared" si="2"/>
        <v>2.9629629629629632</v>
      </c>
      <c r="G12" s="703">
        <f t="shared" ref="G12" si="3">G11</f>
        <v>0.88888888888888895</v>
      </c>
      <c r="H12" s="703">
        <f t="shared" ref="H12" si="4">H11</f>
        <v>2.666666666666667</v>
      </c>
      <c r="I12" s="703">
        <f t="shared" ref="I12" si="5">I11</f>
        <v>2.666666666666667</v>
      </c>
      <c r="J12" s="703">
        <f t="shared" ref="J12" si="6">J11</f>
        <v>2.666666666666667</v>
      </c>
      <c r="K12" s="703">
        <f t="shared" ref="K12" si="7">K11</f>
        <v>0</v>
      </c>
      <c r="L12" s="703">
        <f t="shared" ref="L12" si="8">L11</f>
        <v>4.4444444444444446</v>
      </c>
      <c r="M12" s="703">
        <f t="shared" ref="M12" si="9">M11</f>
        <v>4.8888888888888893</v>
      </c>
      <c r="N12" s="703">
        <f t="shared" ref="N12" si="10">N11</f>
        <v>0</v>
      </c>
      <c r="O12" s="703">
        <f t="shared" ref="O12" si="11">O11</f>
        <v>2.2222222222222223</v>
      </c>
      <c r="P12" s="703">
        <f t="shared" ref="P12" si="12">P11</f>
        <v>3.1111111111111112</v>
      </c>
      <c r="Q12" s="703">
        <f t="shared" ref="Q12" si="13">Q11</f>
        <v>0</v>
      </c>
      <c r="R12" s="703">
        <f t="shared" ref="R12" si="14">R11</f>
        <v>0</v>
      </c>
      <c r="S12" s="703">
        <f t="shared" ref="S12" si="15">S11</f>
        <v>0</v>
      </c>
      <c r="T12" s="703">
        <f t="shared" ref="T12" si="16">T11</f>
        <v>0</v>
      </c>
      <c r="U12" s="703">
        <f t="shared" ref="U12:V12" si="17">U11</f>
        <v>5.3333333333333339</v>
      </c>
      <c r="V12" s="703">
        <f t="shared" si="17"/>
        <v>4.4444444444444446</v>
      </c>
    </row>
    <row r="13" spans="2:23" ht="21">
      <c r="B13" s="700" t="s">
        <v>305</v>
      </c>
      <c r="C13" s="706"/>
      <c r="D13" s="707" t="s">
        <v>10</v>
      </c>
      <c r="E13" s="703"/>
      <c r="F13" s="703"/>
      <c r="G13" s="703"/>
      <c r="H13" s="703"/>
      <c r="I13" s="703"/>
      <c r="J13" s="703"/>
      <c r="K13" s="703"/>
      <c r="L13" s="703"/>
      <c r="M13" s="703"/>
      <c r="N13" s="703"/>
      <c r="O13" s="703"/>
      <c r="P13" s="703"/>
      <c r="Q13" s="705"/>
      <c r="R13" s="705"/>
      <c r="S13" s="705"/>
      <c r="T13" s="705"/>
      <c r="U13" s="704"/>
      <c r="V13" s="703"/>
    </row>
    <row r="14" spans="2:23" ht="21">
      <c r="B14" s="264" t="s">
        <v>385</v>
      </c>
      <c r="C14" s="266" t="s">
        <v>243</v>
      </c>
      <c r="D14" s="161">
        <v>0</v>
      </c>
      <c r="E14" s="347">
        <v>0</v>
      </c>
      <c r="F14" s="347">
        <v>0</v>
      </c>
      <c r="G14" s="347">
        <v>0</v>
      </c>
      <c r="H14" s="347">
        <v>0</v>
      </c>
      <c r="I14" s="347">
        <v>0</v>
      </c>
      <c r="J14" s="347">
        <v>0</v>
      </c>
      <c r="K14" s="347">
        <v>0</v>
      </c>
      <c r="L14" s="347">
        <v>0</v>
      </c>
      <c r="M14" s="347">
        <v>0</v>
      </c>
      <c r="N14" s="347">
        <v>0</v>
      </c>
      <c r="O14" s="347">
        <v>0</v>
      </c>
      <c r="P14" s="347">
        <v>0</v>
      </c>
      <c r="Q14" s="161">
        <v>0</v>
      </c>
      <c r="R14" s="161">
        <v>0</v>
      </c>
      <c r="S14" s="161">
        <v>0</v>
      </c>
      <c r="T14" s="161">
        <v>0</v>
      </c>
      <c r="U14" s="347">
        <v>0</v>
      </c>
      <c r="V14" s="347">
        <v>0</v>
      </c>
    </row>
    <row r="15" spans="2:23" ht="21">
      <c r="B15" s="264" t="s">
        <v>385</v>
      </c>
      <c r="C15" s="266" t="s">
        <v>243</v>
      </c>
      <c r="D15" s="161">
        <v>0</v>
      </c>
      <c r="E15" s="347">
        <v>0</v>
      </c>
      <c r="F15" s="347">
        <v>0</v>
      </c>
      <c r="G15" s="347">
        <v>0</v>
      </c>
      <c r="H15" s="347">
        <v>0</v>
      </c>
      <c r="I15" s="347">
        <v>0</v>
      </c>
      <c r="J15" s="347">
        <v>0</v>
      </c>
      <c r="K15" s="347">
        <v>0</v>
      </c>
      <c r="L15" s="347">
        <v>0</v>
      </c>
      <c r="M15" s="347">
        <v>0</v>
      </c>
      <c r="N15" s="347">
        <v>0</v>
      </c>
      <c r="O15" s="347">
        <v>0</v>
      </c>
      <c r="P15" s="347">
        <v>0</v>
      </c>
      <c r="Q15" s="161">
        <v>0</v>
      </c>
      <c r="R15" s="161">
        <v>0</v>
      </c>
      <c r="S15" s="161">
        <v>0</v>
      </c>
      <c r="T15" s="161">
        <v>0</v>
      </c>
      <c r="U15" s="347">
        <v>0</v>
      </c>
      <c r="V15" s="347">
        <v>0</v>
      </c>
    </row>
    <row r="16" spans="2:23" ht="21">
      <c r="B16" s="700" t="s">
        <v>290</v>
      </c>
      <c r="C16" s="705"/>
      <c r="D16" s="705"/>
      <c r="E16" s="703"/>
      <c r="F16" s="703"/>
      <c r="G16" s="703"/>
      <c r="H16" s="703"/>
      <c r="I16" s="703"/>
      <c r="J16" s="703"/>
      <c r="K16" s="703"/>
      <c r="L16" s="703"/>
      <c r="M16" s="703"/>
      <c r="N16" s="703"/>
      <c r="O16" s="703"/>
      <c r="P16" s="703"/>
      <c r="Q16" s="705"/>
      <c r="R16" s="705"/>
      <c r="S16" s="705"/>
      <c r="T16" s="705"/>
      <c r="U16" s="703"/>
      <c r="V16" s="703"/>
    </row>
    <row r="17" spans="2:24" ht="21">
      <c r="B17" s="264" t="s">
        <v>386</v>
      </c>
      <c r="C17" s="266" t="s">
        <v>243</v>
      </c>
      <c r="D17" s="161">
        <v>0</v>
      </c>
      <c r="E17" s="347">
        <v>0</v>
      </c>
      <c r="F17" s="347">
        <v>0</v>
      </c>
      <c r="G17" s="347">
        <v>0</v>
      </c>
      <c r="H17" s="347">
        <v>0</v>
      </c>
      <c r="I17" s="347">
        <v>0</v>
      </c>
      <c r="J17" s="347">
        <v>0</v>
      </c>
      <c r="K17" s="347">
        <v>0</v>
      </c>
      <c r="L17" s="347">
        <v>0</v>
      </c>
      <c r="M17" s="347">
        <v>0</v>
      </c>
      <c r="N17" s="347">
        <v>0</v>
      </c>
      <c r="O17" s="347">
        <v>0</v>
      </c>
      <c r="P17" s="347">
        <v>0</v>
      </c>
      <c r="Q17" s="161">
        <v>0</v>
      </c>
      <c r="R17" s="161">
        <v>0</v>
      </c>
      <c r="S17" s="161">
        <v>0</v>
      </c>
      <c r="T17" s="161">
        <v>0</v>
      </c>
      <c r="U17" s="347">
        <v>0</v>
      </c>
      <c r="V17" s="347">
        <v>0</v>
      </c>
    </row>
    <row r="18" spans="2:24" ht="21">
      <c r="B18" s="264" t="s">
        <v>386</v>
      </c>
      <c r="C18" s="266" t="s">
        <v>243</v>
      </c>
      <c r="D18" s="161">
        <v>0</v>
      </c>
      <c r="E18" s="347">
        <v>0</v>
      </c>
      <c r="F18" s="347">
        <v>0</v>
      </c>
      <c r="G18" s="347">
        <v>0</v>
      </c>
      <c r="H18" s="347">
        <v>0</v>
      </c>
      <c r="I18" s="347">
        <v>0</v>
      </c>
      <c r="J18" s="347">
        <v>0</v>
      </c>
      <c r="K18" s="347">
        <v>0</v>
      </c>
      <c r="L18" s="347">
        <v>0</v>
      </c>
      <c r="M18" s="347">
        <v>0</v>
      </c>
      <c r="N18" s="347">
        <v>0</v>
      </c>
      <c r="O18" s="347">
        <v>0</v>
      </c>
      <c r="P18" s="347">
        <v>0</v>
      </c>
      <c r="Q18" s="161">
        <v>0</v>
      </c>
      <c r="R18" s="161">
        <v>0</v>
      </c>
      <c r="S18" s="161">
        <v>0</v>
      </c>
      <c r="T18" s="161">
        <v>0</v>
      </c>
      <c r="U18" s="347">
        <v>0</v>
      </c>
      <c r="V18" s="347">
        <v>0</v>
      </c>
    </row>
    <row r="19" spans="2:24" ht="21">
      <c r="B19" s="700" t="s">
        <v>306</v>
      </c>
      <c r="C19" s="705"/>
      <c r="D19" s="705"/>
      <c r="E19" s="703"/>
      <c r="F19" s="703"/>
      <c r="G19" s="703"/>
      <c r="H19" s="703"/>
      <c r="I19" s="703"/>
      <c r="J19" s="703"/>
      <c r="K19" s="703"/>
      <c r="L19" s="703"/>
      <c r="M19" s="703"/>
      <c r="N19" s="703"/>
      <c r="O19" s="703"/>
      <c r="P19" s="703"/>
      <c r="Q19" s="705"/>
      <c r="R19" s="705"/>
      <c r="S19" s="705"/>
      <c r="T19" s="705"/>
      <c r="U19" s="703"/>
      <c r="V19" s="703"/>
    </row>
    <row r="20" spans="2:24" ht="21">
      <c r="B20" s="264" t="s">
        <v>387</v>
      </c>
      <c r="C20" s="266" t="s">
        <v>243</v>
      </c>
      <c r="D20" s="161">
        <v>0</v>
      </c>
      <c r="E20" s="347">
        <v>0</v>
      </c>
      <c r="F20" s="347">
        <v>0</v>
      </c>
      <c r="G20" s="347">
        <v>0</v>
      </c>
      <c r="H20" s="347">
        <v>0</v>
      </c>
      <c r="I20" s="347">
        <v>0</v>
      </c>
      <c r="J20" s="347">
        <v>0</v>
      </c>
      <c r="K20" s="347">
        <v>0</v>
      </c>
      <c r="L20" s="347">
        <v>0</v>
      </c>
      <c r="M20" s="347">
        <v>0</v>
      </c>
      <c r="N20" s="347">
        <v>0</v>
      </c>
      <c r="O20" s="347">
        <v>0</v>
      </c>
      <c r="P20" s="347">
        <v>0</v>
      </c>
      <c r="Q20" s="161">
        <v>0</v>
      </c>
      <c r="R20" s="161">
        <v>0</v>
      </c>
      <c r="S20" s="161">
        <v>0</v>
      </c>
      <c r="T20" s="161">
        <v>0</v>
      </c>
      <c r="U20" s="347">
        <v>0</v>
      </c>
      <c r="V20" s="347">
        <v>0</v>
      </c>
    </row>
    <row r="21" spans="2:24" ht="21">
      <c r="B21" s="264" t="s">
        <v>387</v>
      </c>
      <c r="C21" s="266" t="s">
        <v>243</v>
      </c>
      <c r="D21" s="161">
        <v>0</v>
      </c>
      <c r="E21" s="347">
        <v>0</v>
      </c>
      <c r="F21" s="347">
        <v>0</v>
      </c>
      <c r="G21" s="347">
        <v>0</v>
      </c>
      <c r="H21" s="347">
        <v>0</v>
      </c>
      <c r="I21" s="347">
        <v>0</v>
      </c>
      <c r="J21" s="347">
        <v>0</v>
      </c>
      <c r="K21" s="347">
        <v>0</v>
      </c>
      <c r="L21" s="347">
        <v>0</v>
      </c>
      <c r="M21" s="347">
        <v>0</v>
      </c>
      <c r="N21" s="347">
        <v>0</v>
      </c>
      <c r="O21" s="347">
        <v>0</v>
      </c>
      <c r="P21" s="347">
        <v>0</v>
      </c>
      <c r="Q21" s="161">
        <v>0</v>
      </c>
      <c r="R21" s="161">
        <v>0</v>
      </c>
      <c r="S21" s="161">
        <v>0</v>
      </c>
      <c r="T21" s="161">
        <v>0</v>
      </c>
      <c r="U21" s="347">
        <v>0</v>
      </c>
      <c r="V21" s="347">
        <v>0</v>
      </c>
    </row>
    <row r="22" spans="2:24" ht="21">
      <c r="B22" s="700" t="str">
        <f>GeneralInputPrices!B3</f>
        <v xml:space="preserve">   - Inoculant</v>
      </c>
      <c r="C22" s="702" t="str">
        <f>GeneralInputPrices!C3</f>
        <v>pounds</v>
      </c>
      <c r="D22" s="161">
        <v>2</v>
      </c>
      <c r="E22" s="347">
        <v>0</v>
      </c>
      <c r="F22" s="347">
        <v>0</v>
      </c>
      <c r="G22" s="347">
        <v>2</v>
      </c>
      <c r="H22" s="347">
        <v>0</v>
      </c>
      <c r="I22" s="347">
        <v>0</v>
      </c>
      <c r="J22" s="347">
        <v>0</v>
      </c>
      <c r="K22" s="347">
        <v>0</v>
      </c>
      <c r="L22" s="347">
        <v>0</v>
      </c>
      <c r="M22" s="347">
        <v>0</v>
      </c>
      <c r="N22" s="347">
        <v>0</v>
      </c>
      <c r="O22" s="347">
        <v>0</v>
      </c>
      <c r="P22" s="347">
        <v>0</v>
      </c>
      <c r="Q22" s="161">
        <v>0</v>
      </c>
      <c r="R22" s="161">
        <v>0</v>
      </c>
      <c r="S22" s="161">
        <v>0</v>
      </c>
      <c r="T22" s="161">
        <v>0</v>
      </c>
      <c r="U22" s="347">
        <v>0</v>
      </c>
      <c r="V22" s="347">
        <v>0</v>
      </c>
    </row>
    <row r="23" spans="2:24" ht="21">
      <c r="B23" s="700" t="str">
        <f>GeneralInputPrices!B5&amp;", Quantity"</f>
        <v xml:space="preserve">   - Nitrogen, Quantity</v>
      </c>
      <c r="C23" s="702" t="str">
        <f>GeneralInputPrices!C5</f>
        <v>pounds</v>
      </c>
      <c r="D23" s="347">
        <v>60</v>
      </c>
      <c r="E23" s="347">
        <v>60</v>
      </c>
      <c r="F23" s="347">
        <v>60</v>
      </c>
      <c r="G23" s="347">
        <v>0</v>
      </c>
      <c r="H23" s="347">
        <v>0</v>
      </c>
      <c r="I23" s="347">
        <v>0</v>
      </c>
      <c r="J23" s="347">
        <v>0</v>
      </c>
      <c r="K23" s="347">
        <v>0</v>
      </c>
      <c r="L23" s="347">
        <v>0</v>
      </c>
      <c r="M23" s="347">
        <v>0</v>
      </c>
      <c r="N23" s="347">
        <v>0</v>
      </c>
      <c r="O23" s="347">
        <v>0</v>
      </c>
      <c r="P23" s="347">
        <v>0</v>
      </c>
      <c r="Q23" s="161">
        <v>138.19999999999999</v>
      </c>
      <c r="R23" s="161">
        <v>138.19999999999999</v>
      </c>
      <c r="S23" s="161">
        <v>138.19999999999999</v>
      </c>
      <c r="T23" s="161">
        <v>138.19999999999999</v>
      </c>
      <c r="U23" s="347">
        <v>0</v>
      </c>
      <c r="V23" s="347">
        <v>0</v>
      </c>
    </row>
    <row r="24" spans="2:24" ht="21">
      <c r="B24" s="700" t="str">
        <f>GeneralInputPrices!B6&amp;", Quantity"</f>
        <v xml:space="preserve">   - Phosphorus, Quantity</v>
      </c>
      <c r="C24" s="702" t="str">
        <f>GeneralInputPrices!C6</f>
        <v>pounds</v>
      </c>
      <c r="D24" s="347">
        <v>200</v>
      </c>
      <c r="E24" s="347">
        <v>0</v>
      </c>
      <c r="F24" s="347">
        <v>0</v>
      </c>
      <c r="G24" s="347">
        <v>30</v>
      </c>
      <c r="H24" s="347">
        <v>0</v>
      </c>
      <c r="I24" s="347">
        <v>0</v>
      </c>
      <c r="J24" s="347">
        <v>0</v>
      </c>
      <c r="K24" s="347">
        <v>0</v>
      </c>
      <c r="L24" s="347">
        <v>0</v>
      </c>
      <c r="M24" s="347">
        <v>0</v>
      </c>
      <c r="N24" s="347">
        <v>0</v>
      </c>
      <c r="O24" s="347">
        <v>0</v>
      </c>
      <c r="P24" s="347">
        <v>0</v>
      </c>
      <c r="Q24" s="161">
        <v>40</v>
      </c>
      <c r="R24" s="161">
        <v>40</v>
      </c>
      <c r="S24" s="161">
        <v>40</v>
      </c>
      <c r="T24" s="161">
        <v>40</v>
      </c>
      <c r="U24" s="347">
        <v>0</v>
      </c>
      <c r="V24" s="347">
        <v>0</v>
      </c>
    </row>
    <row r="25" spans="2:24" ht="21">
      <c r="B25" s="700" t="str">
        <f>GeneralInputPrices!B7&amp;", Quantity"</f>
        <v xml:space="preserve">   - Anhydrous Ammonia, Quantity</v>
      </c>
      <c r="C25" s="702" t="str">
        <f>GeneralInputPrices!C7</f>
        <v>pounds</v>
      </c>
      <c r="D25" s="161">
        <v>0</v>
      </c>
      <c r="E25" s="347">
        <v>0</v>
      </c>
      <c r="F25" s="347">
        <v>0</v>
      </c>
      <c r="G25" s="347">
        <v>0</v>
      </c>
      <c r="H25" s="347">
        <v>0</v>
      </c>
      <c r="I25" s="347">
        <v>0</v>
      </c>
      <c r="J25" s="347">
        <v>0</v>
      </c>
      <c r="K25" s="347">
        <v>0</v>
      </c>
      <c r="L25" s="347">
        <v>0</v>
      </c>
      <c r="M25" s="347">
        <v>0</v>
      </c>
      <c r="N25" s="347">
        <v>0</v>
      </c>
      <c r="O25" s="347">
        <v>0</v>
      </c>
      <c r="P25" s="347">
        <v>0</v>
      </c>
      <c r="Q25" s="161">
        <v>0</v>
      </c>
      <c r="R25" s="161">
        <v>0</v>
      </c>
      <c r="S25" s="161">
        <v>0</v>
      </c>
      <c r="T25" s="161">
        <v>0</v>
      </c>
      <c r="U25" s="347">
        <v>0</v>
      </c>
      <c r="V25" s="347">
        <v>0</v>
      </c>
    </row>
    <row r="26" spans="2:24" ht="21">
      <c r="B26" s="700" t="str">
        <f>GeneralInputPrices!B8&amp;", Quantity"</f>
        <v xml:space="preserve">   - Trace Elements, Quantity</v>
      </c>
      <c r="C26" s="702" t="str">
        <f>GeneralInputPrices!C8</f>
        <v>pounds</v>
      </c>
      <c r="D26" s="161">
        <v>0</v>
      </c>
      <c r="E26" s="347">
        <v>0</v>
      </c>
      <c r="F26" s="347">
        <v>0</v>
      </c>
      <c r="G26" s="347">
        <v>0</v>
      </c>
      <c r="H26" s="347">
        <v>0</v>
      </c>
      <c r="I26" s="347">
        <v>0</v>
      </c>
      <c r="J26" s="347">
        <v>0</v>
      </c>
      <c r="K26" s="347">
        <v>0</v>
      </c>
      <c r="L26" s="347">
        <v>0</v>
      </c>
      <c r="M26" s="347">
        <v>0</v>
      </c>
      <c r="N26" s="347">
        <v>0</v>
      </c>
      <c r="O26" s="347">
        <v>0</v>
      </c>
      <c r="P26" s="347">
        <v>0</v>
      </c>
      <c r="Q26" s="161">
        <v>0</v>
      </c>
      <c r="R26" s="161">
        <v>0</v>
      </c>
      <c r="S26" s="161">
        <v>0</v>
      </c>
      <c r="T26" s="161">
        <v>0</v>
      </c>
      <c r="U26" s="347">
        <v>0</v>
      </c>
      <c r="V26" s="347">
        <v>0</v>
      </c>
    </row>
    <row r="27" spans="2:24" ht="21">
      <c r="B27" s="700" t="str">
        <f>GeneralInputPrices!B10&amp;", Quanitity"</f>
        <v xml:space="preserve">   - Prowl, Quanitity</v>
      </c>
      <c r="C27" s="702" t="str">
        <f>GeneralInputPrices!C10</f>
        <v>pints</v>
      </c>
      <c r="D27" s="347">
        <v>9</v>
      </c>
      <c r="E27" s="347">
        <v>2.5</v>
      </c>
      <c r="F27" s="347">
        <v>0</v>
      </c>
      <c r="G27" s="347">
        <v>0</v>
      </c>
      <c r="H27" s="347">
        <v>0</v>
      </c>
      <c r="I27" s="347">
        <v>0</v>
      </c>
      <c r="J27" s="347">
        <v>0</v>
      </c>
      <c r="K27" s="347">
        <v>0</v>
      </c>
      <c r="L27" s="347">
        <v>0</v>
      </c>
      <c r="M27" s="347">
        <v>0</v>
      </c>
      <c r="N27" s="347">
        <v>0</v>
      </c>
      <c r="O27" s="347">
        <v>0</v>
      </c>
      <c r="P27" s="347">
        <v>0</v>
      </c>
      <c r="Q27" s="161">
        <v>0</v>
      </c>
      <c r="R27" s="161">
        <v>0</v>
      </c>
      <c r="S27" s="161">
        <v>0</v>
      </c>
      <c r="T27" s="161">
        <v>0</v>
      </c>
      <c r="U27" s="347">
        <v>0</v>
      </c>
      <c r="V27" s="347">
        <v>0</v>
      </c>
    </row>
    <row r="28" spans="2:24" ht="21" customHeight="1">
      <c r="B28" s="700" t="str">
        <f>GeneralInputPrices!B11&amp;", Quanitity"</f>
        <v xml:space="preserve">   - Aim, Quanitity</v>
      </c>
      <c r="C28" s="702" t="str">
        <f>GeneralInputPrices!C11</f>
        <v>ounces</v>
      </c>
      <c r="D28" s="347">
        <v>1.8</v>
      </c>
      <c r="E28" s="347">
        <v>1.2</v>
      </c>
      <c r="F28" s="347">
        <v>0</v>
      </c>
      <c r="G28" s="347">
        <v>0</v>
      </c>
      <c r="H28" s="347">
        <v>0</v>
      </c>
      <c r="I28" s="347">
        <v>0</v>
      </c>
      <c r="J28" s="347">
        <v>0</v>
      </c>
      <c r="K28" s="347">
        <v>0</v>
      </c>
      <c r="L28" s="347">
        <v>0</v>
      </c>
      <c r="M28" s="347">
        <v>0</v>
      </c>
      <c r="N28" s="347">
        <v>0</v>
      </c>
      <c r="O28" s="347">
        <v>0</v>
      </c>
      <c r="P28" s="347">
        <v>0</v>
      </c>
      <c r="Q28" s="161">
        <v>0</v>
      </c>
      <c r="R28" s="161">
        <v>0</v>
      </c>
      <c r="S28" s="161">
        <v>0</v>
      </c>
      <c r="T28" s="161">
        <v>0</v>
      </c>
      <c r="U28" s="347">
        <v>0</v>
      </c>
      <c r="V28" s="347">
        <v>0</v>
      </c>
    </row>
    <row r="29" spans="2:24" ht="21" customHeight="1">
      <c r="B29" s="700" t="str">
        <f>GeneralInputPrices!B12&amp;", Quanitity"</f>
        <v xml:space="preserve">   - Fusilade, Quanitity</v>
      </c>
      <c r="C29" s="702" t="str">
        <f>GeneralInputPrices!C12</f>
        <v>ounces</v>
      </c>
      <c r="D29" s="347">
        <v>20</v>
      </c>
      <c r="E29" s="347">
        <v>20</v>
      </c>
      <c r="F29" s="347">
        <v>0</v>
      </c>
      <c r="G29" s="347">
        <v>0</v>
      </c>
      <c r="H29" s="347">
        <v>0</v>
      </c>
      <c r="I29" s="347">
        <v>0</v>
      </c>
      <c r="J29" s="347">
        <v>0</v>
      </c>
      <c r="K29" s="347">
        <v>0</v>
      </c>
      <c r="L29" s="347">
        <v>0</v>
      </c>
      <c r="M29" s="347">
        <v>0</v>
      </c>
      <c r="N29" s="347">
        <v>0</v>
      </c>
      <c r="O29" s="347">
        <v>0</v>
      </c>
      <c r="P29" s="347">
        <v>0</v>
      </c>
      <c r="Q29" s="161">
        <v>0</v>
      </c>
      <c r="R29" s="161">
        <v>0</v>
      </c>
      <c r="S29" s="161">
        <v>0</v>
      </c>
      <c r="T29" s="161">
        <v>0</v>
      </c>
      <c r="U29" s="347">
        <v>0</v>
      </c>
      <c r="V29" s="347">
        <v>0</v>
      </c>
    </row>
    <row r="30" spans="2:24" ht="21">
      <c r="B30" s="699" t="s">
        <v>307</v>
      </c>
      <c r="C30" s="699"/>
      <c r="D30" s="699"/>
      <c r="E30" s="699"/>
      <c r="F30" s="699"/>
      <c r="G30" s="699"/>
      <c r="H30" s="699"/>
      <c r="I30" s="699"/>
      <c r="J30" s="699"/>
      <c r="K30" s="699"/>
      <c r="L30" s="699"/>
      <c r="M30" s="699"/>
      <c r="N30" s="699"/>
      <c r="O30" s="699"/>
      <c r="P30" s="699"/>
      <c r="Q30" s="699"/>
      <c r="R30" s="699"/>
      <c r="S30" s="699"/>
      <c r="T30" s="699"/>
      <c r="U30" s="699"/>
      <c r="V30" s="699"/>
    </row>
    <row r="31" spans="2:24" ht="21">
      <c r="B31" s="264" t="s">
        <v>196</v>
      </c>
      <c r="C31" s="708" t="s">
        <v>157</v>
      </c>
      <c r="D31" s="171">
        <v>0</v>
      </c>
      <c r="E31" s="171">
        <v>0</v>
      </c>
      <c r="F31" s="171">
        <v>0</v>
      </c>
      <c r="G31" s="171">
        <v>0</v>
      </c>
      <c r="H31" s="171">
        <v>0</v>
      </c>
      <c r="I31" s="171">
        <v>0</v>
      </c>
      <c r="J31" s="171">
        <v>0</v>
      </c>
      <c r="K31" s="171">
        <v>0</v>
      </c>
      <c r="L31" s="171">
        <v>0</v>
      </c>
      <c r="M31" s="171">
        <v>0</v>
      </c>
      <c r="N31" s="171">
        <v>0</v>
      </c>
      <c r="O31" s="171">
        <v>0</v>
      </c>
      <c r="P31" s="171">
        <v>0</v>
      </c>
      <c r="Q31" s="171">
        <v>0</v>
      </c>
      <c r="R31" s="171">
        <v>0</v>
      </c>
      <c r="S31" s="171">
        <v>0</v>
      </c>
      <c r="T31" s="171">
        <v>0</v>
      </c>
      <c r="U31" s="171">
        <v>0</v>
      </c>
      <c r="V31" s="171">
        <v>0</v>
      </c>
      <c r="X31" s="709" t="s">
        <v>10</v>
      </c>
    </row>
    <row r="32" spans="2:24" ht="21">
      <c r="B32" s="336" t="s">
        <v>190</v>
      </c>
      <c r="C32" s="708" t="s">
        <v>157</v>
      </c>
      <c r="D32" s="160">
        <v>0</v>
      </c>
      <c r="E32" s="160">
        <v>0</v>
      </c>
      <c r="F32" s="160">
        <v>0</v>
      </c>
      <c r="G32" s="160">
        <v>0</v>
      </c>
      <c r="H32" s="160">
        <v>650</v>
      </c>
      <c r="I32" s="160">
        <v>20</v>
      </c>
      <c r="J32" s="160">
        <v>77</v>
      </c>
      <c r="K32" s="160">
        <v>0</v>
      </c>
      <c r="L32" s="160">
        <f>175.5</f>
        <v>175.5</v>
      </c>
      <c r="M32" s="160">
        <f>312</f>
        <v>312</v>
      </c>
      <c r="N32" s="160">
        <v>0</v>
      </c>
      <c r="O32" s="160">
        <f>(P32*0.67)</f>
        <v>182.91000000000003</v>
      </c>
      <c r="P32" s="160">
        <f>273</f>
        <v>273</v>
      </c>
      <c r="Q32" s="160">
        <v>0</v>
      </c>
      <c r="R32" s="160">
        <v>0</v>
      </c>
      <c r="S32" s="160">
        <v>0</v>
      </c>
      <c r="T32" s="160">
        <v>0</v>
      </c>
      <c r="U32" s="160">
        <v>68</v>
      </c>
      <c r="V32" s="160">
        <f>170*1.75</f>
        <v>297.5</v>
      </c>
    </row>
    <row r="33" spans="2:24" ht="21">
      <c r="B33" s="336" t="s">
        <v>191</v>
      </c>
      <c r="C33" s="708" t="s">
        <v>157</v>
      </c>
      <c r="D33" s="160">
        <v>0</v>
      </c>
      <c r="E33" s="160">
        <v>0</v>
      </c>
      <c r="F33" s="160">
        <v>0</v>
      </c>
      <c r="G33" s="160">
        <v>0</v>
      </c>
      <c r="H33" s="160">
        <v>0</v>
      </c>
      <c r="I33" s="160">
        <v>0</v>
      </c>
      <c r="J33" s="160">
        <v>0</v>
      </c>
      <c r="K33" s="160">
        <v>0</v>
      </c>
      <c r="L33" s="160">
        <v>0</v>
      </c>
      <c r="M33" s="160">
        <f>67.5</f>
        <v>67.5</v>
      </c>
      <c r="N33" s="160">
        <v>0</v>
      </c>
      <c r="O33" s="160">
        <v>0</v>
      </c>
      <c r="P33" s="160">
        <f>67.5</f>
        <v>67.5</v>
      </c>
      <c r="Q33" s="160">
        <v>0</v>
      </c>
      <c r="R33" s="160">
        <v>0</v>
      </c>
      <c r="S33" s="160">
        <v>0</v>
      </c>
      <c r="T33" s="160">
        <v>0</v>
      </c>
      <c r="U33" s="160">
        <v>0</v>
      </c>
      <c r="V33" s="160">
        <v>0</v>
      </c>
    </row>
    <row r="34" spans="2:24" ht="21">
      <c r="B34" s="710" t="s">
        <v>241</v>
      </c>
      <c r="C34" s="708" t="s">
        <v>157</v>
      </c>
      <c r="D34" s="160">
        <v>0</v>
      </c>
      <c r="E34" s="160">
        <v>0</v>
      </c>
      <c r="F34" s="160">
        <v>0</v>
      </c>
      <c r="G34" s="160">
        <v>0</v>
      </c>
      <c r="H34" s="160">
        <v>0</v>
      </c>
      <c r="I34" s="160">
        <v>0</v>
      </c>
      <c r="J34" s="160">
        <v>0</v>
      </c>
      <c r="K34" s="160">
        <v>0</v>
      </c>
      <c r="L34" s="160">
        <v>0</v>
      </c>
      <c r="M34" s="160">
        <v>0</v>
      </c>
      <c r="N34" s="160">
        <v>0</v>
      </c>
      <c r="O34" s="160">
        <v>0</v>
      </c>
      <c r="P34" s="160">
        <v>0</v>
      </c>
      <c r="Q34" s="160">
        <v>0</v>
      </c>
      <c r="R34" s="160">
        <v>0</v>
      </c>
      <c r="S34" s="160">
        <v>0</v>
      </c>
      <c r="T34" s="160">
        <v>0</v>
      </c>
      <c r="U34" s="160">
        <v>0</v>
      </c>
      <c r="V34" s="160">
        <v>0</v>
      </c>
    </row>
    <row r="35" spans="2:24" ht="21">
      <c r="B35" s="336" t="s">
        <v>446</v>
      </c>
      <c r="C35" s="708" t="s">
        <v>157</v>
      </c>
      <c r="D35" s="161">
        <v>0</v>
      </c>
      <c r="E35" s="347">
        <v>0</v>
      </c>
      <c r="F35" s="347">
        <v>0</v>
      </c>
      <c r="G35" s="347">
        <v>0</v>
      </c>
      <c r="H35" s="347">
        <v>0</v>
      </c>
      <c r="I35" s="347">
        <v>0</v>
      </c>
      <c r="J35" s="347">
        <v>0</v>
      </c>
      <c r="K35" s="347">
        <v>27</v>
      </c>
      <c r="L35" s="347">
        <f>24</f>
        <v>24</v>
      </c>
      <c r="M35" s="160">
        <f>90</f>
        <v>90</v>
      </c>
      <c r="N35" s="160">
        <v>0</v>
      </c>
      <c r="O35" s="347">
        <f>17</f>
        <v>17</v>
      </c>
      <c r="P35" s="347">
        <f>17</f>
        <v>17</v>
      </c>
      <c r="Q35" s="161">
        <v>0</v>
      </c>
      <c r="R35" s="161">
        <v>0</v>
      </c>
      <c r="S35" s="161">
        <v>0</v>
      </c>
      <c r="T35" s="161">
        <v>0</v>
      </c>
      <c r="U35" s="347">
        <v>50</v>
      </c>
      <c r="V35" s="347">
        <v>90</v>
      </c>
    </row>
    <row r="36" spans="2:24" ht="21">
      <c r="B36" s="265" t="s">
        <v>239</v>
      </c>
      <c r="C36" s="708" t="s">
        <v>157</v>
      </c>
      <c r="D36" s="161">
        <v>0</v>
      </c>
      <c r="E36" s="347">
        <v>0</v>
      </c>
      <c r="F36" s="347">
        <v>0</v>
      </c>
      <c r="G36" s="347">
        <v>0</v>
      </c>
      <c r="H36" s="347">
        <v>0</v>
      </c>
      <c r="I36" s="347">
        <v>0</v>
      </c>
      <c r="J36" s="347">
        <v>0</v>
      </c>
      <c r="K36" s="347">
        <v>0</v>
      </c>
      <c r="L36" s="347">
        <v>0</v>
      </c>
      <c r="M36" s="160">
        <v>0</v>
      </c>
      <c r="N36" s="160">
        <v>0</v>
      </c>
      <c r="O36" s="347">
        <v>0</v>
      </c>
      <c r="P36" s="347">
        <v>0</v>
      </c>
      <c r="Q36" s="161">
        <v>0</v>
      </c>
      <c r="R36" s="161">
        <v>0</v>
      </c>
      <c r="S36" s="161">
        <v>0</v>
      </c>
      <c r="T36" s="161">
        <v>0</v>
      </c>
      <c r="U36" s="347">
        <v>0</v>
      </c>
      <c r="V36" s="347">
        <v>0</v>
      </c>
      <c r="W36" s="611"/>
      <c r="X36" s="611"/>
    </row>
    <row r="37" spans="2:24" ht="21.9" customHeight="1">
      <c r="B37" s="265" t="s">
        <v>449</v>
      </c>
      <c r="C37" s="708" t="s">
        <v>157</v>
      </c>
      <c r="D37" s="161">
        <v>0</v>
      </c>
      <c r="E37" s="347">
        <v>0</v>
      </c>
      <c r="F37" s="347">
        <v>0</v>
      </c>
      <c r="G37" s="347">
        <v>0</v>
      </c>
      <c r="H37" s="347">
        <v>0</v>
      </c>
      <c r="I37" s="347">
        <v>0</v>
      </c>
      <c r="J37" s="347">
        <v>0</v>
      </c>
      <c r="K37" s="347">
        <v>0</v>
      </c>
      <c r="L37" s="347">
        <f>50</f>
        <v>50</v>
      </c>
      <c r="M37" s="160">
        <f>20</f>
        <v>20</v>
      </c>
      <c r="N37" s="160">
        <v>0</v>
      </c>
      <c r="O37" s="347">
        <f>15</f>
        <v>15</v>
      </c>
      <c r="P37" s="347">
        <v>0</v>
      </c>
      <c r="Q37" s="161">
        <v>0</v>
      </c>
      <c r="R37" s="161">
        <v>0</v>
      </c>
      <c r="S37" s="161">
        <v>0</v>
      </c>
      <c r="T37" s="161">
        <v>0</v>
      </c>
      <c r="U37" s="347">
        <v>40</v>
      </c>
      <c r="V37" s="347">
        <v>60</v>
      </c>
    </row>
    <row r="38" spans="2:24" ht="21">
      <c r="B38" s="265" t="s">
        <v>240</v>
      </c>
      <c r="C38" s="708" t="s">
        <v>157</v>
      </c>
      <c r="D38" s="161">
        <v>0</v>
      </c>
      <c r="E38" s="347">
        <v>0</v>
      </c>
      <c r="F38" s="347">
        <v>0</v>
      </c>
      <c r="G38" s="347">
        <v>0</v>
      </c>
      <c r="H38" s="347">
        <v>0</v>
      </c>
      <c r="I38" s="347">
        <v>0</v>
      </c>
      <c r="J38" s="347">
        <v>50</v>
      </c>
      <c r="K38" s="347">
        <v>0</v>
      </c>
      <c r="L38" s="347">
        <v>0</v>
      </c>
      <c r="M38" s="160">
        <v>0</v>
      </c>
      <c r="N38" s="160">
        <v>0</v>
      </c>
      <c r="O38" s="347">
        <v>0</v>
      </c>
      <c r="P38" s="347">
        <v>0</v>
      </c>
      <c r="Q38" s="161">
        <v>0</v>
      </c>
      <c r="R38" s="161">
        <v>0</v>
      </c>
      <c r="S38" s="161">
        <v>0</v>
      </c>
      <c r="T38" s="161">
        <v>0</v>
      </c>
      <c r="U38" s="347">
        <v>0</v>
      </c>
      <c r="V38" s="347">
        <v>0</v>
      </c>
    </row>
    <row r="39" spans="2:24" ht="21.9" customHeight="1">
      <c r="B39" s="700" t="s">
        <v>65</v>
      </c>
      <c r="C39" s="708" t="s">
        <v>157</v>
      </c>
      <c r="D39" s="160">
        <v>0</v>
      </c>
      <c r="E39" s="160">
        <v>0</v>
      </c>
      <c r="F39" s="160">
        <v>0</v>
      </c>
      <c r="G39" s="160">
        <v>0</v>
      </c>
      <c r="H39" s="160">
        <v>0</v>
      </c>
      <c r="I39" s="160">
        <v>0</v>
      </c>
      <c r="J39" s="160">
        <v>0</v>
      </c>
      <c r="K39" s="160">
        <v>0</v>
      </c>
      <c r="L39" s="160">
        <v>0</v>
      </c>
      <c r="M39" s="160">
        <v>0</v>
      </c>
      <c r="N39" s="160">
        <v>0</v>
      </c>
      <c r="O39" s="160">
        <v>0</v>
      </c>
      <c r="P39" s="160">
        <v>0</v>
      </c>
      <c r="Q39" s="160">
        <v>0</v>
      </c>
      <c r="R39" s="160">
        <v>0</v>
      </c>
      <c r="S39" s="160">
        <v>0</v>
      </c>
      <c r="T39" s="160">
        <v>0</v>
      </c>
      <c r="U39" s="160">
        <v>0</v>
      </c>
      <c r="V39" s="160">
        <v>0</v>
      </c>
    </row>
    <row r="40" spans="2:24" ht="20.100000000000001" customHeight="1">
      <c r="B40" s="700" t="s">
        <v>74</v>
      </c>
      <c r="C40" s="708" t="s">
        <v>157</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row>
    <row r="41" spans="2:24" ht="21">
      <c r="B41" s="700" t="s">
        <v>133</v>
      </c>
      <c r="C41" s="708" t="s">
        <v>157</v>
      </c>
      <c r="D41" s="160">
        <v>0</v>
      </c>
      <c r="E41" s="160">
        <v>0</v>
      </c>
      <c r="F41" s="160">
        <v>0</v>
      </c>
      <c r="G41" s="160">
        <v>0</v>
      </c>
      <c r="H41" s="160">
        <v>0</v>
      </c>
      <c r="I41" s="160">
        <v>0</v>
      </c>
      <c r="J41" s="160">
        <v>0</v>
      </c>
      <c r="K41" s="160">
        <v>0</v>
      </c>
      <c r="L41" s="160">
        <v>0</v>
      </c>
      <c r="M41" s="160">
        <v>0</v>
      </c>
      <c r="N41" s="160">
        <v>0</v>
      </c>
      <c r="O41" s="160">
        <v>0</v>
      </c>
      <c r="P41" s="160">
        <v>0</v>
      </c>
      <c r="Q41" s="160">
        <v>0</v>
      </c>
      <c r="R41" s="160">
        <v>0</v>
      </c>
      <c r="S41" s="160">
        <v>0</v>
      </c>
      <c r="T41" s="160">
        <v>0</v>
      </c>
      <c r="U41" s="160">
        <v>0</v>
      </c>
      <c r="V41" s="160">
        <v>0</v>
      </c>
    </row>
    <row r="42" spans="2:24" ht="21" customHeight="1">
      <c r="B42" s="711" t="s">
        <v>130</v>
      </c>
      <c r="C42" s="708" t="s">
        <v>157</v>
      </c>
      <c r="D42" s="160">
        <v>170</v>
      </c>
      <c r="E42" s="160">
        <v>170</v>
      </c>
      <c r="F42" s="160">
        <v>170</v>
      </c>
      <c r="G42" s="160">
        <v>170</v>
      </c>
      <c r="H42" s="160">
        <v>170</v>
      </c>
      <c r="I42" s="160">
        <v>170</v>
      </c>
      <c r="J42" s="160">
        <v>170</v>
      </c>
      <c r="K42" s="160">
        <v>170</v>
      </c>
      <c r="L42" s="160">
        <v>170</v>
      </c>
      <c r="M42" s="160">
        <v>170</v>
      </c>
      <c r="N42" s="160">
        <v>170</v>
      </c>
      <c r="O42" s="160">
        <v>170</v>
      </c>
      <c r="P42" s="160">
        <v>170</v>
      </c>
      <c r="Q42" s="160">
        <v>170</v>
      </c>
      <c r="R42" s="160">
        <v>170</v>
      </c>
      <c r="S42" s="160">
        <v>170</v>
      </c>
      <c r="T42" s="160">
        <v>170</v>
      </c>
      <c r="U42" s="160">
        <v>170</v>
      </c>
      <c r="V42" s="160">
        <v>170</v>
      </c>
    </row>
    <row r="43" spans="2:24" ht="21" customHeight="1">
      <c r="B43" s="711" t="s">
        <v>459</v>
      </c>
      <c r="C43" s="708" t="s">
        <v>299</v>
      </c>
      <c r="D43" s="160"/>
      <c r="E43" s="160"/>
      <c r="F43" s="160"/>
      <c r="G43" s="160"/>
      <c r="H43" s="160"/>
      <c r="I43" s="160"/>
      <c r="J43" s="160"/>
      <c r="K43" s="160"/>
      <c r="L43" s="160">
        <v>3</v>
      </c>
      <c r="M43" s="160"/>
      <c r="N43" s="160"/>
      <c r="O43" s="160"/>
      <c r="P43" s="160"/>
      <c r="Q43" s="160"/>
      <c r="R43" s="160"/>
      <c r="S43" s="160"/>
      <c r="T43" s="160"/>
      <c r="U43" s="160"/>
      <c r="V43" s="160"/>
    </row>
    <row r="44" spans="2:24" ht="21" customHeight="1">
      <c r="B44" s="711" t="s">
        <v>456</v>
      </c>
      <c r="C44" s="708" t="s">
        <v>299</v>
      </c>
      <c r="D44" s="160"/>
      <c r="E44" s="160"/>
      <c r="F44" s="160"/>
      <c r="G44" s="160"/>
      <c r="H44" s="160"/>
      <c r="I44" s="160"/>
      <c r="J44" s="160"/>
      <c r="K44" s="160"/>
      <c r="L44" s="160">
        <v>0.45</v>
      </c>
      <c r="M44" s="160"/>
      <c r="N44" s="160"/>
      <c r="O44" s="160"/>
      <c r="P44" s="160"/>
      <c r="Q44" s="160"/>
      <c r="R44" s="160"/>
      <c r="S44" s="160"/>
      <c r="T44" s="160"/>
      <c r="U44" s="160"/>
      <c r="V44" s="160"/>
    </row>
    <row r="45" spans="2:24" ht="21" customHeight="1">
      <c r="B45" s="711" t="s">
        <v>457</v>
      </c>
      <c r="C45" s="708" t="s">
        <v>299</v>
      </c>
      <c r="D45" s="160"/>
      <c r="E45" s="160"/>
      <c r="F45" s="160"/>
      <c r="G45" s="160"/>
      <c r="H45" s="160"/>
      <c r="I45" s="160"/>
      <c r="J45" s="160"/>
      <c r="K45" s="160"/>
      <c r="L45" s="160">
        <v>0.65</v>
      </c>
      <c r="M45" s="160"/>
      <c r="N45" s="160"/>
      <c r="O45" s="160"/>
      <c r="P45" s="160"/>
      <c r="Q45" s="160"/>
      <c r="R45" s="160"/>
      <c r="S45" s="160"/>
      <c r="T45" s="160"/>
      <c r="U45" s="160"/>
      <c r="V45" s="160"/>
    </row>
    <row r="46" spans="2:24" ht="21" customHeight="1">
      <c r="B46" s="711" t="s">
        <v>460</v>
      </c>
      <c r="C46" s="708" t="s">
        <v>299</v>
      </c>
      <c r="D46" s="160"/>
      <c r="E46" s="160"/>
      <c r="F46" s="160"/>
      <c r="G46" s="160"/>
      <c r="H46" s="160"/>
      <c r="I46" s="160"/>
      <c r="J46" s="160"/>
      <c r="K46" s="160"/>
      <c r="L46" s="160">
        <v>1</v>
      </c>
      <c r="M46" s="160"/>
      <c r="N46" s="160"/>
      <c r="O46" s="160"/>
      <c r="P46" s="160"/>
      <c r="Q46" s="160"/>
      <c r="R46" s="160"/>
      <c r="S46" s="160"/>
      <c r="T46" s="160"/>
      <c r="U46" s="160"/>
      <c r="V46" s="160"/>
    </row>
    <row r="47" spans="2:24" ht="21" customHeight="1">
      <c r="B47" s="711" t="s">
        <v>460</v>
      </c>
      <c r="C47" s="708" t="s">
        <v>461</v>
      </c>
      <c r="D47" s="160"/>
      <c r="E47" s="160"/>
      <c r="F47" s="160"/>
      <c r="G47" s="160"/>
      <c r="H47" s="160"/>
      <c r="I47" s="160"/>
      <c r="J47" s="160"/>
      <c r="K47" s="160"/>
      <c r="L47" s="349">
        <v>5.0000000000000002E-5</v>
      </c>
      <c r="M47" s="160"/>
      <c r="N47" s="160"/>
      <c r="O47" s="160"/>
      <c r="P47" s="160"/>
      <c r="Q47" s="160"/>
      <c r="R47" s="160"/>
      <c r="S47" s="160"/>
      <c r="T47" s="160"/>
      <c r="U47" s="160"/>
      <c r="V47" s="160"/>
    </row>
    <row r="48" spans="2:24" ht="21" customHeight="1">
      <c r="B48" s="711" t="s">
        <v>458</v>
      </c>
      <c r="C48" s="708" t="s">
        <v>299</v>
      </c>
      <c r="D48" s="160"/>
      <c r="E48" s="160"/>
      <c r="F48" s="160"/>
      <c r="G48" s="160"/>
      <c r="H48" s="160"/>
      <c r="I48" s="160"/>
      <c r="J48" s="160"/>
      <c r="K48" s="160"/>
      <c r="L48" s="160">
        <v>2.2999999999999998</v>
      </c>
      <c r="M48" s="160"/>
      <c r="N48" s="160"/>
      <c r="O48" s="160"/>
      <c r="P48" s="160"/>
      <c r="Q48" s="160"/>
      <c r="R48" s="160"/>
      <c r="S48" s="160"/>
      <c r="T48" s="160"/>
      <c r="U48" s="160"/>
      <c r="V48" s="160"/>
    </row>
    <row r="49" spans="2:22" ht="21">
      <c r="B49" s="712" t="s">
        <v>204</v>
      </c>
      <c r="C49" s="713" t="s">
        <v>157</v>
      </c>
      <c r="D49" s="162">
        <v>0</v>
      </c>
      <c r="E49" s="162">
        <v>0</v>
      </c>
      <c r="F49" s="162">
        <v>0</v>
      </c>
      <c r="G49" s="162">
        <v>0</v>
      </c>
      <c r="H49" s="162">
        <v>30</v>
      </c>
      <c r="I49" s="162">
        <v>30</v>
      </c>
      <c r="J49" s="162">
        <v>30</v>
      </c>
      <c r="K49" s="162">
        <v>0</v>
      </c>
      <c r="L49" s="162">
        <v>0</v>
      </c>
      <c r="M49" s="162">
        <v>0</v>
      </c>
      <c r="N49" s="162">
        <v>0</v>
      </c>
      <c r="O49" s="162">
        <v>0</v>
      </c>
      <c r="P49" s="162">
        <v>0</v>
      </c>
      <c r="Q49" s="162">
        <v>0</v>
      </c>
      <c r="R49" s="162">
        <v>0</v>
      </c>
      <c r="S49" s="162">
        <v>0</v>
      </c>
      <c r="T49" s="162">
        <v>0</v>
      </c>
      <c r="U49" s="162">
        <v>0</v>
      </c>
      <c r="V49" s="162">
        <v>0</v>
      </c>
    </row>
    <row r="50" spans="2:22" ht="23.4">
      <c r="B50" s="714" t="s">
        <v>418</v>
      </c>
      <c r="C50" s="611"/>
      <c r="D50" s="611"/>
      <c r="Q50" s="611"/>
      <c r="R50" s="611"/>
      <c r="S50" s="611"/>
      <c r="T50" s="611"/>
    </row>
    <row r="51" spans="2:22">
      <c r="C51" s="611"/>
      <c r="D51" s="611"/>
      <c r="Q51" s="611"/>
      <c r="R51" s="611"/>
      <c r="S51" s="611"/>
      <c r="T51" s="611"/>
    </row>
    <row r="52" spans="2:22" hidden="1">
      <c r="B52" s="611"/>
      <c r="C52" s="611"/>
      <c r="D52" s="611"/>
      <c r="Q52" s="611"/>
      <c r="R52" s="611"/>
      <c r="S52" s="611"/>
      <c r="T52" s="611"/>
    </row>
    <row r="53" spans="2:22" ht="15.9" hidden="1" customHeight="1">
      <c r="B53" s="611"/>
      <c r="C53" s="611" t="s">
        <v>454</v>
      </c>
      <c r="D53" s="611"/>
      <c r="Q53" s="611"/>
      <c r="R53" s="611"/>
      <c r="S53" s="611"/>
      <c r="T53" s="611"/>
    </row>
    <row r="54" spans="2:22" hidden="1">
      <c r="B54" s="611"/>
      <c r="C54" s="611" t="s">
        <v>157</v>
      </c>
      <c r="D54" s="611">
        <v>48</v>
      </c>
      <c r="Q54" s="611"/>
      <c r="R54" s="611"/>
      <c r="S54" s="611"/>
      <c r="T54" s="611"/>
    </row>
    <row r="55" spans="2:22" hidden="1">
      <c r="B55" s="611"/>
      <c r="C55" s="611" t="s">
        <v>417</v>
      </c>
      <c r="D55" s="611">
        <v>49</v>
      </c>
      <c r="Q55" s="611"/>
      <c r="R55" s="611"/>
      <c r="S55" s="611"/>
      <c r="T55" s="611"/>
    </row>
    <row r="56" spans="2:22" hidden="1">
      <c r="B56" s="611"/>
      <c r="C56" s="611" t="s">
        <v>335</v>
      </c>
      <c r="D56" s="611">
        <v>50</v>
      </c>
      <c r="Q56" s="611"/>
      <c r="R56" s="611"/>
      <c r="S56" s="611"/>
      <c r="T56" s="611"/>
    </row>
    <row r="57" spans="2:22" hidden="1">
      <c r="B57" s="611"/>
      <c r="C57" s="611" t="s">
        <v>316</v>
      </c>
      <c r="D57" s="611">
        <v>51</v>
      </c>
      <c r="Q57" s="611"/>
      <c r="R57" s="611"/>
      <c r="S57" s="611"/>
      <c r="T57" s="611"/>
    </row>
    <row r="58" spans="2:22" hidden="1">
      <c r="B58" s="611"/>
      <c r="C58" s="611" t="s">
        <v>315</v>
      </c>
      <c r="D58" s="611">
        <v>52</v>
      </c>
      <c r="Q58" s="611"/>
      <c r="R58" s="611"/>
      <c r="S58" s="611"/>
      <c r="T58" s="611"/>
    </row>
    <row r="59" spans="2:22" hidden="1">
      <c r="B59" s="611"/>
      <c r="C59" s="611" t="s">
        <v>299</v>
      </c>
      <c r="D59" s="611">
        <v>53</v>
      </c>
      <c r="Q59" s="611"/>
      <c r="R59" s="611"/>
      <c r="S59" s="611"/>
      <c r="T59" s="611"/>
    </row>
    <row r="60" spans="2:22" hidden="1">
      <c r="B60" s="611"/>
      <c r="C60" s="611" t="s">
        <v>301</v>
      </c>
      <c r="D60" s="611">
        <v>54</v>
      </c>
      <c r="Q60" s="611"/>
      <c r="R60" s="611"/>
      <c r="S60" s="611"/>
      <c r="T60" s="611"/>
    </row>
    <row r="61" spans="2:22" hidden="1">
      <c r="B61" s="611"/>
      <c r="C61" s="611" t="s">
        <v>317</v>
      </c>
      <c r="D61" s="611">
        <v>55</v>
      </c>
      <c r="Q61" s="611"/>
      <c r="R61" s="611"/>
      <c r="S61" s="611"/>
      <c r="T61" s="611"/>
    </row>
    <row r="62" spans="2:22" hidden="1">
      <c r="B62" s="611"/>
      <c r="C62" s="611" t="s">
        <v>318</v>
      </c>
      <c r="D62" s="611">
        <v>56</v>
      </c>
      <c r="Q62" s="611"/>
      <c r="R62" s="611"/>
      <c r="S62" s="611"/>
      <c r="T62" s="611"/>
    </row>
    <row r="63" spans="2:22" hidden="1">
      <c r="B63" s="611"/>
      <c r="C63" s="611" t="s">
        <v>296</v>
      </c>
      <c r="D63" s="611">
        <v>57</v>
      </c>
      <c r="Q63" s="611"/>
      <c r="R63" s="611"/>
      <c r="S63" s="611"/>
      <c r="T63" s="611"/>
    </row>
    <row r="64" spans="2:22" hidden="1">
      <c r="B64" s="611"/>
      <c r="C64" s="611" t="s">
        <v>298</v>
      </c>
      <c r="D64" s="611">
        <v>58</v>
      </c>
      <c r="Q64" s="611"/>
      <c r="R64" s="611"/>
      <c r="S64" s="611"/>
      <c r="T64" s="611"/>
    </row>
    <row r="65" spans="2:20" hidden="1">
      <c r="B65" s="611"/>
      <c r="C65" s="611" t="s">
        <v>251</v>
      </c>
      <c r="D65" s="611">
        <v>59</v>
      </c>
      <c r="Q65" s="611"/>
      <c r="R65" s="611"/>
      <c r="S65" s="611"/>
      <c r="T65" s="611"/>
    </row>
    <row r="66" spans="2:20" hidden="1">
      <c r="B66" s="611"/>
      <c r="C66" s="611" t="s">
        <v>319</v>
      </c>
      <c r="D66" s="611">
        <v>60</v>
      </c>
      <c r="Q66" s="611"/>
      <c r="R66" s="611"/>
      <c r="S66" s="611"/>
      <c r="T66" s="611"/>
    </row>
    <row r="67" spans="2:20" hidden="1">
      <c r="B67" s="611"/>
      <c r="C67" s="611" t="s">
        <v>320</v>
      </c>
      <c r="D67" s="611">
        <v>61</v>
      </c>
      <c r="Q67" s="611"/>
      <c r="R67" s="611"/>
      <c r="S67" s="611"/>
      <c r="T67" s="611"/>
    </row>
    <row r="68" spans="2:20" hidden="1">
      <c r="B68" s="611"/>
      <c r="C68" s="611" t="s">
        <v>321</v>
      </c>
      <c r="D68" s="611">
        <v>62</v>
      </c>
      <c r="Q68" s="611"/>
      <c r="R68" s="611"/>
      <c r="S68" s="611"/>
      <c r="T68" s="611"/>
    </row>
    <row r="69" spans="2:20" hidden="1">
      <c r="B69" s="611"/>
      <c r="C69" s="611" t="s">
        <v>322</v>
      </c>
      <c r="D69" s="611">
        <v>63</v>
      </c>
      <c r="Q69" s="611"/>
      <c r="R69" s="611"/>
      <c r="S69" s="611"/>
      <c r="T69" s="611"/>
    </row>
    <row r="70" spans="2:20" ht="21" hidden="1">
      <c r="B70" s="715" t="s">
        <v>195</v>
      </c>
      <c r="C70" s="611" t="s">
        <v>323</v>
      </c>
      <c r="D70" s="611">
        <v>64</v>
      </c>
      <c r="Q70" s="611"/>
      <c r="R70" s="611"/>
      <c r="S70" s="611"/>
      <c r="T70" s="611"/>
    </row>
    <row r="71" spans="2:20" ht="21" hidden="1">
      <c r="B71" s="715" t="s">
        <v>195</v>
      </c>
      <c r="C71" s="611" t="s">
        <v>312</v>
      </c>
      <c r="D71" s="611">
        <v>65</v>
      </c>
      <c r="Q71" s="611"/>
      <c r="R71" s="611"/>
      <c r="S71" s="611"/>
      <c r="T71" s="611"/>
    </row>
    <row r="72" spans="2:20" ht="21" hidden="1">
      <c r="B72" s="715" t="s">
        <v>195</v>
      </c>
      <c r="C72" s="611" t="s">
        <v>324</v>
      </c>
      <c r="D72" s="611">
        <v>66</v>
      </c>
      <c r="Q72" s="611"/>
      <c r="R72" s="611"/>
      <c r="S72" s="611"/>
      <c r="T72" s="611"/>
    </row>
    <row r="73" spans="2:20" ht="21" hidden="1">
      <c r="B73" s="715" t="s">
        <v>195</v>
      </c>
      <c r="C73" s="611" t="s">
        <v>334</v>
      </c>
      <c r="D73" s="611">
        <v>67</v>
      </c>
      <c r="Q73" s="611"/>
      <c r="R73" s="611"/>
      <c r="S73" s="611"/>
      <c r="T73" s="611"/>
    </row>
    <row r="74" spans="2:20" ht="21" hidden="1">
      <c r="B74" s="715" t="s">
        <v>195</v>
      </c>
      <c r="C74" s="611" t="s">
        <v>243</v>
      </c>
      <c r="D74" s="611">
        <v>68</v>
      </c>
      <c r="Q74" s="611"/>
      <c r="R74" s="611"/>
      <c r="S74" s="611"/>
      <c r="T74" s="611"/>
    </row>
    <row r="75" spans="2:20" ht="21" hidden="1">
      <c r="B75" s="715" t="s">
        <v>195</v>
      </c>
      <c r="C75" s="611" t="s">
        <v>311</v>
      </c>
      <c r="D75" s="611">
        <v>69</v>
      </c>
      <c r="Q75" s="611"/>
      <c r="R75" s="611"/>
      <c r="S75" s="611"/>
      <c r="T75" s="611"/>
    </row>
    <row r="76" spans="2:20" ht="21" hidden="1">
      <c r="B76" s="715" t="s">
        <v>195</v>
      </c>
      <c r="C76" s="611" t="s">
        <v>309</v>
      </c>
      <c r="D76" s="611">
        <v>70</v>
      </c>
      <c r="Q76" s="611"/>
      <c r="R76" s="611"/>
      <c r="S76" s="611"/>
      <c r="T76" s="611"/>
    </row>
    <row r="77" spans="2:20" ht="21" hidden="1">
      <c r="B77" s="715" t="s">
        <v>195</v>
      </c>
      <c r="C77" s="611" t="s">
        <v>310</v>
      </c>
      <c r="D77" s="611">
        <v>71</v>
      </c>
      <c r="Q77" s="611"/>
      <c r="R77" s="611"/>
      <c r="S77" s="611"/>
      <c r="T77" s="611"/>
    </row>
    <row r="78" spans="2:20" ht="21" hidden="1">
      <c r="B78" s="715" t="s">
        <v>195</v>
      </c>
      <c r="C78" s="611" t="s">
        <v>326</v>
      </c>
      <c r="D78" s="611">
        <v>72</v>
      </c>
      <c r="Q78" s="611"/>
      <c r="R78" s="611"/>
      <c r="S78" s="611"/>
      <c r="T78" s="611"/>
    </row>
    <row r="79" spans="2:20" ht="21" hidden="1">
      <c r="B79" s="715" t="s">
        <v>195</v>
      </c>
      <c r="C79" s="611" t="s">
        <v>325</v>
      </c>
      <c r="D79" s="611">
        <v>73</v>
      </c>
      <c r="Q79" s="611"/>
      <c r="R79" s="611"/>
      <c r="S79" s="611"/>
      <c r="T79" s="611"/>
    </row>
    <row r="80" spans="2:20" ht="21" hidden="1">
      <c r="B80" s="715" t="s">
        <v>195</v>
      </c>
      <c r="C80" s="611" t="s">
        <v>247</v>
      </c>
      <c r="D80" s="611">
        <v>74</v>
      </c>
      <c r="Q80" s="611"/>
      <c r="R80" s="611"/>
      <c r="S80" s="611"/>
      <c r="T80" s="611"/>
    </row>
    <row r="81" spans="2:20" ht="21" hidden="1">
      <c r="B81" s="715" t="s">
        <v>195</v>
      </c>
      <c r="C81" s="611" t="s">
        <v>336</v>
      </c>
      <c r="D81" s="611">
        <v>75</v>
      </c>
      <c r="Q81" s="611"/>
      <c r="R81" s="611"/>
      <c r="S81" s="611"/>
      <c r="T81" s="611"/>
    </row>
    <row r="82" spans="2:20" ht="21" hidden="1">
      <c r="B82" s="715" t="s">
        <v>195</v>
      </c>
      <c r="C82" s="611" t="s">
        <v>337</v>
      </c>
      <c r="D82" s="611">
        <v>76</v>
      </c>
      <c r="Q82" s="611"/>
      <c r="R82" s="611"/>
      <c r="S82" s="611"/>
      <c r="T82" s="611"/>
    </row>
    <row r="83" spans="2:20" ht="21" hidden="1">
      <c r="B83" s="715" t="s">
        <v>195</v>
      </c>
      <c r="C83" s="611" t="s">
        <v>250</v>
      </c>
      <c r="D83" s="611">
        <v>77</v>
      </c>
      <c r="Q83" s="611"/>
      <c r="R83" s="611"/>
      <c r="S83" s="611"/>
      <c r="T83" s="611"/>
    </row>
    <row r="84" spans="2:20" hidden="1">
      <c r="B84" s="611"/>
      <c r="C84" s="611" t="s">
        <v>338</v>
      </c>
      <c r="D84" s="611">
        <v>78</v>
      </c>
      <c r="Q84" s="611"/>
      <c r="R84" s="611"/>
      <c r="S84" s="611"/>
      <c r="T84" s="611"/>
    </row>
    <row r="85" spans="2:20" hidden="1">
      <c r="B85" s="611"/>
      <c r="C85" s="611" t="s">
        <v>152</v>
      </c>
      <c r="D85" s="611">
        <v>79</v>
      </c>
      <c r="Q85" s="611"/>
      <c r="R85" s="611"/>
      <c r="S85" s="611"/>
      <c r="T85" s="611"/>
    </row>
    <row r="86" spans="2:20" hidden="1">
      <c r="B86" s="611"/>
      <c r="C86" s="611" t="s">
        <v>339</v>
      </c>
      <c r="D86" s="611">
        <v>80</v>
      </c>
      <c r="Q86" s="611"/>
      <c r="R86" s="611"/>
      <c r="S86" s="611"/>
      <c r="T86" s="611"/>
    </row>
    <row r="87" spans="2:20" hidden="1">
      <c r="C87" s="611" t="s">
        <v>340</v>
      </c>
      <c r="D87" s="611">
        <v>81</v>
      </c>
    </row>
    <row r="88" spans="2:20" hidden="1">
      <c r="C88" s="611" t="s">
        <v>327</v>
      </c>
      <c r="D88" s="611">
        <v>82</v>
      </c>
    </row>
    <row r="89" spans="2:20" hidden="1">
      <c r="C89" s="611" t="s">
        <v>328</v>
      </c>
      <c r="D89" s="611">
        <v>83</v>
      </c>
    </row>
    <row r="90" spans="2:20" hidden="1">
      <c r="C90" s="611" t="s">
        <v>244</v>
      </c>
      <c r="D90" s="611">
        <v>84</v>
      </c>
    </row>
    <row r="91" spans="2:20" hidden="1">
      <c r="C91" s="611" t="s">
        <v>300</v>
      </c>
      <c r="D91" s="611">
        <v>85</v>
      </c>
    </row>
    <row r="92" spans="2:20" hidden="1">
      <c r="C92" s="611" t="s">
        <v>342</v>
      </c>
      <c r="D92" s="611">
        <v>86</v>
      </c>
    </row>
    <row r="93" spans="2:20" hidden="1">
      <c r="C93" s="611" t="s">
        <v>343</v>
      </c>
      <c r="D93" s="611">
        <v>87</v>
      </c>
    </row>
    <row r="94" spans="2:20" hidden="1">
      <c r="C94" s="611" t="s">
        <v>329</v>
      </c>
      <c r="D94" s="611">
        <v>88</v>
      </c>
    </row>
    <row r="95" spans="2:20" hidden="1">
      <c r="C95" s="611" t="s">
        <v>330</v>
      </c>
      <c r="D95" s="611">
        <v>89</v>
      </c>
    </row>
    <row r="96" spans="2:20" hidden="1">
      <c r="C96" s="611" t="s">
        <v>331</v>
      </c>
      <c r="D96" s="611">
        <v>90</v>
      </c>
    </row>
    <row r="97" spans="2:4" hidden="1">
      <c r="C97" s="611" t="s">
        <v>332</v>
      </c>
      <c r="D97" s="611">
        <v>91</v>
      </c>
    </row>
    <row r="98" spans="2:4" hidden="1">
      <c r="C98" s="611" t="s">
        <v>341</v>
      </c>
      <c r="D98" s="611">
        <v>92</v>
      </c>
    </row>
    <row r="99" spans="2:4" hidden="1">
      <c r="C99" s="611" t="s">
        <v>313</v>
      </c>
      <c r="D99" s="611">
        <v>93</v>
      </c>
    </row>
    <row r="100" spans="2:4" hidden="1">
      <c r="B100" s="611"/>
      <c r="C100" s="611" t="s">
        <v>314</v>
      </c>
      <c r="D100" s="611">
        <v>94</v>
      </c>
    </row>
    <row r="101" spans="2:4" hidden="1">
      <c r="B101" s="611"/>
      <c r="C101" s="611" t="s">
        <v>252</v>
      </c>
      <c r="D101" s="611">
        <v>95</v>
      </c>
    </row>
    <row r="102" spans="2:4" hidden="1">
      <c r="B102" s="611"/>
      <c r="C102" s="611" t="s">
        <v>378</v>
      </c>
      <c r="D102" s="611">
        <v>96</v>
      </c>
    </row>
    <row r="103" spans="2:4" ht="21" hidden="1">
      <c r="B103" s="611"/>
      <c r="C103" s="660" t="s">
        <v>245</v>
      </c>
      <c r="D103" s="611">
        <v>97</v>
      </c>
    </row>
    <row r="104" spans="2:4" ht="21" hidden="1">
      <c r="B104" s="611"/>
      <c r="C104" s="660" t="s">
        <v>344</v>
      </c>
      <c r="D104" s="611">
        <v>98</v>
      </c>
    </row>
    <row r="105" spans="2:4" ht="21" hidden="1">
      <c r="B105" s="611"/>
      <c r="C105" s="660" t="s">
        <v>246</v>
      </c>
      <c r="D105" s="611">
        <v>99</v>
      </c>
    </row>
    <row r="106" spans="2:4" ht="21" hidden="1">
      <c r="C106" s="660" t="s">
        <v>345</v>
      </c>
      <c r="D106" s="611">
        <v>100</v>
      </c>
    </row>
    <row r="107" spans="2:4" ht="21" hidden="1">
      <c r="C107" s="660" t="s">
        <v>360</v>
      </c>
      <c r="D107" s="611">
        <v>101</v>
      </c>
    </row>
    <row r="108" spans="2:4" hidden="1"/>
    <row r="109" spans="2:4" hidden="1"/>
    <row r="110" spans="2:4" hidden="1"/>
    <row r="111" spans="2:4" hidden="1"/>
    <row r="112" spans="2:4"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sheetData>
  <sheetProtection algorithmName="SHA-512" hashValue="ShDcO9IDrHGZep7B83C5ksszgswMs2Q2/qOyUNjCv3prVP8CyY3zC16HZM2baQHbtmbpxnOXmcCS9c4mOXor1g==" saltValue="FDxWQUHNy7Zz872VTtvDiA==" spinCount="100000" sheet="1" objects="1" scenarios="1"/>
  <mergeCells count="22">
    <mergeCell ref="T2:T3"/>
    <mergeCell ref="C2:C3"/>
    <mergeCell ref="P2:P3"/>
    <mergeCell ref="Q2:Q3"/>
    <mergeCell ref="R2:R3"/>
    <mergeCell ref="S2:S3"/>
    <mergeCell ref="B30:V30"/>
    <mergeCell ref="K2:K3"/>
    <mergeCell ref="U2:U3"/>
    <mergeCell ref="V2:V3"/>
    <mergeCell ref="E2:E3"/>
    <mergeCell ref="F2:F3"/>
    <mergeCell ref="G2:G3"/>
    <mergeCell ref="H2:H3"/>
    <mergeCell ref="I2:I3"/>
    <mergeCell ref="J2:J3"/>
    <mergeCell ref="D2:D3"/>
    <mergeCell ref="L2:L3"/>
    <mergeCell ref="M2:M3"/>
    <mergeCell ref="N2:N3"/>
    <mergeCell ref="O2:O3"/>
    <mergeCell ref="D4:V4"/>
  </mergeCells>
  <pageMargins left="0.7" right="0.7" top="0.75" bottom="0.75" header="0.3" footer="0.3"/>
  <pageSetup scale="35" orientation="portrait" horizontalDpi="360" verticalDpi="360" r:id="rId1"/>
  <ignoredErrors>
    <ignoredError sqref="U2:V3 D3:K3 D2:K2 L2:T3 D10 I5:J5 D12 E7:F8 E12:V12" unlockedFormula="1"/>
  </ignoredError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D1457-5330-554E-9F2E-D58AD4E368A3}">
  <sheetPr codeName="Sheet5">
    <pageSetUpPr fitToPage="1"/>
  </sheetPr>
  <dimension ref="A1:AC150"/>
  <sheetViews>
    <sheetView topLeftCell="A3" zoomScaleNormal="100" workbookViewId="0">
      <selection activeCell="L9" sqref="L9"/>
    </sheetView>
  </sheetViews>
  <sheetFormatPr defaultColWidth="11.44140625" defaultRowHeight="14.4"/>
  <cols>
    <col min="1" max="1" width="3.6640625" style="653" customWidth="1"/>
    <col min="2" max="2" width="34.88671875" style="653" customWidth="1"/>
    <col min="3" max="3" width="13.33203125" style="653" customWidth="1"/>
    <col min="4" max="4" width="10.33203125" style="653" customWidth="1"/>
    <col min="5" max="5" width="10.109375" style="653" hidden="1" customWidth="1"/>
    <col min="6" max="6" width="7.44140625" style="653" hidden="1" customWidth="1"/>
    <col min="7" max="7" width="10.109375" style="653" hidden="1" customWidth="1"/>
    <col min="8" max="8" width="11" style="653" bestFit="1" customWidth="1"/>
    <col min="9" max="9" width="14.33203125" style="653" bestFit="1" customWidth="1"/>
    <col min="10" max="10" width="9" style="653" customWidth="1"/>
    <col min="11" max="11" width="13.109375" style="653" customWidth="1"/>
    <col min="12" max="12" width="11.44140625" style="611"/>
    <col min="13" max="15" width="0" style="611" hidden="1" customWidth="1"/>
    <col min="16" max="29" width="11.44140625" style="611"/>
    <col min="30" max="16384" width="11.44140625" style="653"/>
  </cols>
  <sheetData>
    <row r="1" spans="1:13">
      <c r="A1" s="611"/>
      <c r="B1" s="611"/>
      <c r="C1" s="611"/>
      <c r="D1" s="611"/>
      <c r="E1" s="611"/>
      <c r="F1" s="611"/>
      <c r="G1" s="611"/>
      <c r="H1" s="611"/>
      <c r="I1" s="611"/>
      <c r="J1" s="611"/>
      <c r="K1" s="611"/>
    </row>
    <row r="2" spans="1:13" ht="21" customHeight="1">
      <c r="A2" s="611"/>
      <c r="B2" s="525" t="s">
        <v>8</v>
      </c>
      <c r="C2" s="527" t="s">
        <v>406</v>
      </c>
      <c r="D2" s="716" t="s">
        <v>46</v>
      </c>
      <c r="E2" s="315"/>
      <c r="F2" s="315"/>
      <c r="G2" s="717" t="s">
        <v>48</v>
      </c>
      <c r="H2" s="527" t="s">
        <v>75</v>
      </c>
      <c r="I2" s="315"/>
      <c r="J2" s="315"/>
      <c r="K2" s="315"/>
    </row>
    <row r="3" spans="1:13" ht="21" customHeight="1">
      <c r="A3" s="611"/>
      <c r="B3" s="526"/>
      <c r="C3" s="528"/>
      <c r="D3" s="718"/>
      <c r="E3" s="529" t="s">
        <v>47</v>
      </c>
      <c r="F3" s="529"/>
      <c r="G3" s="719"/>
      <c r="H3" s="528"/>
      <c r="I3" s="720" t="s">
        <v>50</v>
      </c>
      <c r="J3" s="720" t="s">
        <v>51</v>
      </c>
      <c r="K3" s="721" t="s">
        <v>2</v>
      </c>
    </row>
    <row r="4" spans="1:13" ht="21" customHeight="1">
      <c r="A4" s="611"/>
      <c r="B4" s="722"/>
      <c r="C4" s="723"/>
      <c r="D4" s="723"/>
      <c r="E4" s="31" t="s">
        <v>10</v>
      </c>
      <c r="F4" s="31" t="s">
        <v>10</v>
      </c>
      <c r="G4" s="723"/>
      <c r="H4" s="723"/>
      <c r="I4" s="724"/>
      <c r="J4" s="724"/>
      <c r="K4" s="723"/>
    </row>
    <row r="5" spans="1:13" ht="21" customHeight="1">
      <c r="A5" s="611"/>
      <c r="B5" s="24" t="s">
        <v>172</v>
      </c>
      <c r="C5" s="33">
        <v>180000</v>
      </c>
      <c r="D5" s="21">
        <v>10</v>
      </c>
      <c r="E5" s="22">
        <v>3.0000000000000001E-3</v>
      </c>
      <c r="F5" s="20">
        <v>2</v>
      </c>
      <c r="G5" s="96">
        <v>0.19139999999999999</v>
      </c>
      <c r="H5" s="24">
        <v>8</v>
      </c>
      <c r="I5" s="99" t="s">
        <v>58</v>
      </c>
      <c r="J5" s="24"/>
      <c r="K5" s="24"/>
    </row>
    <row r="6" spans="1:13" ht="21">
      <c r="A6" s="611"/>
      <c r="B6" s="24" t="s">
        <v>173</v>
      </c>
      <c r="C6" s="33">
        <v>80000</v>
      </c>
      <c r="D6" s="21">
        <v>15</v>
      </c>
      <c r="E6" s="22">
        <v>3.0000000000000001E-3</v>
      </c>
      <c r="F6" s="20">
        <v>2</v>
      </c>
      <c r="G6" s="96">
        <v>0.25240000000000001</v>
      </c>
      <c r="H6" s="24">
        <v>5</v>
      </c>
      <c r="I6" s="99" t="s">
        <v>58</v>
      </c>
      <c r="J6" s="24"/>
      <c r="K6" s="24"/>
    </row>
    <row r="7" spans="1:13" ht="21">
      <c r="A7" s="611"/>
      <c r="B7" s="725" t="s">
        <v>293</v>
      </c>
      <c r="C7" s="725"/>
      <c r="D7" s="725"/>
      <c r="E7" s="725"/>
      <c r="F7" s="725"/>
      <c r="G7" s="725"/>
      <c r="H7" s="725"/>
      <c r="I7" s="725"/>
      <c r="J7" s="725"/>
      <c r="K7" s="725"/>
    </row>
    <row r="8" spans="1:13" ht="21">
      <c r="A8" s="611"/>
      <c r="B8" s="24" t="s">
        <v>21</v>
      </c>
      <c r="C8" s="33">
        <v>22000</v>
      </c>
      <c r="D8" s="21">
        <v>10</v>
      </c>
      <c r="E8" s="23">
        <v>0.28000000000000003</v>
      </c>
      <c r="F8" s="20">
        <v>1</v>
      </c>
      <c r="G8" s="96">
        <v>0.22963</v>
      </c>
      <c r="H8" s="24"/>
      <c r="I8" s="100">
        <v>8</v>
      </c>
      <c r="J8" s="100">
        <v>2</v>
      </c>
      <c r="K8" s="99">
        <v>75</v>
      </c>
    </row>
    <row r="9" spans="1:13" ht="21">
      <c r="A9" s="611"/>
      <c r="B9" s="24" t="s">
        <v>112</v>
      </c>
      <c r="C9" s="33">
        <v>30000</v>
      </c>
      <c r="D9" s="21">
        <v>15</v>
      </c>
      <c r="E9" s="23">
        <v>0.18</v>
      </c>
      <c r="F9" s="20">
        <v>1</v>
      </c>
      <c r="G9" s="96">
        <v>0.21759999999999999</v>
      </c>
      <c r="H9" s="24"/>
      <c r="I9" s="100">
        <v>18</v>
      </c>
      <c r="J9" s="100">
        <v>2.5499999999999998</v>
      </c>
      <c r="K9" s="99">
        <v>75</v>
      </c>
      <c r="M9" s="714">
        <f>(I9*J9*(K9/100))/8.25</f>
        <v>4.172727272727272</v>
      </c>
    </row>
    <row r="10" spans="1:13" ht="21">
      <c r="A10" s="611"/>
      <c r="B10" s="24" t="s">
        <v>111</v>
      </c>
      <c r="C10" s="33">
        <v>7000</v>
      </c>
      <c r="D10" s="21">
        <v>15</v>
      </c>
      <c r="E10" s="23">
        <v>0.27</v>
      </c>
      <c r="F10" s="20">
        <v>1</v>
      </c>
      <c r="G10" s="96">
        <v>0.21759999999999999</v>
      </c>
      <c r="H10" s="24"/>
      <c r="I10" s="100">
        <v>18</v>
      </c>
      <c r="J10" s="100">
        <v>5</v>
      </c>
      <c r="K10" s="99">
        <v>85</v>
      </c>
    </row>
    <row r="11" spans="1:13" ht="21">
      <c r="A11" s="611"/>
      <c r="B11" s="24" t="s">
        <v>170</v>
      </c>
      <c r="C11" s="33">
        <v>17000</v>
      </c>
      <c r="D11" s="21">
        <v>15</v>
      </c>
      <c r="E11" s="23">
        <v>0.28000000000000003</v>
      </c>
      <c r="F11" s="20">
        <v>1</v>
      </c>
      <c r="G11" s="96">
        <v>0.21759999999999999</v>
      </c>
      <c r="H11" s="24"/>
      <c r="I11" s="100">
        <v>8</v>
      </c>
      <c r="J11" s="100">
        <v>6</v>
      </c>
      <c r="K11" s="99">
        <v>85</v>
      </c>
    </row>
    <row r="12" spans="1:13" ht="21">
      <c r="A12" s="611"/>
      <c r="B12" s="24" t="s">
        <v>26</v>
      </c>
      <c r="C12" s="33">
        <v>35000</v>
      </c>
      <c r="D12" s="21">
        <v>15</v>
      </c>
      <c r="E12" s="23">
        <v>0.28999999999999998</v>
      </c>
      <c r="F12" s="20">
        <v>1.8</v>
      </c>
      <c r="G12" s="96">
        <v>0.21759999999999999</v>
      </c>
      <c r="H12" s="24"/>
      <c r="I12" s="100">
        <f>(7*16)/12</f>
        <v>9.3333333333333339</v>
      </c>
      <c r="J12" s="100">
        <v>3</v>
      </c>
      <c r="K12" s="99">
        <v>75</v>
      </c>
      <c r="M12" s="714">
        <f>(I12*J12*(K12/100))/8.25</f>
        <v>2.5454545454545454</v>
      </c>
    </row>
    <row r="13" spans="1:13" ht="21">
      <c r="A13" s="611"/>
      <c r="B13" s="24" t="s">
        <v>521</v>
      </c>
      <c r="C13" s="33">
        <v>25000</v>
      </c>
      <c r="D13" s="21">
        <v>15</v>
      </c>
      <c r="E13" s="23">
        <v>0.28999999999999998</v>
      </c>
      <c r="F13" s="20">
        <v>1.8</v>
      </c>
      <c r="G13" s="97">
        <v>0.21759999999999999</v>
      </c>
      <c r="H13" s="24"/>
      <c r="I13" s="101">
        <v>20</v>
      </c>
      <c r="J13" s="101">
        <v>3.5</v>
      </c>
      <c r="K13" s="99">
        <v>85</v>
      </c>
    </row>
    <row r="14" spans="1:13" ht="21">
      <c r="A14" s="611"/>
      <c r="B14" s="24" t="s">
        <v>28</v>
      </c>
      <c r="C14" s="33">
        <v>18000</v>
      </c>
      <c r="D14" s="21">
        <v>15</v>
      </c>
      <c r="E14" s="23">
        <v>0.18</v>
      </c>
      <c r="F14" s="20">
        <v>1</v>
      </c>
      <c r="G14" s="96">
        <v>0.21759999999999999</v>
      </c>
      <c r="H14" s="24"/>
      <c r="I14" s="100">
        <v>16</v>
      </c>
      <c r="J14" s="100">
        <v>3.5</v>
      </c>
      <c r="K14" s="99">
        <v>75</v>
      </c>
    </row>
    <row r="15" spans="1:13" ht="21">
      <c r="A15" s="611"/>
      <c r="B15" s="24" t="s">
        <v>134</v>
      </c>
      <c r="C15" s="33">
        <v>7000</v>
      </c>
      <c r="D15" s="21">
        <v>15</v>
      </c>
      <c r="E15" s="23">
        <v>0.18</v>
      </c>
      <c r="F15" s="20">
        <v>1.7</v>
      </c>
      <c r="G15" s="96">
        <v>0.21759999999999999</v>
      </c>
      <c r="H15" s="24"/>
      <c r="I15" s="100">
        <v>14</v>
      </c>
      <c r="J15" s="100">
        <v>3.5</v>
      </c>
      <c r="K15" s="99">
        <v>75</v>
      </c>
    </row>
    <row r="16" spans="1:13" ht="21">
      <c r="A16" s="611"/>
      <c r="B16" s="24" t="s">
        <v>189</v>
      </c>
      <c r="C16" s="33">
        <v>6500</v>
      </c>
      <c r="D16" s="21">
        <v>15</v>
      </c>
      <c r="E16" s="23">
        <v>0.17</v>
      </c>
      <c r="F16" s="20">
        <v>2.2000000000000002</v>
      </c>
      <c r="G16" s="96">
        <v>0.21759999999999999</v>
      </c>
      <c r="H16" s="24"/>
      <c r="I16" s="100">
        <v>10</v>
      </c>
      <c r="J16" s="100">
        <v>3.5</v>
      </c>
      <c r="K16" s="99">
        <v>75</v>
      </c>
    </row>
    <row r="17" spans="1:14" ht="21">
      <c r="A17" s="611"/>
      <c r="B17" s="24" t="s">
        <v>29</v>
      </c>
      <c r="C17" s="33">
        <v>6500</v>
      </c>
      <c r="D17" s="21">
        <v>20</v>
      </c>
      <c r="E17" s="23">
        <v>0.18</v>
      </c>
      <c r="F17" s="20">
        <v>1.7</v>
      </c>
      <c r="G17" s="96">
        <v>0.21759999999999999</v>
      </c>
      <c r="H17" s="24"/>
      <c r="I17" s="100">
        <v>20</v>
      </c>
      <c r="J17" s="100">
        <v>3.5</v>
      </c>
      <c r="K17" s="99">
        <v>75</v>
      </c>
    </row>
    <row r="18" spans="1:14" ht="21">
      <c r="A18" s="611"/>
      <c r="B18" s="24" t="s">
        <v>292</v>
      </c>
      <c r="C18" s="33">
        <v>12000</v>
      </c>
      <c r="D18" s="21">
        <v>15</v>
      </c>
      <c r="E18" s="23">
        <v>0.28000000000000003</v>
      </c>
      <c r="F18" s="20">
        <v>1.4</v>
      </c>
      <c r="G18" s="96">
        <v>0.19139999999999999</v>
      </c>
      <c r="H18" s="24"/>
      <c r="I18" s="100">
        <f>(6*40)/12</f>
        <v>20</v>
      </c>
      <c r="J18" s="100">
        <v>3.65</v>
      </c>
      <c r="K18" s="99">
        <v>75</v>
      </c>
      <c r="M18" s="714">
        <f>(I18*J18*(K18/100))/8.25</f>
        <v>6.6363636363636367</v>
      </c>
    </row>
    <row r="19" spans="1:14" ht="21">
      <c r="A19" s="611"/>
      <c r="B19" s="725" t="s">
        <v>294</v>
      </c>
      <c r="C19" s="725"/>
      <c r="D19" s="725"/>
      <c r="E19" s="725"/>
      <c r="F19" s="725"/>
      <c r="G19" s="725"/>
      <c r="H19" s="725"/>
      <c r="I19" s="725"/>
      <c r="J19" s="725"/>
      <c r="K19" s="725"/>
    </row>
    <row r="20" spans="1:14" ht="21">
      <c r="A20" s="611"/>
      <c r="B20" s="24" t="s">
        <v>188</v>
      </c>
      <c r="C20" s="33">
        <v>40000</v>
      </c>
      <c r="D20" s="21">
        <v>15</v>
      </c>
      <c r="E20" s="23">
        <v>0.32</v>
      </c>
      <c r="F20" s="20">
        <v>2.1</v>
      </c>
      <c r="G20" s="96">
        <v>0.33789999999999998</v>
      </c>
      <c r="H20" s="24"/>
      <c r="I20" s="100">
        <v>24</v>
      </c>
      <c r="J20" s="100">
        <v>2.5</v>
      </c>
      <c r="K20" s="99">
        <v>60</v>
      </c>
      <c r="M20" s="714">
        <f>(I20*J20*(K20/100))/8.25</f>
        <v>4.3636363636363633</v>
      </c>
    </row>
    <row r="21" spans="1:14" ht="21">
      <c r="A21" s="611"/>
      <c r="B21" s="24" t="s">
        <v>187</v>
      </c>
      <c r="C21" s="33">
        <v>22000</v>
      </c>
      <c r="D21" s="21">
        <v>10</v>
      </c>
      <c r="E21" s="23">
        <v>0.17</v>
      </c>
      <c r="F21" s="20">
        <v>2.2000000000000002</v>
      </c>
      <c r="G21" s="96">
        <v>0.29630000000000001</v>
      </c>
      <c r="H21" s="24"/>
      <c r="I21" s="100">
        <v>24</v>
      </c>
      <c r="J21" s="100">
        <v>3</v>
      </c>
      <c r="K21" s="99">
        <v>75</v>
      </c>
      <c r="M21" s="714">
        <f>(I21*J21*(K21/100))/8.25</f>
        <v>6.5454545454545459</v>
      </c>
    </row>
    <row r="22" spans="1:14" ht="21" customHeight="1">
      <c r="A22" s="611"/>
      <c r="B22" s="24" t="s">
        <v>30</v>
      </c>
      <c r="C22" s="33">
        <v>25000</v>
      </c>
      <c r="D22" s="21">
        <v>15</v>
      </c>
      <c r="E22" s="23">
        <v>0.32</v>
      </c>
      <c r="F22" s="20">
        <v>2.1</v>
      </c>
      <c r="G22" s="96">
        <v>0.33789999999999998</v>
      </c>
      <c r="H22" s="24"/>
      <c r="I22" s="100">
        <v>20</v>
      </c>
      <c r="J22" s="100">
        <v>2.5</v>
      </c>
      <c r="K22" s="99">
        <v>60</v>
      </c>
      <c r="M22" s="714">
        <f>(I22*J22*(K22/100))/8.25</f>
        <v>3.6363636363636362</v>
      </c>
    </row>
    <row r="23" spans="1:14" ht="21" customHeight="1">
      <c r="A23" s="611"/>
      <c r="B23" s="24" t="s">
        <v>297</v>
      </c>
      <c r="C23" s="33">
        <v>15000</v>
      </c>
      <c r="D23" s="21">
        <v>15</v>
      </c>
      <c r="E23" s="23">
        <v>0.41</v>
      </c>
      <c r="F23" s="20">
        <v>1.3</v>
      </c>
      <c r="G23" s="96">
        <v>0.2626</v>
      </c>
      <c r="H23" s="24"/>
      <c r="I23" s="272">
        <v>10</v>
      </c>
      <c r="J23" s="100">
        <v>2</v>
      </c>
      <c r="K23" s="99">
        <v>40</v>
      </c>
    </row>
    <row r="24" spans="1:14" ht="21" customHeight="1">
      <c r="A24" s="611"/>
      <c r="B24" s="24" t="s">
        <v>160</v>
      </c>
      <c r="C24" s="33">
        <v>18000</v>
      </c>
      <c r="D24" s="21">
        <v>20</v>
      </c>
      <c r="E24" s="23">
        <v>0.63</v>
      </c>
      <c r="F24" s="20">
        <v>1.3</v>
      </c>
      <c r="G24" s="96">
        <v>0.2626</v>
      </c>
      <c r="H24" s="25" t="s">
        <v>10</v>
      </c>
      <c r="I24" s="100">
        <v>40</v>
      </c>
      <c r="J24" s="100">
        <v>3.6</v>
      </c>
      <c r="K24" s="99">
        <v>60</v>
      </c>
      <c r="L24" s="726" t="s">
        <v>10</v>
      </c>
      <c r="M24" s="714">
        <f>(I24*J24*(K24/100))/8.25</f>
        <v>10.472727272727271</v>
      </c>
      <c r="N24" s="726" t="s">
        <v>10</v>
      </c>
    </row>
    <row r="25" spans="1:14" ht="21" customHeight="1">
      <c r="A25" s="611"/>
      <c r="B25" s="24" t="s">
        <v>455</v>
      </c>
      <c r="C25" s="33">
        <v>2500</v>
      </c>
      <c r="D25" s="21">
        <v>20</v>
      </c>
      <c r="E25" s="23">
        <v>0.63</v>
      </c>
      <c r="F25" s="20">
        <v>1.3</v>
      </c>
      <c r="G25" s="96">
        <v>0.2626</v>
      </c>
      <c r="H25" s="24"/>
      <c r="I25" s="100">
        <v>20</v>
      </c>
      <c r="J25" s="100">
        <v>6</v>
      </c>
      <c r="K25" s="99">
        <v>80</v>
      </c>
    </row>
    <row r="26" spans="1:14" ht="21">
      <c r="A26" s="611"/>
      <c r="B26" s="24" t="s">
        <v>135</v>
      </c>
      <c r="C26" s="33">
        <v>9500</v>
      </c>
      <c r="D26" s="21">
        <v>20</v>
      </c>
      <c r="E26" s="23">
        <v>0.41</v>
      </c>
      <c r="F26" s="20">
        <v>1.3</v>
      </c>
      <c r="G26" s="96">
        <v>0.2626</v>
      </c>
      <c r="H26" s="24"/>
      <c r="I26" s="100">
        <v>60</v>
      </c>
      <c r="J26" s="100">
        <v>3.5</v>
      </c>
      <c r="K26" s="99">
        <v>65</v>
      </c>
      <c r="M26" s="714">
        <f>(I26*J26*(K26/100))/8.25</f>
        <v>16.545454545454547</v>
      </c>
      <c r="N26" s="726" t="s">
        <v>10</v>
      </c>
    </row>
    <row r="27" spans="1:14" ht="21">
      <c r="A27" s="611"/>
      <c r="B27" s="727" t="s">
        <v>291</v>
      </c>
      <c r="C27" s="727"/>
      <c r="D27" s="727"/>
      <c r="E27" s="727"/>
      <c r="F27" s="727"/>
      <c r="G27" s="727"/>
      <c r="H27" s="727"/>
      <c r="I27" s="727"/>
      <c r="J27" s="727"/>
      <c r="K27" s="727"/>
    </row>
    <row r="28" spans="1:14" ht="21">
      <c r="A28" s="611"/>
      <c r="B28" s="24" t="s">
        <v>171</v>
      </c>
      <c r="C28" s="33">
        <v>75000</v>
      </c>
      <c r="D28" s="21">
        <v>10</v>
      </c>
      <c r="E28" s="23">
        <v>0.14000000000000001</v>
      </c>
      <c r="F28" s="20">
        <v>2.2999999999999998</v>
      </c>
      <c r="G28" s="96">
        <v>0.25240000000000001</v>
      </c>
      <c r="H28" s="24">
        <v>12</v>
      </c>
      <c r="I28" s="100">
        <v>10</v>
      </c>
      <c r="J28" s="100">
        <v>3.16</v>
      </c>
      <c r="K28" s="99">
        <v>70</v>
      </c>
      <c r="M28" s="611">
        <f>7.29/60</f>
        <v>0.1215</v>
      </c>
    </row>
    <row r="29" spans="1:14" ht="21">
      <c r="A29" s="611"/>
      <c r="B29" s="24" t="s">
        <v>289</v>
      </c>
      <c r="C29" s="33">
        <v>30000</v>
      </c>
      <c r="D29" s="21">
        <v>15</v>
      </c>
      <c r="E29" s="23">
        <v>0.18</v>
      </c>
      <c r="F29" s="20">
        <v>1</v>
      </c>
      <c r="G29" s="96">
        <v>0.21759999999999999</v>
      </c>
      <c r="H29" s="24"/>
      <c r="I29" s="100">
        <v>10</v>
      </c>
      <c r="J29" s="100">
        <v>3.16</v>
      </c>
      <c r="K29" s="99">
        <v>85</v>
      </c>
      <c r="M29" s="611">
        <f>M28*100</f>
        <v>12.15</v>
      </c>
    </row>
    <row r="30" spans="1:14" ht="21">
      <c r="A30" s="611"/>
      <c r="B30" s="24" t="s">
        <v>425</v>
      </c>
      <c r="C30" s="33">
        <v>5500</v>
      </c>
      <c r="D30" s="21">
        <v>15</v>
      </c>
      <c r="E30" s="23">
        <v>0.16</v>
      </c>
      <c r="F30" s="20">
        <v>1.6</v>
      </c>
      <c r="G30" s="96">
        <v>0.2626</v>
      </c>
      <c r="H30" s="24"/>
      <c r="I30" s="100">
        <v>10</v>
      </c>
      <c r="J30" s="100">
        <v>3.16</v>
      </c>
      <c r="K30" s="99">
        <v>85</v>
      </c>
      <c r="M30" s="611">
        <f>19/100</f>
        <v>0.19</v>
      </c>
    </row>
    <row r="31" spans="1:14" ht="21">
      <c r="A31" s="611"/>
      <c r="B31" s="24" t="s">
        <v>31</v>
      </c>
      <c r="C31" s="33">
        <v>180000</v>
      </c>
      <c r="D31" s="21">
        <v>10</v>
      </c>
      <c r="E31" s="23">
        <v>0.04</v>
      </c>
      <c r="F31" s="20">
        <v>2.1</v>
      </c>
      <c r="G31" s="96">
        <v>0.25240000000000001</v>
      </c>
      <c r="H31" s="24">
        <v>13</v>
      </c>
      <c r="I31" s="100">
        <v>30</v>
      </c>
      <c r="J31" s="100">
        <v>4</v>
      </c>
      <c r="K31" s="99">
        <v>85</v>
      </c>
      <c r="M31" s="611">
        <f>3.3*2000</f>
        <v>6600</v>
      </c>
    </row>
    <row r="32" spans="1:14" ht="21.9" customHeight="1">
      <c r="A32" s="611"/>
      <c r="B32" s="24" t="s">
        <v>32</v>
      </c>
      <c r="C32" s="33">
        <v>18000</v>
      </c>
      <c r="D32" s="21">
        <v>15</v>
      </c>
      <c r="E32" s="23">
        <v>0.19</v>
      </c>
      <c r="F32" s="20">
        <v>1.3</v>
      </c>
      <c r="G32" s="96">
        <v>0.34970000000000001</v>
      </c>
      <c r="H32" s="24"/>
      <c r="I32" s="99">
        <v>10</v>
      </c>
      <c r="J32" s="100">
        <v>4</v>
      </c>
      <c r="K32" s="99">
        <v>85</v>
      </c>
      <c r="M32" s="611">
        <f>M31/100</f>
        <v>66</v>
      </c>
      <c r="N32" s="611">
        <f>19*M32</f>
        <v>1254</v>
      </c>
    </row>
    <row r="33" spans="1:11" ht="21">
      <c r="A33" s="611"/>
      <c r="B33" s="24" t="s">
        <v>158</v>
      </c>
      <c r="C33" s="33">
        <v>75000</v>
      </c>
      <c r="D33" s="21">
        <v>15</v>
      </c>
      <c r="E33" s="23">
        <v>0.06</v>
      </c>
      <c r="F33" s="20">
        <v>2</v>
      </c>
      <c r="G33" s="96">
        <v>0.19139999999999999</v>
      </c>
      <c r="H33" s="24">
        <v>4</v>
      </c>
      <c r="I33" s="100">
        <v>16</v>
      </c>
      <c r="J33" s="100">
        <v>6.25</v>
      </c>
      <c r="K33" s="99">
        <v>75</v>
      </c>
    </row>
    <row r="34" spans="1:11" ht="21.9" customHeight="1">
      <c r="A34" s="611"/>
      <c r="B34" s="24" t="s">
        <v>159</v>
      </c>
      <c r="C34" s="33">
        <v>120000</v>
      </c>
      <c r="D34" s="21">
        <v>10</v>
      </c>
      <c r="E34" s="23">
        <v>0.1</v>
      </c>
      <c r="F34" s="20">
        <v>1.8</v>
      </c>
      <c r="G34" s="96">
        <v>0.28239999999999998</v>
      </c>
      <c r="H34" s="24"/>
      <c r="I34" s="100">
        <v>16</v>
      </c>
      <c r="J34" s="100">
        <v>4</v>
      </c>
      <c r="K34" s="99">
        <v>75</v>
      </c>
    </row>
    <row r="35" spans="1:11" ht="20.100000000000001" customHeight="1">
      <c r="A35" s="611"/>
      <c r="B35" s="24" t="s">
        <v>158</v>
      </c>
      <c r="C35" s="33">
        <v>75000</v>
      </c>
      <c r="D35" s="21">
        <v>7</v>
      </c>
      <c r="E35" s="23">
        <v>0.06</v>
      </c>
      <c r="F35" s="20">
        <v>2</v>
      </c>
      <c r="G35" s="96">
        <v>0.19139999999999999</v>
      </c>
      <c r="H35" s="24">
        <v>4</v>
      </c>
      <c r="I35" s="100">
        <v>16</v>
      </c>
      <c r="J35" s="94">
        <v>0.65</v>
      </c>
      <c r="K35" s="99">
        <v>75</v>
      </c>
    </row>
    <row r="36" spans="1:11" ht="21">
      <c r="A36" s="611"/>
      <c r="B36" s="24" t="s">
        <v>159</v>
      </c>
      <c r="C36" s="33">
        <v>120000</v>
      </c>
      <c r="D36" s="21">
        <v>5</v>
      </c>
      <c r="E36" s="23">
        <v>0.1</v>
      </c>
      <c r="F36" s="20">
        <v>1.8</v>
      </c>
      <c r="G36" s="96">
        <v>0.28239999999999998</v>
      </c>
      <c r="H36" s="24"/>
      <c r="I36" s="100">
        <v>16</v>
      </c>
      <c r="J36" s="94">
        <v>0.65</v>
      </c>
      <c r="K36" s="99">
        <v>75</v>
      </c>
    </row>
    <row r="37" spans="1:11" ht="21" customHeight="1">
      <c r="A37" s="611"/>
      <c r="B37" s="70" t="s">
        <v>34</v>
      </c>
      <c r="C37" s="66">
        <v>8500</v>
      </c>
      <c r="D37" s="67">
        <v>10</v>
      </c>
      <c r="E37" s="69">
        <v>0.16</v>
      </c>
      <c r="F37" s="68">
        <v>1.6</v>
      </c>
      <c r="G37" s="98">
        <v>0.25240000000000001</v>
      </c>
      <c r="H37" s="70">
        <v>4</v>
      </c>
      <c r="I37" s="273">
        <v>16</v>
      </c>
      <c r="J37" s="273">
        <v>4</v>
      </c>
      <c r="K37" s="274">
        <v>75</v>
      </c>
    </row>
    <row r="38" spans="1:11">
      <c r="A38" s="611"/>
      <c r="B38" s="611"/>
      <c r="C38" s="611"/>
      <c r="D38" s="611"/>
      <c r="E38" s="611"/>
      <c r="F38" s="611"/>
      <c r="G38" s="611"/>
      <c r="H38" s="611"/>
      <c r="I38" s="611"/>
      <c r="J38" s="611"/>
      <c r="K38" s="611"/>
    </row>
    <row r="39" spans="1:11">
      <c r="A39" s="611"/>
      <c r="B39" s="611"/>
      <c r="C39" s="611"/>
      <c r="D39" s="611"/>
      <c r="E39" s="611"/>
      <c r="F39" s="611"/>
      <c r="G39" s="611"/>
      <c r="H39" s="611"/>
      <c r="I39" s="611"/>
      <c r="J39" s="611"/>
      <c r="K39" s="611"/>
    </row>
    <row r="40" spans="1:11">
      <c r="A40" s="611"/>
      <c r="B40" s="611"/>
      <c r="C40" s="611"/>
      <c r="D40" s="611"/>
      <c r="E40" s="611"/>
      <c r="F40" s="611"/>
      <c r="G40" s="611"/>
      <c r="H40" s="611"/>
      <c r="I40" s="611"/>
      <c r="J40" s="611"/>
      <c r="K40" s="611"/>
    </row>
    <row r="41" spans="1:11">
      <c r="A41" s="611"/>
      <c r="B41" s="611"/>
      <c r="C41" s="611"/>
      <c r="D41" s="611"/>
      <c r="E41" s="611"/>
      <c r="F41" s="611"/>
      <c r="G41" s="611"/>
      <c r="H41" s="611"/>
      <c r="I41" s="611"/>
      <c r="J41" s="611"/>
      <c r="K41" s="611"/>
    </row>
    <row r="42" spans="1:11">
      <c r="A42" s="611"/>
      <c r="B42" s="611"/>
      <c r="C42" s="611"/>
      <c r="D42" s="611"/>
      <c r="E42" s="611"/>
      <c r="F42" s="611"/>
      <c r="G42" s="611"/>
      <c r="H42" s="611"/>
      <c r="I42" s="611"/>
      <c r="J42" s="611"/>
      <c r="K42" s="611"/>
    </row>
    <row r="43" spans="1:11">
      <c r="A43" s="611"/>
      <c r="B43" s="611"/>
      <c r="C43" s="611"/>
      <c r="D43" s="611"/>
      <c r="E43" s="611"/>
      <c r="F43" s="611"/>
      <c r="G43" s="611"/>
      <c r="H43" s="611"/>
      <c r="I43" s="611"/>
      <c r="J43" s="611"/>
      <c r="K43" s="611"/>
    </row>
    <row r="44" spans="1:11">
      <c r="A44" s="611"/>
      <c r="B44" s="611"/>
      <c r="C44" s="611"/>
      <c r="D44" s="611"/>
      <c r="E44" s="611"/>
      <c r="F44" s="611"/>
      <c r="G44" s="611"/>
      <c r="H44" s="611"/>
      <c r="I44" s="611"/>
      <c r="J44" s="611"/>
      <c r="K44" s="611"/>
    </row>
    <row r="45" spans="1:11">
      <c r="A45" s="611"/>
      <c r="B45" s="611"/>
      <c r="C45" s="611"/>
      <c r="D45" s="611"/>
      <c r="E45" s="611"/>
      <c r="F45" s="611"/>
      <c r="G45" s="611"/>
      <c r="H45" s="611"/>
      <c r="I45" s="611"/>
      <c r="J45" s="611"/>
      <c r="K45" s="611"/>
    </row>
    <row r="46" spans="1:11">
      <c r="A46" s="611"/>
      <c r="B46" s="611"/>
      <c r="C46" s="611"/>
      <c r="D46" s="611"/>
      <c r="E46" s="611"/>
      <c r="F46" s="611"/>
      <c r="G46" s="611"/>
      <c r="H46" s="611"/>
      <c r="I46" s="611"/>
      <c r="J46" s="611"/>
      <c r="K46" s="611"/>
    </row>
    <row r="47" spans="1:11">
      <c r="A47" s="611"/>
      <c r="B47" s="611"/>
      <c r="C47" s="611"/>
      <c r="D47" s="611"/>
      <c r="E47" s="611"/>
      <c r="F47" s="611"/>
      <c r="G47" s="611"/>
      <c r="H47" s="611"/>
      <c r="I47" s="611"/>
      <c r="J47" s="611"/>
      <c r="K47" s="611"/>
    </row>
    <row r="48" spans="1:11">
      <c r="A48" s="611"/>
      <c r="B48" s="611"/>
      <c r="C48" s="611"/>
      <c r="D48" s="611"/>
      <c r="E48" s="611"/>
      <c r="F48" s="611"/>
      <c r="G48" s="611"/>
      <c r="H48" s="611"/>
      <c r="I48" s="611"/>
      <c r="J48" s="611"/>
      <c r="K48" s="611"/>
    </row>
    <row r="49" spans="1:11">
      <c r="A49" s="611"/>
      <c r="B49" s="611"/>
      <c r="C49" s="611"/>
      <c r="D49" s="611"/>
      <c r="E49" s="611"/>
      <c r="F49" s="611"/>
      <c r="G49" s="611"/>
      <c r="H49" s="611"/>
      <c r="I49" s="611"/>
      <c r="J49" s="611"/>
      <c r="K49" s="611"/>
    </row>
    <row r="50" spans="1:11">
      <c r="A50" s="611"/>
      <c r="B50" s="611"/>
      <c r="C50" s="611"/>
      <c r="D50" s="611"/>
      <c r="E50" s="611"/>
      <c r="F50" s="611"/>
      <c r="G50" s="611"/>
      <c r="H50" s="611"/>
      <c r="I50" s="611"/>
      <c r="J50" s="611"/>
      <c r="K50" s="611"/>
    </row>
    <row r="51" spans="1:11">
      <c r="A51" s="611"/>
      <c r="B51" s="611"/>
      <c r="C51" s="611"/>
      <c r="D51" s="611"/>
      <c r="E51" s="611"/>
      <c r="F51" s="611"/>
      <c r="G51" s="611"/>
      <c r="H51" s="611"/>
      <c r="I51" s="611"/>
      <c r="J51" s="611"/>
      <c r="K51" s="611"/>
    </row>
    <row r="52" spans="1:11">
      <c r="A52" s="611"/>
      <c r="B52" s="611"/>
      <c r="C52" s="611"/>
      <c r="D52" s="611"/>
      <c r="E52" s="611"/>
      <c r="F52" s="611"/>
      <c r="G52" s="611"/>
      <c r="H52" s="611"/>
      <c r="I52" s="611"/>
      <c r="J52" s="611"/>
      <c r="K52" s="611"/>
    </row>
    <row r="53" spans="1:11">
      <c r="A53" s="611"/>
      <c r="B53" s="611"/>
      <c r="C53" s="611"/>
      <c r="D53" s="611"/>
      <c r="E53" s="611"/>
      <c r="F53" s="611"/>
      <c r="G53" s="611"/>
      <c r="H53" s="611"/>
      <c r="I53" s="611"/>
      <c r="J53" s="611"/>
      <c r="K53" s="611"/>
    </row>
    <row r="54" spans="1:11">
      <c r="A54" s="611"/>
      <c r="B54" s="611"/>
      <c r="C54" s="611"/>
      <c r="D54" s="611"/>
      <c r="E54" s="611"/>
      <c r="F54" s="611"/>
      <c r="G54" s="611"/>
      <c r="H54" s="611"/>
      <c r="I54" s="611"/>
      <c r="J54" s="611"/>
      <c r="K54" s="611"/>
    </row>
    <row r="55" spans="1:11">
      <c r="A55" s="611"/>
      <c r="B55" s="611"/>
      <c r="C55" s="611"/>
      <c r="D55" s="611"/>
      <c r="E55" s="611"/>
      <c r="F55" s="611"/>
      <c r="G55" s="611"/>
      <c r="H55" s="611"/>
      <c r="I55" s="611"/>
      <c r="J55" s="611"/>
      <c r="K55" s="611"/>
    </row>
    <row r="56" spans="1:11">
      <c r="A56" s="611"/>
      <c r="B56" s="611"/>
      <c r="C56" s="611"/>
      <c r="D56" s="611"/>
      <c r="E56" s="611"/>
      <c r="F56" s="611"/>
      <c r="G56" s="611"/>
      <c r="H56" s="611"/>
      <c r="I56" s="611"/>
      <c r="J56" s="611"/>
      <c r="K56" s="611"/>
    </row>
    <row r="57" spans="1:11">
      <c r="A57" s="611"/>
      <c r="B57" s="611"/>
      <c r="C57" s="611"/>
      <c r="D57" s="611"/>
      <c r="E57" s="611"/>
      <c r="F57" s="611"/>
      <c r="G57" s="611"/>
      <c r="H57" s="611"/>
      <c r="I57" s="611"/>
      <c r="J57" s="611"/>
      <c r="K57" s="611"/>
    </row>
    <row r="58" spans="1:11" ht="21">
      <c r="A58" s="611"/>
      <c r="B58" s="611"/>
      <c r="C58" s="611"/>
      <c r="D58" s="611"/>
      <c r="E58" s="611"/>
      <c r="F58" s="611"/>
      <c r="G58" s="611"/>
      <c r="H58" s="728" t="s">
        <v>5</v>
      </c>
      <c r="I58" s="728"/>
      <c r="J58" s="728"/>
      <c r="K58" s="728"/>
    </row>
    <row r="59" spans="1:11" ht="21">
      <c r="A59" s="611"/>
      <c r="B59" s="611"/>
      <c r="C59" s="611"/>
      <c r="D59" s="611"/>
      <c r="E59" s="611"/>
      <c r="F59" s="611"/>
      <c r="G59" s="611"/>
      <c r="H59" s="728" t="s">
        <v>222</v>
      </c>
      <c r="I59" s="728"/>
      <c r="J59" s="728"/>
      <c r="K59" s="728"/>
    </row>
    <row r="60" spans="1:11" ht="21">
      <c r="A60" s="611"/>
      <c r="B60" s="611"/>
      <c r="C60" s="611"/>
      <c r="D60" s="611"/>
      <c r="E60" s="611"/>
      <c r="F60" s="611"/>
      <c r="G60" s="611"/>
      <c r="H60" s="728" t="s">
        <v>221</v>
      </c>
      <c r="I60" s="728"/>
      <c r="J60" s="728"/>
      <c r="K60" s="728"/>
    </row>
    <row r="61" spans="1:11" ht="21">
      <c r="A61" s="611"/>
      <c r="B61" s="611"/>
      <c r="C61" s="611"/>
      <c r="D61" s="611"/>
      <c r="E61" s="611"/>
      <c r="F61" s="611"/>
      <c r="G61" s="611"/>
      <c r="H61" s="728" t="s">
        <v>223</v>
      </c>
      <c r="I61" s="728"/>
      <c r="J61" s="728"/>
      <c r="K61" s="728"/>
    </row>
    <row r="62" spans="1:11" ht="21">
      <c r="A62" s="611"/>
      <c r="B62" s="611"/>
      <c r="C62" s="611"/>
      <c r="D62" s="611"/>
      <c r="E62" s="611"/>
      <c r="F62" s="611"/>
      <c r="G62" s="611"/>
      <c r="H62" s="728" t="s">
        <v>224</v>
      </c>
      <c r="I62" s="728"/>
      <c r="J62" s="728"/>
      <c r="K62" s="728"/>
    </row>
    <row r="63" spans="1:11" ht="21">
      <c r="A63" s="611"/>
      <c r="B63" s="611"/>
      <c r="C63" s="611"/>
      <c r="D63" s="611"/>
      <c r="E63" s="611"/>
      <c r="F63" s="611"/>
      <c r="G63" s="611"/>
      <c r="H63" s="728" t="s">
        <v>225</v>
      </c>
      <c r="I63" s="728"/>
      <c r="J63" s="728"/>
      <c r="K63" s="728"/>
    </row>
    <row r="64" spans="1:11" ht="21">
      <c r="A64" s="611"/>
      <c r="B64" s="611"/>
      <c r="C64" s="611"/>
      <c r="D64" s="611"/>
      <c r="E64" s="611"/>
      <c r="F64" s="611"/>
      <c r="G64" s="611"/>
      <c r="H64" s="728" t="s">
        <v>226</v>
      </c>
      <c r="I64" s="728"/>
      <c r="J64" s="728"/>
      <c r="K64" s="728"/>
    </row>
    <row r="65" spans="1:11" ht="21">
      <c r="A65" s="611"/>
      <c r="B65" s="611"/>
      <c r="C65" s="611"/>
      <c r="D65" s="611"/>
      <c r="E65" s="611"/>
      <c r="F65" s="611"/>
      <c r="G65" s="611"/>
      <c r="H65" s="728" t="s">
        <v>227</v>
      </c>
      <c r="I65" s="728"/>
      <c r="J65" s="728"/>
      <c r="K65" s="728"/>
    </row>
    <row r="66" spans="1:11" ht="21">
      <c r="A66" s="611"/>
      <c r="B66" s="611"/>
      <c r="C66" s="611"/>
      <c r="D66" s="611"/>
      <c r="E66" s="611"/>
      <c r="F66" s="611"/>
      <c r="G66" s="611"/>
      <c r="H66" s="728" t="s">
        <v>228</v>
      </c>
      <c r="I66" s="728"/>
      <c r="J66" s="728"/>
      <c r="K66" s="728"/>
    </row>
    <row r="67" spans="1:11" ht="21">
      <c r="A67" s="611"/>
      <c r="B67" s="611"/>
      <c r="C67" s="611"/>
      <c r="D67" s="611"/>
      <c r="E67" s="611"/>
      <c r="F67" s="611"/>
      <c r="G67" s="611"/>
      <c r="H67" s="728" t="s">
        <v>229</v>
      </c>
      <c r="I67" s="728"/>
      <c r="J67" s="728"/>
      <c r="K67" s="728"/>
    </row>
    <row r="68" spans="1:11" ht="21">
      <c r="A68" s="611"/>
      <c r="B68" s="611"/>
      <c r="C68" s="611"/>
      <c r="D68" s="611"/>
      <c r="E68" s="611"/>
      <c r="F68" s="611"/>
      <c r="G68" s="611"/>
      <c r="H68" s="728" t="s">
        <v>230</v>
      </c>
      <c r="I68" s="728"/>
      <c r="J68" s="728"/>
      <c r="K68" s="728"/>
    </row>
    <row r="69" spans="1:11" ht="21">
      <c r="A69" s="611"/>
      <c r="B69" s="611"/>
      <c r="C69" s="611"/>
      <c r="D69" s="611"/>
      <c r="E69" s="611"/>
      <c r="F69" s="611"/>
      <c r="G69" s="611"/>
      <c r="H69" s="728" t="s">
        <v>231</v>
      </c>
      <c r="I69" s="728"/>
      <c r="J69" s="728"/>
      <c r="K69" s="728"/>
    </row>
    <row r="70" spans="1:11" ht="21">
      <c r="A70" s="611"/>
      <c r="B70" s="611"/>
      <c r="C70" s="611"/>
      <c r="D70" s="611"/>
      <c r="E70" s="611"/>
      <c r="F70" s="611"/>
      <c r="G70" s="611"/>
      <c r="H70" s="728" t="s">
        <v>232</v>
      </c>
      <c r="I70" s="728"/>
      <c r="J70" s="728"/>
      <c r="K70" s="728"/>
    </row>
    <row r="71" spans="1:11" ht="21">
      <c r="A71" s="611"/>
      <c r="B71" s="611"/>
      <c r="C71" s="611"/>
      <c r="D71" s="611"/>
      <c r="E71" s="611"/>
      <c r="F71" s="611"/>
      <c r="G71" s="611"/>
      <c r="H71" s="728" t="s">
        <v>233</v>
      </c>
      <c r="I71" s="728"/>
      <c r="J71" s="728"/>
      <c r="K71" s="728"/>
    </row>
    <row r="72" spans="1:11">
      <c r="A72" s="611"/>
      <c r="B72" s="611"/>
      <c r="C72" s="611"/>
      <c r="D72" s="611"/>
      <c r="E72" s="611"/>
      <c r="F72" s="611"/>
      <c r="G72" s="611"/>
      <c r="H72" s="611"/>
      <c r="I72" s="611"/>
      <c r="J72" s="611"/>
      <c r="K72" s="611"/>
    </row>
    <row r="73" spans="1:11">
      <c r="A73" s="611"/>
      <c r="B73" s="611"/>
      <c r="C73" s="611"/>
      <c r="D73" s="611"/>
      <c r="E73" s="611"/>
      <c r="F73" s="611"/>
      <c r="G73" s="611"/>
      <c r="H73" s="611"/>
      <c r="I73" s="611"/>
      <c r="J73" s="611"/>
      <c r="K73" s="611"/>
    </row>
    <row r="74" spans="1:11">
      <c r="A74" s="611"/>
      <c r="B74" s="611"/>
      <c r="C74" s="611"/>
      <c r="D74" s="611"/>
      <c r="E74" s="611"/>
      <c r="F74" s="611"/>
      <c r="G74" s="611"/>
      <c r="H74" s="611"/>
      <c r="I74" s="611"/>
      <c r="J74" s="611"/>
      <c r="K74" s="611"/>
    </row>
    <row r="75" spans="1:11">
      <c r="A75" s="611"/>
      <c r="B75" s="611"/>
      <c r="C75" s="611"/>
      <c r="D75" s="611"/>
      <c r="E75" s="611"/>
      <c r="F75" s="611"/>
      <c r="G75" s="611"/>
      <c r="H75" s="611"/>
      <c r="I75" s="611"/>
      <c r="J75" s="611"/>
      <c r="K75" s="611"/>
    </row>
    <row r="76" spans="1:11">
      <c r="A76" s="611"/>
      <c r="B76" s="611"/>
      <c r="C76" s="611"/>
      <c r="D76" s="611"/>
      <c r="E76" s="611"/>
      <c r="F76" s="611"/>
      <c r="G76" s="611"/>
      <c r="H76" s="611"/>
      <c r="I76" s="611"/>
      <c r="J76" s="611"/>
      <c r="K76" s="611"/>
    </row>
    <row r="77" spans="1:11">
      <c r="A77" s="611"/>
      <c r="B77" s="611"/>
      <c r="C77" s="611"/>
      <c r="D77" s="611"/>
      <c r="E77" s="611"/>
      <c r="F77" s="611"/>
      <c r="G77" s="611"/>
      <c r="H77" s="611"/>
      <c r="I77" s="611"/>
      <c r="J77" s="611"/>
      <c r="K77" s="611"/>
    </row>
    <row r="78" spans="1:11">
      <c r="A78" s="611"/>
      <c r="B78" s="611"/>
      <c r="C78" s="611"/>
      <c r="D78" s="611"/>
      <c r="E78" s="611"/>
      <c r="F78" s="611"/>
      <c r="G78" s="611"/>
      <c r="H78" s="611"/>
      <c r="I78" s="611"/>
      <c r="J78" s="611"/>
      <c r="K78" s="611"/>
    </row>
    <row r="79" spans="1:11">
      <c r="A79" s="611"/>
      <c r="B79" s="611"/>
      <c r="C79" s="611"/>
      <c r="D79" s="611"/>
      <c r="E79" s="611"/>
      <c r="F79" s="611"/>
      <c r="G79" s="611"/>
      <c r="H79" s="611"/>
      <c r="I79" s="611"/>
      <c r="J79" s="611"/>
      <c r="K79" s="611"/>
    </row>
    <row r="80" spans="1:11">
      <c r="A80" s="611"/>
      <c r="B80" s="611"/>
      <c r="C80" s="611"/>
      <c r="D80" s="611"/>
      <c r="E80" s="611"/>
      <c r="F80" s="611"/>
      <c r="G80" s="611"/>
      <c r="H80" s="611"/>
      <c r="I80" s="611"/>
      <c r="J80" s="611"/>
      <c r="K80" s="611"/>
    </row>
    <row r="81" spans="1:11">
      <c r="A81" s="611"/>
      <c r="B81" s="611"/>
      <c r="C81" s="611"/>
      <c r="D81" s="611"/>
      <c r="E81" s="611"/>
      <c r="F81" s="611"/>
      <c r="G81" s="611"/>
      <c r="H81" s="611"/>
      <c r="I81" s="611"/>
      <c r="J81" s="611"/>
      <c r="K81" s="611"/>
    </row>
    <row r="82" spans="1:11">
      <c r="A82" s="611"/>
      <c r="B82" s="611"/>
      <c r="C82" s="611"/>
      <c r="D82" s="611"/>
      <c r="E82" s="611"/>
      <c r="F82" s="611"/>
      <c r="G82" s="611"/>
      <c r="H82" s="611"/>
      <c r="I82" s="611"/>
      <c r="J82" s="611"/>
      <c r="K82" s="611"/>
    </row>
    <row r="83" spans="1:11">
      <c r="A83" s="611"/>
      <c r="B83" s="611"/>
      <c r="C83" s="611"/>
      <c r="D83" s="611"/>
      <c r="E83" s="611"/>
      <c r="F83" s="611"/>
      <c r="G83" s="611"/>
      <c r="H83" s="611"/>
      <c r="I83" s="611"/>
      <c r="J83" s="611"/>
      <c r="K83" s="611"/>
    </row>
    <row r="84" spans="1:11">
      <c r="A84" s="611"/>
      <c r="B84" s="611"/>
      <c r="C84" s="611"/>
      <c r="D84" s="611"/>
      <c r="E84" s="611"/>
      <c r="F84" s="611"/>
      <c r="G84" s="611"/>
      <c r="H84" s="611"/>
      <c r="I84" s="611"/>
      <c r="J84" s="611"/>
      <c r="K84" s="611"/>
    </row>
    <row r="85" spans="1:11">
      <c r="A85" s="611"/>
      <c r="B85" s="611"/>
      <c r="C85" s="611"/>
      <c r="D85" s="611"/>
      <c r="E85" s="611"/>
      <c r="F85" s="611"/>
      <c r="G85" s="611"/>
      <c r="H85" s="611"/>
      <c r="I85" s="611"/>
      <c r="J85" s="611"/>
      <c r="K85" s="611"/>
    </row>
    <row r="86" spans="1:11">
      <c r="A86" s="611"/>
      <c r="B86" s="611"/>
      <c r="C86" s="611"/>
      <c r="D86" s="611"/>
      <c r="E86" s="611"/>
      <c r="F86" s="611"/>
      <c r="G86" s="611"/>
      <c r="H86" s="611"/>
      <c r="I86" s="611"/>
      <c r="J86" s="611"/>
      <c r="K86" s="611"/>
    </row>
    <row r="87" spans="1:11">
      <c r="A87" s="611"/>
      <c r="B87" s="611"/>
      <c r="C87" s="611"/>
      <c r="D87" s="611"/>
      <c r="E87" s="611"/>
      <c r="F87" s="611"/>
      <c r="G87" s="611"/>
      <c r="H87" s="611"/>
      <c r="I87" s="611"/>
      <c r="J87" s="611"/>
      <c r="K87" s="611"/>
    </row>
    <row r="88" spans="1:11">
      <c r="A88" s="611"/>
      <c r="B88" s="611"/>
      <c r="C88" s="611"/>
      <c r="D88" s="611"/>
      <c r="E88" s="611"/>
      <c r="F88" s="611"/>
      <c r="G88" s="611"/>
      <c r="H88" s="611"/>
      <c r="I88" s="611"/>
      <c r="J88" s="611"/>
      <c r="K88" s="611"/>
    </row>
    <row r="89" spans="1:11">
      <c r="B89" s="611"/>
      <c r="C89" s="611"/>
      <c r="D89" s="611"/>
      <c r="E89" s="611"/>
      <c r="F89" s="611"/>
      <c r="G89" s="611"/>
      <c r="H89" s="611"/>
      <c r="I89" s="611"/>
      <c r="J89" s="611"/>
      <c r="K89" s="611"/>
    </row>
    <row r="90" spans="1:11">
      <c r="B90" s="611"/>
      <c r="C90" s="611"/>
      <c r="D90" s="611"/>
      <c r="E90" s="611"/>
      <c r="F90" s="611"/>
      <c r="G90" s="611"/>
      <c r="H90" s="611"/>
      <c r="I90" s="611"/>
      <c r="J90" s="611"/>
      <c r="K90" s="611"/>
    </row>
    <row r="91" spans="1:11">
      <c r="B91" s="611"/>
      <c r="C91" s="611"/>
      <c r="D91" s="611"/>
      <c r="E91" s="611"/>
      <c r="F91" s="611"/>
      <c r="G91" s="611"/>
      <c r="H91" s="611"/>
      <c r="I91" s="611"/>
      <c r="J91" s="611"/>
      <c r="K91" s="611"/>
    </row>
    <row r="92" spans="1:11">
      <c r="B92" s="611"/>
      <c r="C92" s="611"/>
      <c r="D92" s="611"/>
      <c r="E92" s="611"/>
      <c r="F92" s="611"/>
      <c r="G92" s="611"/>
      <c r="H92" s="611"/>
      <c r="I92" s="611"/>
      <c r="J92" s="611"/>
      <c r="K92" s="611"/>
    </row>
    <row r="93" spans="1:11">
      <c r="B93" s="611"/>
      <c r="C93" s="611"/>
      <c r="D93" s="611"/>
      <c r="E93" s="611"/>
      <c r="F93" s="611"/>
      <c r="G93" s="611"/>
      <c r="H93" s="611"/>
      <c r="I93" s="611"/>
      <c r="J93" s="611"/>
      <c r="K93" s="611"/>
    </row>
    <row r="94" spans="1:11">
      <c r="B94" s="611"/>
      <c r="C94" s="611"/>
      <c r="D94" s="611"/>
      <c r="E94" s="611"/>
      <c r="F94" s="611"/>
    </row>
    <row r="95" spans="1:11">
      <c r="B95" s="611"/>
      <c r="C95" s="611"/>
      <c r="D95" s="611"/>
      <c r="E95" s="611"/>
      <c r="F95" s="611"/>
    </row>
    <row r="96" spans="1:11">
      <c r="B96" s="611"/>
      <c r="C96" s="611"/>
      <c r="D96" s="611"/>
      <c r="E96" s="611"/>
      <c r="F96" s="611"/>
    </row>
    <row r="97" spans="2:6">
      <c r="B97" s="611"/>
      <c r="C97" s="611"/>
      <c r="D97" s="611"/>
      <c r="E97" s="611"/>
      <c r="F97" s="611"/>
    </row>
    <row r="98" spans="2:6">
      <c r="B98" s="611"/>
      <c r="C98" s="611"/>
      <c r="D98" s="611"/>
      <c r="E98" s="611"/>
      <c r="F98" s="611"/>
    </row>
    <row r="99" spans="2:6">
      <c r="B99" s="611"/>
      <c r="C99" s="611"/>
      <c r="D99" s="611"/>
      <c r="E99" s="611"/>
      <c r="F99" s="611"/>
    </row>
    <row r="100" spans="2:6">
      <c r="B100" s="611"/>
      <c r="C100" s="611"/>
      <c r="D100" s="611"/>
      <c r="E100" s="611"/>
      <c r="F100" s="611"/>
    </row>
    <row r="101" spans="2:6">
      <c r="B101" s="611"/>
      <c r="C101" s="611"/>
      <c r="D101" s="611"/>
      <c r="E101" s="611"/>
      <c r="F101" s="611"/>
    </row>
    <row r="102" spans="2:6">
      <c r="B102" s="611"/>
      <c r="C102" s="611"/>
      <c r="D102" s="611"/>
      <c r="E102" s="611"/>
      <c r="F102" s="611"/>
    </row>
    <row r="103" spans="2:6">
      <c r="B103" s="611"/>
      <c r="C103" s="611"/>
      <c r="D103" s="611"/>
      <c r="E103" s="611"/>
      <c r="F103" s="611"/>
    </row>
    <row r="104" spans="2:6">
      <c r="B104" s="611"/>
      <c r="C104" s="611"/>
      <c r="D104" s="611"/>
      <c r="E104" s="611"/>
      <c r="F104" s="611"/>
    </row>
    <row r="105" spans="2:6">
      <c r="B105" s="611"/>
      <c r="C105" s="611"/>
      <c r="D105" s="611"/>
      <c r="E105" s="611"/>
      <c r="F105" s="611"/>
    </row>
    <row r="106" spans="2:6">
      <c r="B106" s="611"/>
      <c r="C106" s="611"/>
      <c r="D106" s="611"/>
      <c r="E106" s="611"/>
      <c r="F106" s="611"/>
    </row>
    <row r="107" spans="2:6">
      <c r="B107" s="611"/>
      <c r="C107" s="611"/>
      <c r="D107" s="611"/>
      <c r="E107" s="611"/>
      <c r="F107" s="611"/>
    </row>
    <row r="108" spans="2:6">
      <c r="B108" s="611"/>
      <c r="C108" s="611"/>
      <c r="D108" s="611"/>
      <c r="E108" s="611"/>
      <c r="F108" s="611"/>
    </row>
    <row r="109" spans="2:6">
      <c r="B109" s="611"/>
      <c r="C109" s="611"/>
      <c r="D109" s="611"/>
      <c r="E109" s="611"/>
      <c r="F109" s="611"/>
    </row>
    <row r="110" spans="2:6">
      <c r="B110" s="611"/>
      <c r="C110" s="611"/>
      <c r="D110" s="611"/>
      <c r="E110" s="611"/>
      <c r="F110" s="611"/>
    </row>
    <row r="111" spans="2:6">
      <c r="B111" s="611"/>
      <c r="C111" s="611"/>
      <c r="D111" s="611"/>
      <c r="E111" s="611"/>
      <c r="F111" s="611"/>
    </row>
    <row r="112" spans="2:6">
      <c r="B112" s="611"/>
      <c r="C112" s="611"/>
      <c r="D112" s="611"/>
      <c r="E112" s="611"/>
      <c r="F112" s="611"/>
    </row>
    <row r="113" spans="2:6">
      <c r="B113" s="611"/>
      <c r="C113" s="611"/>
      <c r="D113" s="611"/>
      <c r="E113" s="611"/>
      <c r="F113" s="611"/>
    </row>
    <row r="114" spans="2:6">
      <c r="B114" s="611"/>
      <c r="C114" s="611"/>
      <c r="D114" s="611"/>
      <c r="E114" s="611"/>
      <c r="F114" s="611"/>
    </row>
    <row r="115" spans="2:6">
      <c r="B115" s="611"/>
      <c r="C115" s="611"/>
      <c r="D115" s="611"/>
      <c r="E115" s="611"/>
      <c r="F115" s="611"/>
    </row>
    <row r="116" spans="2:6">
      <c r="B116" s="611"/>
      <c r="C116" s="611"/>
      <c r="D116" s="611"/>
      <c r="E116" s="611"/>
      <c r="F116" s="611"/>
    </row>
    <row r="117" spans="2:6">
      <c r="B117" s="611"/>
      <c r="C117" s="611"/>
      <c r="D117" s="611"/>
      <c r="E117" s="611"/>
      <c r="F117" s="611"/>
    </row>
    <row r="118" spans="2:6">
      <c r="B118" s="611"/>
      <c r="C118" s="611"/>
      <c r="D118" s="611"/>
      <c r="E118" s="611"/>
      <c r="F118" s="611"/>
    </row>
    <row r="119" spans="2:6">
      <c r="B119" s="611"/>
      <c r="C119" s="611"/>
      <c r="D119" s="611"/>
      <c r="E119" s="611"/>
      <c r="F119" s="611"/>
    </row>
    <row r="120" spans="2:6">
      <c r="B120" s="611"/>
      <c r="C120" s="611"/>
      <c r="D120" s="611"/>
      <c r="E120" s="611"/>
      <c r="F120" s="611"/>
    </row>
    <row r="121" spans="2:6">
      <c r="B121" s="611"/>
      <c r="C121" s="611"/>
      <c r="D121" s="611"/>
      <c r="E121" s="611"/>
      <c r="F121" s="611"/>
    </row>
    <row r="122" spans="2:6">
      <c r="B122" s="611"/>
      <c r="C122" s="611"/>
      <c r="D122" s="611"/>
      <c r="E122" s="611"/>
      <c r="F122" s="611"/>
    </row>
    <row r="123" spans="2:6">
      <c r="B123" s="611"/>
      <c r="C123" s="611"/>
      <c r="D123" s="611"/>
      <c r="E123" s="611"/>
      <c r="F123" s="611"/>
    </row>
    <row r="124" spans="2:6">
      <c r="B124" s="611"/>
      <c r="C124" s="611"/>
      <c r="D124" s="611"/>
      <c r="E124" s="611"/>
      <c r="F124" s="611"/>
    </row>
    <row r="125" spans="2:6">
      <c r="B125" s="611"/>
      <c r="C125" s="611"/>
      <c r="D125" s="611"/>
      <c r="E125" s="611"/>
      <c r="F125" s="611"/>
    </row>
    <row r="126" spans="2:6">
      <c r="B126" s="611"/>
      <c r="C126" s="611"/>
      <c r="D126" s="611"/>
      <c r="E126" s="611"/>
      <c r="F126" s="611"/>
    </row>
    <row r="127" spans="2:6">
      <c r="B127" s="611"/>
      <c r="C127" s="611"/>
      <c r="D127" s="611"/>
      <c r="E127" s="611"/>
      <c r="F127" s="611"/>
    </row>
    <row r="128" spans="2:6">
      <c r="B128" s="611"/>
      <c r="C128" s="611"/>
      <c r="D128" s="611"/>
      <c r="E128" s="611"/>
      <c r="F128" s="611"/>
    </row>
    <row r="129" spans="2:6">
      <c r="B129" s="611"/>
      <c r="C129" s="611"/>
      <c r="D129" s="611"/>
      <c r="E129" s="611"/>
      <c r="F129" s="611"/>
    </row>
    <row r="130" spans="2:6">
      <c r="B130" s="611"/>
      <c r="C130" s="611"/>
      <c r="D130" s="611"/>
      <c r="E130" s="611"/>
      <c r="F130" s="611"/>
    </row>
    <row r="131" spans="2:6">
      <c r="B131" s="611"/>
      <c r="C131" s="611"/>
      <c r="D131" s="611"/>
      <c r="E131" s="611"/>
      <c r="F131" s="611"/>
    </row>
    <row r="132" spans="2:6">
      <c r="B132" s="611"/>
      <c r="C132" s="611"/>
      <c r="D132" s="611"/>
      <c r="E132" s="611"/>
      <c r="F132" s="611"/>
    </row>
    <row r="133" spans="2:6">
      <c r="B133" s="611"/>
      <c r="C133" s="611"/>
      <c r="D133" s="611"/>
      <c r="E133" s="611"/>
      <c r="F133" s="611"/>
    </row>
    <row r="134" spans="2:6">
      <c r="B134" s="611"/>
      <c r="C134" s="611"/>
      <c r="D134" s="611"/>
      <c r="E134" s="611"/>
      <c r="F134" s="611"/>
    </row>
    <row r="135" spans="2:6">
      <c r="B135" s="611"/>
      <c r="C135" s="611"/>
      <c r="D135" s="611"/>
      <c r="E135" s="611"/>
      <c r="F135" s="611"/>
    </row>
    <row r="136" spans="2:6">
      <c r="B136" s="611"/>
      <c r="C136" s="611"/>
      <c r="D136" s="611"/>
      <c r="E136" s="611"/>
      <c r="F136" s="611"/>
    </row>
    <row r="137" spans="2:6">
      <c r="B137" s="611"/>
      <c r="C137" s="611"/>
      <c r="D137" s="611"/>
      <c r="E137" s="611"/>
      <c r="F137" s="611"/>
    </row>
    <row r="138" spans="2:6">
      <c r="B138" s="611"/>
      <c r="C138" s="611"/>
      <c r="D138" s="611"/>
      <c r="E138" s="611"/>
      <c r="F138" s="611"/>
    </row>
    <row r="139" spans="2:6">
      <c r="B139" s="611"/>
      <c r="C139" s="611"/>
      <c r="D139" s="611"/>
      <c r="E139" s="611"/>
      <c r="F139" s="611"/>
    </row>
    <row r="140" spans="2:6">
      <c r="B140" s="611"/>
      <c r="C140" s="611"/>
      <c r="D140" s="611"/>
      <c r="E140" s="611"/>
      <c r="F140" s="611"/>
    </row>
    <row r="141" spans="2:6">
      <c r="B141" s="611"/>
      <c r="C141" s="611"/>
      <c r="D141" s="611"/>
      <c r="E141" s="611"/>
      <c r="F141" s="611"/>
    </row>
    <row r="142" spans="2:6">
      <c r="B142" s="611"/>
      <c r="C142" s="611"/>
      <c r="D142" s="611"/>
      <c r="E142" s="611"/>
      <c r="F142" s="611"/>
    </row>
    <row r="143" spans="2:6">
      <c r="B143" s="611"/>
      <c r="C143" s="611"/>
      <c r="D143" s="611"/>
      <c r="E143" s="611"/>
      <c r="F143" s="611"/>
    </row>
    <row r="144" spans="2:6">
      <c r="B144" s="611"/>
      <c r="C144" s="611"/>
      <c r="D144" s="611"/>
      <c r="E144" s="611"/>
      <c r="F144" s="611"/>
    </row>
    <row r="145" spans="2:6">
      <c r="B145" s="611"/>
      <c r="C145" s="611"/>
      <c r="D145" s="611"/>
      <c r="E145" s="611"/>
      <c r="F145" s="611"/>
    </row>
    <row r="146" spans="2:6">
      <c r="B146" s="611"/>
      <c r="C146" s="611"/>
      <c r="D146" s="611"/>
      <c r="E146" s="611"/>
      <c r="F146" s="611"/>
    </row>
    <row r="147" spans="2:6">
      <c r="B147" s="611"/>
      <c r="C147" s="611"/>
      <c r="D147" s="611"/>
      <c r="E147" s="611"/>
      <c r="F147" s="611"/>
    </row>
    <row r="148" spans="2:6">
      <c r="B148" s="611"/>
      <c r="C148" s="611"/>
      <c r="D148" s="611"/>
      <c r="E148" s="611"/>
      <c r="F148" s="611"/>
    </row>
    <row r="149" spans="2:6">
      <c r="B149" s="611"/>
      <c r="C149" s="611"/>
      <c r="D149" s="611"/>
      <c r="E149" s="611"/>
      <c r="F149" s="611"/>
    </row>
    <row r="150" spans="2:6">
      <c r="B150" s="611"/>
      <c r="C150" s="611"/>
      <c r="D150" s="611"/>
      <c r="E150" s="611"/>
      <c r="F150" s="611"/>
    </row>
  </sheetData>
  <sheetProtection algorithmName="SHA-512" hashValue="sS1Ef+jX0sk9i6t/w4t/mv5gQJSkv2zdkk92BdOWCuVB7Y4K6CF0E0g80GmWQw1pzZdoKmMf3sbFTz4Leln6oA==" saltValue="Bf6blZzb0DG8/vHY9m3zfQ==" spinCount="100000" sheet="1" objects="1" scenarios="1"/>
  <mergeCells count="23">
    <mergeCell ref="H71:K71"/>
    <mergeCell ref="H60:K60"/>
    <mergeCell ref="H61:K61"/>
    <mergeCell ref="H62:K62"/>
    <mergeCell ref="H63:K63"/>
    <mergeCell ref="H64:K64"/>
    <mergeCell ref="H65:K65"/>
    <mergeCell ref="H66:K66"/>
    <mergeCell ref="H67:K67"/>
    <mergeCell ref="H68:K68"/>
    <mergeCell ref="H69:K69"/>
    <mergeCell ref="H70:K70"/>
    <mergeCell ref="H58:K58"/>
    <mergeCell ref="H59:K59"/>
    <mergeCell ref="B2:B3"/>
    <mergeCell ref="C2:C3"/>
    <mergeCell ref="D2:D3"/>
    <mergeCell ref="G2:G3"/>
    <mergeCell ref="H2:H3"/>
    <mergeCell ref="E3:F3"/>
    <mergeCell ref="B7:K7"/>
    <mergeCell ref="B19:K19"/>
    <mergeCell ref="B27:K27"/>
  </mergeCells>
  <pageMargins left="0.7" right="0.7" top="0.75" bottom="0.75" header="0.3" footer="0.3"/>
  <pageSetup scale="58" fitToHeight="2" orientation="portrait" horizontalDpi="360" verticalDpi="360" r:id="rId1"/>
  <ignoredErrors>
    <ignoredError sqref="I12 I18" unlockedFormula="1"/>
  </ignoredError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622E-41D0-3C4C-8A3C-9A69FE223F50}">
  <sheetPr codeName="Sheet7">
    <pageSetUpPr fitToPage="1"/>
  </sheetPr>
  <dimension ref="A1:AH151"/>
  <sheetViews>
    <sheetView zoomScaleNormal="100" workbookViewId="0">
      <pane xSplit="2" ySplit="5" topLeftCell="H20" activePane="bottomRight" state="frozen"/>
      <selection pane="topRight" activeCell="C1" sqref="C1"/>
      <selection pane="bottomLeft" activeCell="A6" sqref="A6"/>
      <selection pane="bottomRight" activeCell="C27" sqref="C27"/>
    </sheetView>
  </sheetViews>
  <sheetFormatPr defaultColWidth="11.44140625" defaultRowHeight="21"/>
  <cols>
    <col min="1" max="1" width="3.6640625" style="653" customWidth="1"/>
    <col min="2" max="2" width="34.109375" style="653" customWidth="1"/>
    <col min="3" max="4" width="11.88671875" style="653" customWidth="1"/>
    <col min="5" max="5" width="12.109375" style="653" customWidth="1"/>
    <col min="6" max="8" width="10.88671875" style="711" customWidth="1"/>
    <col min="9" max="9" width="10.88671875" style="653" customWidth="1"/>
    <col min="10" max="10" width="13.6640625" style="653" customWidth="1"/>
    <col min="11" max="12" width="10.88671875" style="653" customWidth="1"/>
    <col min="13" max="13" width="12.33203125" style="653" customWidth="1"/>
    <col min="14" max="19" width="10.88671875" style="653" customWidth="1"/>
    <col min="20" max="20" width="14.44140625" style="653" customWidth="1"/>
    <col min="21" max="21" width="13.6640625" style="653" customWidth="1"/>
    <col min="22" max="22" width="5.88671875" style="611" customWidth="1"/>
    <col min="23" max="24" width="11.44140625" style="611" customWidth="1"/>
    <col min="25" max="34" width="11.44140625" style="611"/>
    <col min="35" max="16384" width="11.44140625" style="653"/>
  </cols>
  <sheetData>
    <row r="1" spans="1:21" ht="14.4">
      <c r="A1" s="611"/>
      <c r="B1" s="611"/>
      <c r="C1" s="611"/>
      <c r="F1" s="653"/>
      <c r="G1" s="653"/>
      <c r="H1" s="653"/>
    </row>
    <row r="2" spans="1:21" ht="21" customHeight="1">
      <c r="A2" s="611"/>
      <c r="B2" s="729"/>
      <c r="C2" s="690" t="str">
        <f>'AcresYieldsPrices&amp;Water'!B4&amp;" Estab."</f>
        <v>Guayule Estab.</v>
      </c>
      <c r="D2" s="689" t="str">
        <f>'AcresYieldsPrices&amp;Water'!B4&amp;" Grow"</f>
        <v>Guayule Grow</v>
      </c>
      <c r="E2" s="689" t="str">
        <f>'AcresYieldsPrices&amp;Water'!B4&amp;" Harvest"</f>
        <v>Guayule Harvest</v>
      </c>
      <c r="F2" s="689" t="str">
        <f>'AcresYieldsPrices&amp;Water'!B5</f>
        <v>Guar</v>
      </c>
      <c r="G2" s="730" t="str">
        <f>'AcresYieldsPrices&amp;Water'!B6</f>
        <v>Hemp for CBD Oil</v>
      </c>
      <c r="H2" s="689" t="str">
        <f>'AcresYieldsPrices&amp;Water'!B7</f>
        <v>Hemp for Grain</v>
      </c>
      <c r="I2" s="689" t="str">
        <f>'AcresYieldsPrices&amp;Water'!B8</f>
        <v>Hemp for Fiber</v>
      </c>
      <c r="J2" s="689" t="str">
        <f>'AcresYieldsPrices&amp;Water'!B9</f>
        <v>Irr. Water Reduction: Set-aside</v>
      </c>
      <c r="K2" s="689" t="s">
        <v>11</v>
      </c>
      <c r="L2" s="689" t="str">
        <f>'AcresYieldsPrices&amp;Water'!B11</f>
        <v>Corn Silage</v>
      </c>
      <c r="M2" s="689" t="str">
        <f>'AcresYieldsPrices&amp;Water'!B12</f>
        <v>Sorghum</v>
      </c>
      <c r="N2" s="689" t="str">
        <f>'AcresYieldsPrices&amp;Water'!B13</f>
        <v>Spring Barley</v>
      </c>
      <c r="O2" s="689" t="str">
        <f>'AcresYieldsPrices&amp;Water'!B14</f>
        <v>Durum Wheat</v>
      </c>
      <c r="P2" s="689" t="str">
        <f>'AcresYieldsPrices&amp;Water'!B15</f>
        <v>Alt Crop #1</v>
      </c>
      <c r="Q2" s="689" t="str">
        <f>'AcresYieldsPrices&amp;Water'!B16</f>
        <v>Alt Crop #2</v>
      </c>
      <c r="R2" s="689" t="str">
        <f>'AcresYieldsPrices&amp;Water'!B17</f>
        <v>Alt Crop #3</v>
      </c>
      <c r="S2" s="689" t="str">
        <f>'AcresYieldsPrices&amp;Water'!B18</f>
        <v>Alt Crop #4</v>
      </c>
      <c r="T2" s="689" t="str">
        <f>'AcresYieldsPrices&amp;Water'!B19</f>
        <v>Alfalfa Hay Estab.</v>
      </c>
      <c r="U2" s="689" t="str">
        <f>'AcresYieldsPrices&amp;Water'!B20</f>
        <v>Alfalfa Hay Prod.</v>
      </c>
    </row>
    <row r="3" spans="1:21" ht="21" customHeight="1">
      <c r="A3" s="611"/>
      <c r="B3" s="731"/>
      <c r="C3" s="696"/>
      <c r="D3" s="695"/>
      <c r="E3" s="695"/>
      <c r="F3" s="695"/>
      <c r="G3" s="695"/>
      <c r="H3" s="695"/>
      <c r="I3" s="695"/>
      <c r="J3" s="695"/>
      <c r="K3" s="695"/>
      <c r="L3" s="695"/>
      <c r="M3" s="695"/>
      <c r="N3" s="695"/>
      <c r="O3" s="695"/>
      <c r="P3" s="695"/>
      <c r="Q3" s="695"/>
      <c r="R3" s="695"/>
      <c r="S3" s="695"/>
      <c r="T3" s="695"/>
      <c r="U3" s="695"/>
    </row>
    <row r="4" spans="1:21" ht="21" customHeight="1">
      <c r="A4" s="611"/>
      <c r="B4" s="732" t="s">
        <v>99</v>
      </c>
      <c r="C4" s="733">
        <f>'AcresYieldsPrices&amp;Water'!D4*(1/6)</f>
        <v>25</v>
      </c>
      <c r="D4" s="734">
        <f>'AcresYieldsPrices&amp;Water'!D4*(2/6)</f>
        <v>50</v>
      </c>
      <c r="E4" s="734">
        <f>'AcresYieldsPrices&amp;Water'!D4*(3/6)</f>
        <v>75</v>
      </c>
      <c r="F4" s="734">
        <f>'AcresYieldsPrices&amp;Water'!D5</f>
        <v>150</v>
      </c>
      <c r="G4" s="734">
        <f>'AcresYieldsPrices&amp;Water'!D6</f>
        <v>0</v>
      </c>
      <c r="H4" s="734">
        <f>'AcresYieldsPrices&amp;Water'!D8</f>
        <v>0</v>
      </c>
      <c r="I4" s="734">
        <f>'AcresYieldsPrices&amp;Water'!D7</f>
        <v>0</v>
      </c>
      <c r="J4" s="734">
        <f>'AcresYieldsPrices&amp;Water'!D9</f>
        <v>0</v>
      </c>
      <c r="K4" s="734">
        <f>'AcresYieldsPrices&amp;Water'!D10</f>
        <v>0</v>
      </c>
      <c r="L4" s="734">
        <f>'AcresYieldsPrices&amp;Water'!D11</f>
        <v>0</v>
      </c>
      <c r="M4" s="734">
        <f>'AcresYieldsPrices&amp;Water'!D12</f>
        <v>0</v>
      </c>
      <c r="N4" s="734">
        <f>'AcresYieldsPrices&amp;Water'!D13</f>
        <v>0</v>
      </c>
      <c r="O4" s="734">
        <f>'AcresYieldsPrices&amp;Water'!D14</f>
        <v>0</v>
      </c>
      <c r="P4" s="734">
        <f>'AcresYieldsPrices&amp;Water'!D15</f>
        <v>0</v>
      </c>
      <c r="Q4" s="734">
        <f>'AcresYieldsPrices&amp;Water'!D16</f>
        <v>0</v>
      </c>
      <c r="R4" s="734">
        <f>'AcresYieldsPrices&amp;Water'!D17</f>
        <v>0</v>
      </c>
      <c r="S4" s="734">
        <f>'AcresYieldsPrices&amp;Water'!D18</f>
        <v>0</v>
      </c>
      <c r="T4" s="734">
        <f>'AcresYieldsPrices&amp;Water'!D19</f>
        <v>0</v>
      </c>
      <c r="U4" s="734">
        <f>'AcresYieldsPrices&amp;Water'!D20</f>
        <v>0</v>
      </c>
    </row>
    <row r="5" spans="1:21" ht="21" customHeight="1">
      <c r="A5" s="611"/>
      <c r="B5" s="735" t="s">
        <v>14</v>
      </c>
      <c r="C5" s="736" t="s">
        <v>15</v>
      </c>
      <c r="D5" s="736" t="s">
        <v>15</v>
      </c>
      <c r="E5" s="736" t="s">
        <v>15</v>
      </c>
      <c r="F5" s="736" t="s">
        <v>15</v>
      </c>
      <c r="G5" s="736" t="s">
        <v>15</v>
      </c>
      <c r="H5" s="736" t="s">
        <v>15</v>
      </c>
      <c r="I5" s="736" t="s">
        <v>15</v>
      </c>
      <c r="J5" s="736" t="s">
        <v>15</v>
      </c>
      <c r="K5" s="736" t="s">
        <v>15</v>
      </c>
      <c r="L5" s="736" t="s">
        <v>15</v>
      </c>
      <c r="M5" s="736" t="s">
        <v>15</v>
      </c>
      <c r="N5" s="736" t="s">
        <v>15</v>
      </c>
      <c r="O5" s="736" t="s">
        <v>15</v>
      </c>
      <c r="P5" s="736"/>
      <c r="Q5" s="736"/>
      <c r="R5" s="736"/>
      <c r="S5" s="736"/>
      <c r="T5" s="736" t="s">
        <v>15</v>
      </c>
      <c r="U5" s="736" t="s">
        <v>15</v>
      </c>
    </row>
    <row r="6" spans="1:21" ht="21" customHeight="1">
      <c r="A6" s="611"/>
      <c r="C6" s="737" t="s">
        <v>293</v>
      </c>
      <c r="D6" s="737"/>
      <c r="E6" s="737"/>
      <c r="F6" s="737"/>
      <c r="G6" s="737"/>
      <c r="H6" s="737"/>
      <c r="I6" s="737"/>
      <c r="J6" s="737"/>
      <c r="K6" s="737"/>
      <c r="L6" s="737"/>
      <c r="M6" s="737"/>
      <c r="N6" s="737"/>
      <c r="O6" s="737"/>
      <c r="P6" s="737"/>
      <c r="Q6" s="737"/>
      <c r="R6" s="737"/>
      <c r="S6" s="737"/>
      <c r="T6" s="737"/>
      <c r="U6" s="737"/>
    </row>
    <row r="7" spans="1:21">
      <c r="A7" s="611">
        <v>7</v>
      </c>
      <c r="B7" s="738" t="str">
        <f>MachineryAssumptions!B8</f>
        <v>V-Ripper</v>
      </c>
      <c r="C7" s="323">
        <v>1</v>
      </c>
      <c r="D7" s="323">
        <v>0</v>
      </c>
      <c r="E7" s="323">
        <v>0</v>
      </c>
      <c r="F7" s="402">
        <v>0</v>
      </c>
      <c r="G7" s="402">
        <v>1</v>
      </c>
      <c r="H7" s="402">
        <v>1</v>
      </c>
      <c r="I7" s="402">
        <v>1</v>
      </c>
      <c r="J7" s="323">
        <v>0</v>
      </c>
      <c r="K7" s="323">
        <v>1</v>
      </c>
      <c r="L7" s="323">
        <v>1</v>
      </c>
      <c r="M7" s="323">
        <v>0</v>
      </c>
      <c r="N7" s="323">
        <v>1</v>
      </c>
      <c r="O7" s="323">
        <v>1</v>
      </c>
      <c r="P7" s="323">
        <v>0</v>
      </c>
      <c r="Q7" s="323">
        <v>0</v>
      </c>
      <c r="R7" s="323">
        <v>0</v>
      </c>
      <c r="S7" s="323">
        <v>0</v>
      </c>
      <c r="T7" s="323">
        <v>1</v>
      </c>
      <c r="U7" s="323">
        <v>0</v>
      </c>
    </row>
    <row r="8" spans="1:21">
      <c r="A8" s="611">
        <v>8</v>
      </c>
      <c r="B8" s="738" t="str">
        <f>MachineryAssumptions!B9</f>
        <v>Offset Disk</v>
      </c>
      <c r="C8" s="323">
        <f>2.15</f>
        <v>2.15</v>
      </c>
      <c r="D8" s="323">
        <v>0.05</v>
      </c>
      <c r="E8" s="323">
        <v>0.1</v>
      </c>
      <c r="F8" s="402">
        <v>2</v>
      </c>
      <c r="G8" s="402">
        <v>1</v>
      </c>
      <c r="H8" s="402">
        <v>1</v>
      </c>
      <c r="I8" s="402">
        <v>1</v>
      </c>
      <c r="J8" s="323">
        <v>1</v>
      </c>
      <c r="K8" s="323">
        <v>3</v>
      </c>
      <c r="L8" s="323">
        <v>1</v>
      </c>
      <c r="M8" s="323">
        <v>0</v>
      </c>
      <c r="N8" s="323">
        <v>2</v>
      </c>
      <c r="O8" s="323">
        <v>2</v>
      </c>
      <c r="P8" s="323">
        <v>0</v>
      </c>
      <c r="Q8" s="323">
        <v>0</v>
      </c>
      <c r="R8" s="323">
        <v>0</v>
      </c>
      <c r="S8" s="323">
        <v>0</v>
      </c>
      <c r="T8" s="323">
        <v>2</v>
      </c>
      <c r="U8" s="323">
        <v>0</v>
      </c>
    </row>
    <row r="9" spans="1:21">
      <c r="A9" s="611">
        <v>9</v>
      </c>
      <c r="B9" s="738" t="str">
        <f>MachineryAssumptions!B10</f>
        <v>Drag</v>
      </c>
      <c r="C9" s="323">
        <v>0</v>
      </c>
      <c r="D9" s="323">
        <v>0</v>
      </c>
      <c r="E9" s="323">
        <v>0</v>
      </c>
      <c r="F9" s="402">
        <v>0</v>
      </c>
      <c r="G9" s="402">
        <v>0</v>
      </c>
      <c r="H9" s="402">
        <v>0</v>
      </c>
      <c r="I9" s="402">
        <v>0</v>
      </c>
      <c r="J9" s="323">
        <v>0</v>
      </c>
      <c r="K9" s="323">
        <v>0</v>
      </c>
      <c r="L9" s="323">
        <v>0</v>
      </c>
      <c r="M9" s="323">
        <v>0</v>
      </c>
      <c r="N9" s="323">
        <v>0</v>
      </c>
      <c r="O9" s="323">
        <v>0</v>
      </c>
      <c r="P9" s="323">
        <v>0</v>
      </c>
      <c r="Q9" s="323">
        <v>0</v>
      </c>
      <c r="R9" s="323">
        <v>0</v>
      </c>
      <c r="S9" s="323">
        <v>0</v>
      </c>
      <c r="T9" s="323">
        <v>0</v>
      </c>
      <c r="U9" s="323">
        <v>0</v>
      </c>
    </row>
    <row r="10" spans="1:21">
      <c r="A10" s="611">
        <v>10</v>
      </c>
      <c r="B10" s="738" t="str">
        <f>MachineryAssumptions!B11</f>
        <v>Chisel</v>
      </c>
      <c r="C10" s="323">
        <v>0</v>
      </c>
      <c r="D10" s="323">
        <v>0</v>
      </c>
      <c r="E10" s="323">
        <v>0</v>
      </c>
      <c r="F10" s="402">
        <v>1</v>
      </c>
      <c r="G10" s="402">
        <v>0</v>
      </c>
      <c r="H10" s="402">
        <v>0</v>
      </c>
      <c r="I10" s="402">
        <v>0</v>
      </c>
      <c r="J10" s="323">
        <v>0</v>
      </c>
      <c r="K10" s="323">
        <v>0</v>
      </c>
      <c r="L10" s="323">
        <v>0</v>
      </c>
      <c r="M10" s="323">
        <v>0</v>
      </c>
      <c r="N10" s="323">
        <v>0</v>
      </c>
      <c r="O10" s="323">
        <v>0</v>
      </c>
      <c r="P10" s="323">
        <v>0</v>
      </c>
      <c r="Q10" s="323">
        <v>0</v>
      </c>
      <c r="R10" s="323">
        <v>0</v>
      </c>
      <c r="S10" s="323">
        <v>0</v>
      </c>
      <c r="T10" s="323">
        <v>0</v>
      </c>
      <c r="U10" s="323">
        <v>0</v>
      </c>
    </row>
    <row r="11" spans="1:21">
      <c r="A11" s="611">
        <v>11</v>
      </c>
      <c r="B11" s="738" t="str">
        <f>MachineryAssumptions!B12</f>
        <v>Moldboard Plow</v>
      </c>
      <c r="C11" s="323">
        <v>0</v>
      </c>
      <c r="D11" s="323">
        <v>0</v>
      </c>
      <c r="E11" s="323">
        <v>0</v>
      </c>
      <c r="F11" s="94">
        <v>0</v>
      </c>
      <c r="G11" s="402">
        <v>0</v>
      </c>
      <c r="H11" s="402">
        <v>0</v>
      </c>
      <c r="I11" s="402">
        <v>0</v>
      </c>
      <c r="J11" s="323">
        <v>0</v>
      </c>
      <c r="K11" s="323">
        <v>1</v>
      </c>
      <c r="L11" s="323">
        <v>0</v>
      </c>
      <c r="M11" s="323">
        <v>0</v>
      </c>
      <c r="N11" s="323">
        <v>0</v>
      </c>
      <c r="O11" s="323">
        <v>0</v>
      </c>
      <c r="P11" s="323">
        <v>0</v>
      </c>
      <c r="Q11" s="323">
        <v>0</v>
      </c>
      <c r="R11" s="323">
        <v>0</v>
      </c>
      <c r="S11" s="323">
        <v>0</v>
      </c>
      <c r="T11" s="323">
        <v>1</v>
      </c>
      <c r="U11" s="323">
        <v>0</v>
      </c>
    </row>
    <row r="12" spans="1:21">
      <c r="A12" s="611">
        <v>12</v>
      </c>
      <c r="B12" s="738" t="str">
        <f>MachineryAssumptions!B13</f>
        <v>Cultivator</v>
      </c>
      <c r="C12" s="323">
        <v>0</v>
      </c>
      <c r="D12" s="323">
        <v>0</v>
      </c>
      <c r="E12" s="323">
        <v>0</v>
      </c>
      <c r="F12" s="323">
        <v>0</v>
      </c>
      <c r="G12" s="323">
        <v>1</v>
      </c>
      <c r="H12" s="323">
        <v>1</v>
      </c>
      <c r="I12" s="323">
        <v>1</v>
      </c>
      <c r="J12" s="323">
        <v>0</v>
      </c>
      <c r="K12" s="323">
        <v>0</v>
      </c>
      <c r="L12" s="323">
        <v>0</v>
      </c>
      <c r="M12" s="323">
        <v>0</v>
      </c>
      <c r="N12" s="323">
        <v>0</v>
      </c>
      <c r="O12" s="323">
        <v>0</v>
      </c>
      <c r="P12" s="323">
        <v>0</v>
      </c>
      <c r="Q12" s="323">
        <v>0</v>
      </c>
      <c r="R12" s="323">
        <v>0</v>
      </c>
      <c r="S12" s="323">
        <v>0</v>
      </c>
      <c r="T12" s="323">
        <v>0</v>
      </c>
      <c r="U12" s="323">
        <v>0</v>
      </c>
    </row>
    <row r="13" spans="1:21">
      <c r="A13" s="611">
        <v>13</v>
      </c>
      <c r="B13" s="738" t="str">
        <f>MachineryAssumptions!B14</f>
        <v>Landplane</v>
      </c>
      <c r="C13" s="323">
        <v>1</v>
      </c>
      <c r="D13" s="323">
        <v>0</v>
      </c>
      <c r="E13" s="323">
        <v>0</v>
      </c>
      <c r="F13" s="323">
        <v>0</v>
      </c>
      <c r="G13" s="323">
        <v>0</v>
      </c>
      <c r="H13" s="323">
        <v>0</v>
      </c>
      <c r="I13" s="323">
        <v>0</v>
      </c>
      <c r="J13" s="323">
        <v>0</v>
      </c>
      <c r="K13" s="323">
        <v>1</v>
      </c>
      <c r="L13" s="323">
        <v>1</v>
      </c>
      <c r="M13" s="323">
        <v>0</v>
      </c>
      <c r="N13" s="323">
        <v>0</v>
      </c>
      <c r="O13" s="323">
        <v>0</v>
      </c>
      <c r="P13" s="323">
        <v>0</v>
      </c>
      <c r="Q13" s="323">
        <v>0</v>
      </c>
      <c r="R13" s="323">
        <v>0</v>
      </c>
      <c r="S13" s="323">
        <v>0</v>
      </c>
      <c r="T13" s="323">
        <v>1</v>
      </c>
      <c r="U13" s="323">
        <v>0</v>
      </c>
    </row>
    <row r="14" spans="1:21">
      <c r="A14" s="611">
        <v>14</v>
      </c>
      <c r="B14" s="738" t="str">
        <f>MachineryAssumptions!B15</f>
        <v>Float</v>
      </c>
      <c r="C14" s="323">
        <v>0</v>
      </c>
      <c r="D14" s="323">
        <v>0</v>
      </c>
      <c r="E14" s="323">
        <v>0</v>
      </c>
      <c r="F14" s="323">
        <v>0</v>
      </c>
      <c r="G14" s="323">
        <v>0</v>
      </c>
      <c r="H14" s="323">
        <v>0</v>
      </c>
      <c r="I14" s="323">
        <v>0</v>
      </c>
      <c r="J14" s="323">
        <v>0</v>
      </c>
      <c r="K14" s="323">
        <v>0</v>
      </c>
      <c r="L14" s="323">
        <v>0</v>
      </c>
      <c r="M14" s="323">
        <v>0</v>
      </c>
      <c r="N14" s="323">
        <v>0</v>
      </c>
      <c r="O14" s="323">
        <v>0</v>
      </c>
      <c r="P14" s="323">
        <v>0</v>
      </c>
      <c r="Q14" s="323">
        <v>0</v>
      </c>
      <c r="R14" s="323">
        <v>0</v>
      </c>
      <c r="S14" s="323">
        <v>0</v>
      </c>
      <c r="T14" s="323">
        <v>0</v>
      </c>
      <c r="U14" s="323">
        <v>0</v>
      </c>
    </row>
    <row r="15" spans="1:21">
      <c r="A15" s="611">
        <v>15</v>
      </c>
      <c r="B15" s="738" t="str">
        <f>MachineryAssumptions!B16</f>
        <v>Lister</v>
      </c>
      <c r="C15" s="323">
        <v>1</v>
      </c>
      <c r="D15" s="323">
        <v>0</v>
      </c>
      <c r="E15" s="323">
        <v>0</v>
      </c>
      <c r="F15" s="323">
        <v>0</v>
      </c>
      <c r="G15" s="323">
        <v>0</v>
      </c>
      <c r="H15" s="323">
        <v>0</v>
      </c>
      <c r="I15" s="323">
        <v>0</v>
      </c>
      <c r="J15" s="323">
        <v>0</v>
      </c>
      <c r="K15" s="323">
        <v>1</v>
      </c>
      <c r="L15" s="323">
        <v>1</v>
      </c>
      <c r="M15" s="323">
        <v>0</v>
      </c>
      <c r="N15" s="323">
        <v>0</v>
      </c>
      <c r="O15" s="323">
        <v>0</v>
      </c>
      <c r="P15" s="323">
        <v>0</v>
      </c>
      <c r="Q15" s="323">
        <v>0</v>
      </c>
      <c r="R15" s="323">
        <v>0</v>
      </c>
      <c r="S15" s="323">
        <v>0</v>
      </c>
      <c r="T15" s="323">
        <v>0</v>
      </c>
      <c r="U15" s="323">
        <v>0</v>
      </c>
    </row>
    <row r="16" spans="1:21">
      <c r="A16" s="611">
        <v>16</v>
      </c>
      <c r="B16" s="738" t="str">
        <f>MachineryAssumptions!B17</f>
        <v>Bed Shaper</v>
      </c>
      <c r="C16" s="323">
        <v>1</v>
      </c>
      <c r="D16" s="323">
        <v>0</v>
      </c>
      <c r="E16" s="323">
        <v>0</v>
      </c>
      <c r="F16" s="323">
        <v>0</v>
      </c>
      <c r="G16" s="323">
        <v>0</v>
      </c>
      <c r="H16" s="323">
        <v>0</v>
      </c>
      <c r="I16" s="323">
        <v>0</v>
      </c>
      <c r="J16" s="323">
        <v>0</v>
      </c>
      <c r="K16" s="323">
        <v>0</v>
      </c>
      <c r="L16" s="323">
        <v>0</v>
      </c>
      <c r="M16" s="323">
        <v>0</v>
      </c>
      <c r="N16" s="323">
        <v>0</v>
      </c>
      <c r="O16" s="323">
        <v>0</v>
      </c>
      <c r="P16" s="323">
        <v>0</v>
      </c>
      <c r="Q16" s="323">
        <v>0</v>
      </c>
      <c r="R16" s="323">
        <v>0</v>
      </c>
      <c r="S16" s="323">
        <v>0</v>
      </c>
      <c r="T16" s="323">
        <v>0</v>
      </c>
      <c r="U16" s="323">
        <v>0</v>
      </c>
    </row>
    <row r="17" spans="1:21">
      <c r="A17" s="611">
        <v>17</v>
      </c>
      <c r="B17" s="738" t="str">
        <f>MachineryAssumptions!B18</f>
        <v>Cotton Shredder/Root Puller</v>
      </c>
      <c r="C17" s="94">
        <v>0</v>
      </c>
      <c r="D17" s="323">
        <v>0</v>
      </c>
      <c r="E17" s="323">
        <v>0</v>
      </c>
      <c r="F17" s="323">
        <v>0</v>
      </c>
      <c r="G17" s="323">
        <v>0</v>
      </c>
      <c r="H17" s="323">
        <v>0</v>
      </c>
      <c r="I17" s="323">
        <v>0</v>
      </c>
      <c r="J17" s="323">
        <v>0</v>
      </c>
      <c r="K17" s="323">
        <v>1</v>
      </c>
      <c r="L17" s="323">
        <v>0</v>
      </c>
      <c r="M17" s="323">
        <v>0</v>
      </c>
      <c r="N17" s="323">
        <v>0</v>
      </c>
      <c r="O17" s="323">
        <v>0</v>
      </c>
      <c r="P17" s="323">
        <v>0</v>
      </c>
      <c r="Q17" s="323">
        <v>0</v>
      </c>
      <c r="R17" s="323">
        <v>0</v>
      </c>
      <c r="S17" s="323">
        <v>0</v>
      </c>
      <c r="T17" s="323">
        <v>0</v>
      </c>
      <c r="U17" s="323">
        <v>0</v>
      </c>
    </row>
    <row r="18" spans="1:21">
      <c r="A18" s="611">
        <v>18</v>
      </c>
      <c r="C18" s="739" t="s">
        <v>294</v>
      </c>
      <c r="D18" s="739"/>
      <c r="E18" s="739"/>
      <c r="F18" s="739"/>
      <c r="G18" s="739"/>
      <c r="H18" s="739"/>
      <c r="I18" s="739"/>
      <c r="J18" s="739"/>
      <c r="K18" s="739"/>
      <c r="L18" s="739"/>
      <c r="M18" s="739"/>
      <c r="N18" s="739"/>
      <c r="O18" s="739"/>
      <c r="P18" s="739"/>
      <c r="Q18" s="739"/>
      <c r="R18" s="739"/>
      <c r="S18" s="739"/>
      <c r="T18" s="739"/>
      <c r="U18" s="739"/>
    </row>
    <row r="19" spans="1:21">
      <c r="A19" s="611">
        <v>19</v>
      </c>
      <c r="B19" s="738" t="str">
        <f>MachineryAssumptions!B20</f>
        <v>Row Planter</v>
      </c>
      <c r="C19" s="323">
        <v>1</v>
      </c>
      <c r="D19" s="323">
        <v>0</v>
      </c>
      <c r="E19" s="323">
        <v>0</v>
      </c>
      <c r="F19" s="323">
        <v>0</v>
      </c>
      <c r="G19" s="94">
        <v>0</v>
      </c>
      <c r="H19" s="94">
        <v>0</v>
      </c>
      <c r="I19" s="94">
        <v>0</v>
      </c>
      <c r="J19" s="94">
        <v>0</v>
      </c>
      <c r="K19" s="323">
        <v>1</v>
      </c>
      <c r="L19" s="323">
        <v>1</v>
      </c>
      <c r="M19" s="323">
        <v>0</v>
      </c>
      <c r="N19" s="323">
        <v>0</v>
      </c>
      <c r="O19" s="323">
        <v>0</v>
      </c>
      <c r="P19" s="323">
        <v>0</v>
      </c>
      <c r="Q19" s="323">
        <v>0</v>
      </c>
      <c r="R19" s="323">
        <v>0</v>
      </c>
      <c r="S19" s="323">
        <v>0</v>
      </c>
      <c r="T19" s="323">
        <v>0</v>
      </c>
      <c r="U19" s="323">
        <v>0</v>
      </c>
    </row>
    <row r="20" spans="1:21">
      <c r="A20" s="611">
        <v>20</v>
      </c>
      <c r="B20" s="738" t="str">
        <f>MachineryAssumptions!B21</f>
        <v>Row Cultivator</v>
      </c>
      <c r="C20" s="323">
        <v>2</v>
      </c>
      <c r="D20" s="323">
        <v>0</v>
      </c>
      <c r="E20" s="323">
        <v>0</v>
      </c>
      <c r="F20" s="323">
        <v>0</v>
      </c>
      <c r="G20" s="94">
        <v>4</v>
      </c>
      <c r="H20" s="94">
        <v>0</v>
      </c>
      <c r="I20" s="94">
        <v>0</v>
      </c>
      <c r="J20" s="94">
        <v>0</v>
      </c>
      <c r="K20" s="323">
        <v>2</v>
      </c>
      <c r="L20" s="323">
        <v>3</v>
      </c>
      <c r="M20" s="323">
        <v>0</v>
      </c>
      <c r="N20" s="323">
        <v>0</v>
      </c>
      <c r="O20" s="323">
        <v>0</v>
      </c>
      <c r="P20" s="323">
        <v>0</v>
      </c>
      <c r="Q20" s="323">
        <v>0</v>
      </c>
      <c r="R20" s="323">
        <v>0</v>
      </c>
      <c r="S20" s="323">
        <v>0</v>
      </c>
      <c r="T20" s="323">
        <v>0</v>
      </c>
      <c r="U20" s="323">
        <v>0</v>
      </c>
    </row>
    <row r="21" spans="1:21">
      <c r="A21" s="611">
        <v>21</v>
      </c>
      <c r="B21" s="738" t="str">
        <f>MachineryAssumptions!B22</f>
        <v>Drill</v>
      </c>
      <c r="C21" s="323">
        <v>0</v>
      </c>
      <c r="D21" s="323">
        <v>0</v>
      </c>
      <c r="E21" s="323">
        <v>0</v>
      </c>
      <c r="F21" s="323">
        <v>1</v>
      </c>
      <c r="G21" s="94">
        <v>0</v>
      </c>
      <c r="H21" s="94">
        <v>1</v>
      </c>
      <c r="I21" s="94">
        <v>1</v>
      </c>
      <c r="J21" s="94">
        <v>0</v>
      </c>
      <c r="K21" s="323">
        <v>0</v>
      </c>
      <c r="L21" s="323">
        <v>0</v>
      </c>
      <c r="M21" s="323">
        <v>0</v>
      </c>
      <c r="N21" s="323">
        <v>1</v>
      </c>
      <c r="O21" s="323">
        <v>1</v>
      </c>
      <c r="P21" s="323">
        <v>0</v>
      </c>
      <c r="Q21" s="323">
        <v>0</v>
      </c>
      <c r="R21" s="323">
        <v>0</v>
      </c>
      <c r="S21" s="323">
        <v>0</v>
      </c>
      <c r="T21" s="323">
        <v>1</v>
      </c>
      <c r="U21" s="323">
        <v>0</v>
      </c>
    </row>
    <row r="22" spans="1:21">
      <c r="A22" s="611">
        <v>22</v>
      </c>
      <c r="B22" s="738" t="str">
        <f>MachineryAssumptions!B23</f>
        <v>Transplanter</v>
      </c>
      <c r="C22" s="323">
        <v>0</v>
      </c>
      <c r="D22" s="323">
        <v>0</v>
      </c>
      <c r="E22" s="323">
        <v>0</v>
      </c>
      <c r="F22" s="323">
        <v>0</v>
      </c>
      <c r="G22" s="94">
        <v>1</v>
      </c>
      <c r="H22" s="94">
        <v>0</v>
      </c>
      <c r="I22" s="94">
        <v>0</v>
      </c>
      <c r="J22" s="94">
        <v>0</v>
      </c>
      <c r="K22" s="323">
        <v>0</v>
      </c>
      <c r="L22" s="323">
        <v>0</v>
      </c>
      <c r="M22" s="323">
        <v>0</v>
      </c>
      <c r="N22" s="323">
        <v>0</v>
      </c>
      <c r="O22" s="323">
        <v>0</v>
      </c>
      <c r="P22" s="323">
        <v>0</v>
      </c>
      <c r="Q22" s="323">
        <v>0</v>
      </c>
      <c r="R22" s="323">
        <v>0</v>
      </c>
      <c r="S22" s="323">
        <v>0</v>
      </c>
      <c r="T22" s="323">
        <v>0</v>
      </c>
      <c r="U22" s="323">
        <v>0</v>
      </c>
    </row>
    <row r="23" spans="1:21" ht="21" customHeight="1">
      <c r="A23" s="611">
        <v>23</v>
      </c>
      <c r="B23" s="738" t="str">
        <f>MachineryAssumptions!B24</f>
        <v>Fertilizer Spreader</v>
      </c>
      <c r="C23" s="323">
        <v>1</v>
      </c>
      <c r="D23" s="323">
        <v>0</v>
      </c>
      <c r="E23" s="323">
        <v>0</v>
      </c>
      <c r="F23" s="323">
        <v>0</v>
      </c>
      <c r="G23" s="94">
        <v>1</v>
      </c>
      <c r="H23" s="94">
        <v>0</v>
      </c>
      <c r="I23" s="94">
        <v>1</v>
      </c>
      <c r="J23" s="94">
        <v>0</v>
      </c>
      <c r="K23" s="323">
        <v>1</v>
      </c>
      <c r="L23" s="323">
        <v>1</v>
      </c>
      <c r="M23" s="323">
        <v>0</v>
      </c>
      <c r="N23" s="323">
        <v>1</v>
      </c>
      <c r="O23" s="323">
        <v>1</v>
      </c>
      <c r="P23" s="323">
        <v>0</v>
      </c>
      <c r="Q23" s="323">
        <v>0</v>
      </c>
      <c r="R23" s="323">
        <v>0</v>
      </c>
      <c r="S23" s="323">
        <v>0</v>
      </c>
      <c r="T23" s="323">
        <v>1</v>
      </c>
      <c r="U23" s="323">
        <v>2</v>
      </c>
    </row>
    <row r="24" spans="1:21" ht="21" customHeight="1">
      <c r="A24" s="611">
        <v>24</v>
      </c>
      <c r="B24" s="738" t="str">
        <f>MachineryAssumptions!B25</f>
        <v>Fertilizer Injection System</v>
      </c>
      <c r="C24" s="323">
        <v>0</v>
      </c>
      <c r="D24" s="94">
        <v>0</v>
      </c>
      <c r="E24" s="323">
        <v>0</v>
      </c>
      <c r="F24" s="323">
        <v>0</v>
      </c>
      <c r="G24" s="94">
        <v>0</v>
      </c>
      <c r="H24" s="94">
        <v>0</v>
      </c>
      <c r="I24" s="94">
        <v>0</v>
      </c>
      <c r="J24" s="94">
        <v>0</v>
      </c>
      <c r="K24" s="94">
        <v>0</v>
      </c>
      <c r="L24" s="323">
        <v>0</v>
      </c>
      <c r="M24" s="94">
        <v>0</v>
      </c>
      <c r="N24" s="323">
        <v>0</v>
      </c>
      <c r="O24" s="94">
        <v>0</v>
      </c>
      <c r="P24" s="94">
        <v>0</v>
      </c>
      <c r="Q24" s="94">
        <v>0</v>
      </c>
      <c r="R24" s="94">
        <v>0</v>
      </c>
      <c r="S24" s="94">
        <v>0</v>
      </c>
      <c r="T24" s="323">
        <v>0</v>
      </c>
      <c r="U24" s="94">
        <v>0</v>
      </c>
    </row>
    <row r="25" spans="1:21" ht="21" customHeight="1">
      <c r="A25" s="611">
        <v>25</v>
      </c>
      <c r="B25" s="738" t="str">
        <f>MachineryAssumptions!B26</f>
        <v>Boom Sprayer</v>
      </c>
      <c r="C25" s="323">
        <v>3</v>
      </c>
      <c r="D25" s="323">
        <v>1</v>
      </c>
      <c r="E25" s="323">
        <v>0</v>
      </c>
      <c r="F25" s="323">
        <v>2</v>
      </c>
      <c r="G25" s="94">
        <v>2</v>
      </c>
      <c r="H25" s="94">
        <v>0</v>
      </c>
      <c r="I25" s="94">
        <v>2</v>
      </c>
      <c r="J25" s="94">
        <v>1</v>
      </c>
      <c r="K25" s="323">
        <v>3</v>
      </c>
      <c r="L25" s="323">
        <v>2</v>
      </c>
      <c r="M25" s="323">
        <v>0</v>
      </c>
      <c r="N25" s="323">
        <v>1</v>
      </c>
      <c r="O25" s="323">
        <v>1</v>
      </c>
      <c r="P25" s="323">
        <v>0</v>
      </c>
      <c r="Q25" s="323">
        <v>0</v>
      </c>
      <c r="R25" s="323">
        <v>0</v>
      </c>
      <c r="S25" s="323">
        <v>0</v>
      </c>
      <c r="T25" s="323">
        <v>2</v>
      </c>
      <c r="U25" s="323">
        <v>2</v>
      </c>
    </row>
    <row r="26" spans="1:21">
      <c r="A26" s="611">
        <v>26</v>
      </c>
      <c r="C26" s="739" t="s">
        <v>291</v>
      </c>
      <c r="D26" s="739"/>
      <c r="E26" s="739"/>
      <c r="F26" s="739"/>
      <c r="G26" s="739"/>
      <c r="H26" s="739"/>
      <c r="I26" s="739"/>
      <c r="J26" s="739"/>
      <c r="K26" s="739"/>
      <c r="L26" s="739"/>
      <c r="M26" s="739"/>
      <c r="N26" s="739"/>
      <c r="O26" s="739"/>
      <c r="P26" s="739"/>
      <c r="Q26" s="739"/>
      <c r="R26" s="739"/>
      <c r="S26" s="739"/>
      <c r="T26" s="739"/>
      <c r="U26" s="739"/>
    </row>
    <row r="27" spans="1:21">
      <c r="A27" s="611">
        <v>27</v>
      </c>
      <c r="B27" s="738" t="str">
        <f>MachineryAssumptions!B28</f>
        <v>Cotton Picker</v>
      </c>
      <c r="C27" s="94">
        <v>0</v>
      </c>
      <c r="D27" s="323">
        <v>0</v>
      </c>
      <c r="E27" s="323">
        <v>0</v>
      </c>
      <c r="F27" s="323">
        <v>0</v>
      </c>
      <c r="G27" s="323">
        <v>0</v>
      </c>
      <c r="H27" s="323">
        <v>0</v>
      </c>
      <c r="I27" s="323">
        <v>0</v>
      </c>
      <c r="J27" s="323">
        <v>0</v>
      </c>
      <c r="K27" s="323">
        <v>0</v>
      </c>
      <c r="L27" s="323">
        <v>0</v>
      </c>
      <c r="M27" s="323">
        <v>0</v>
      </c>
      <c r="N27" s="323">
        <v>0</v>
      </c>
      <c r="O27" s="323">
        <v>0</v>
      </c>
      <c r="P27" s="323">
        <v>0</v>
      </c>
      <c r="Q27" s="323">
        <v>0</v>
      </c>
      <c r="R27" s="323">
        <v>0</v>
      </c>
      <c r="S27" s="323">
        <v>0</v>
      </c>
      <c r="T27" s="323">
        <v>0</v>
      </c>
      <c r="U27" s="323">
        <v>0</v>
      </c>
    </row>
    <row r="28" spans="1:21">
      <c r="A28" s="611">
        <v>28</v>
      </c>
      <c r="B28" s="738" t="str">
        <f>MachineryAssumptions!B29</f>
        <v>Module Unit</v>
      </c>
      <c r="C28" s="94">
        <v>0</v>
      </c>
      <c r="D28" s="323">
        <v>0</v>
      </c>
      <c r="E28" s="323">
        <v>0</v>
      </c>
      <c r="F28" s="323">
        <v>0</v>
      </c>
      <c r="G28" s="323">
        <v>0</v>
      </c>
      <c r="H28" s="323">
        <v>0</v>
      </c>
      <c r="I28" s="323">
        <v>0</v>
      </c>
      <c r="J28" s="323">
        <v>0</v>
      </c>
      <c r="K28" s="323">
        <v>0</v>
      </c>
      <c r="L28" s="323">
        <v>0</v>
      </c>
      <c r="M28" s="323">
        <v>0</v>
      </c>
      <c r="N28" s="323">
        <v>0</v>
      </c>
      <c r="O28" s="323">
        <v>0</v>
      </c>
      <c r="P28" s="323">
        <v>0</v>
      </c>
      <c r="Q28" s="323">
        <v>0</v>
      </c>
      <c r="R28" s="323">
        <v>0</v>
      </c>
      <c r="S28" s="323">
        <v>0</v>
      </c>
      <c r="T28" s="323">
        <v>0</v>
      </c>
      <c r="U28" s="323">
        <v>0</v>
      </c>
    </row>
    <row r="29" spans="1:21">
      <c r="A29" s="611">
        <v>29</v>
      </c>
      <c r="B29" s="738" t="str">
        <f>MachineryAssumptions!B30</f>
        <v>Haul Cotton</v>
      </c>
      <c r="C29" s="94">
        <v>0</v>
      </c>
      <c r="D29" s="323">
        <v>0</v>
      </c>
      <c r="E29" s="323">
        <v>0</v>
      </c>
      <c r="F29" s="323">
        <v>0</v>
      </c>
      <c r="G29" s="323">
        <v>0</v>
      </c>
      <c r="H29" s="323">
        <v>0</v>
      </c>
      <c r="I29" s="323">
        <v>0</v>
      </c>
      <c r="J29" s="323">
        <v>0</v>
      </c>
      <c r="K29" s="323">
        <v>0</v>
      </c>
      <c r="L29" s="323">
        <v>0</v>
      </c>
      <c r="M29" s="323">
        <v>0</v>
      </c>
      <c r="N29" s="323">
        <v>0</v>
      </c>
      <c r="O29" s="323">
        <v>0</v>
      </c>
      <c r="P29" s="323">
        <v>0</v>
      </c>
      <c r="Q29" s="323">
        <v>0</v>
      </c>
      <c r="R29" s="323">
        <v>0</v>
      </c>
      <c r="S29" s="323">
        <v>0</v>
      </c>
      <c r="T29" s="323">
        <v>0</v>
      </c>
      <c r="U29" s="323">
        <v>0</v>
      </c>
    </row>
    <row r="30" spans="1:21">
      <c r="A30" s="611">
        <v>30</v>
      </c>
      <c r="B30" s="738" t="str">
        <f>MachineryAssumptions!B31</f>
        <v>Combine</v>
      </c>
      <c r="C30" s="94">
        <v>0</v>
      </c>
      <c r="D30" s="323">
        <v>0</v>
      </c>
      <c r="E30" s="323">
        <v>0</v>
      </c>
      <c r="F30" s="323">
        <v>1</v>
      </c>
      <c r="G30" s="323">
        <v>0</v>
      </c>
      <c r="H30" s="323">
        <v>1</v>
      </c>
      <c r="I30" s="323">
        <v>0</v>
      </c>
      <c r="J30" s="323">
        <v>0</v>
      </c>
      <c r="K30" s="323">
        <v>0</v>
      </c>
      <c r="L30" s="323">
        <v>0</v>
      </c>
      <c r="M30" s="323">
        <v>0</v>
      </c>
      <c r="N30" s="323">
        <v>0</v>
      </c>
      <c r="O30" s="323">
        <v>0</v>
      </c>
      <c r="P30" s="323">
        <v>0</v>
      </c>
      <c r="Q30" s="323">
        <v>0</v>
      </c>
      <c r="R30" s="323">
        <v>0</v>
      </c>
      <c r="S30" s="323">
        <v>0</v>
      </c>
      <c r="T30" s="323">
        <v>0</v>
      </c>
      <c r="U30" s="323">
        <v>0</v>
      </c>
    </row>
    <row r="31" spans="1:21">
      <c r="A31" s="611">
        <v>31</v>
      </c>
      <c r="B31" s="738" t="str">
        <f>MachineryAssumptions!B32</f>
        <v>Grain Cart</v>
      </c>
      <c r="C31" s="94">
        <v>0</v>
      </c>
      <c r="D31" s="323">
        <v>0</v>
      </c>
      <c r="E31" s="323">
        <v>0</v>
      </c>
      <c r="F31" s="323">
        <v>1</v>
      </c>
      <c r="G31" s="323">
        <v>0</v>
      </c>
      <c r="H31" s="323">
        <v>1</v>
      </c>
      <c r="I31" s="323">
        <v>0</v>
      </c>
      <c r="J31" s="323">
        <v>0</v>
      </c>
      <c r="K31" s="323">
        <v>0</v>
      </c>
      <c r="L31" s="323">
        <v>0</v>
      </c>
      <c r="M31" s="323">
        <v>0</v>
      </c>
      <c r="N31" s="323">
        <v>0</v>
      </c>
      <c r="O31" s="323">
        <v>0</v>
      </c>
      <c r="P31" s="323">
        <v>0</v>
      </c>
      <c r="Q31" s="323">
        <v>0</v>
      </c>
      <c r="R31" s="323">
        <v>0</v>
      </c>
      <c r="S31" s="323">
        <v>0</v>
      </c>
      <c r="T31" s="323">
        <v>0</v>
      </c>
      <c r="U31" s="323">
        <v>0</v>
      </c>
    </row>
    <row r="32" spans="1:21" ht="21.9" customHeight="1">
      <c r="A32" s="611">
        <v>32</v>
      </c>
      <c r="B32" s="738" t="str">
        <f>MachineryAssumptions!B33</f>
        <v>Swather</v>
      </c>
      <c r="C32" s="94">
        <v>0</v>
      </c>
      <c r="D32" s="323">
        <v>0</v>
      </c>
      <c r="E32" s="323">
        <v>0</v>
      </c>
      <c r="F32" s="323">
        <v>0</v>
      </c>
      <c r="G32" s="323">
        <v>0</v>
      </c>
      <c r="H32" s="323">
        <v>1</v>
      </c>
      <c r="I32" s="323">
        <v>1</v>
      </c>
      <c r="J32" s="323">
        <v>0</v>
      </c>
      <c r="K32" s="323">
        <v>0</v>
      </c>
      <c r="L32" s="323">
        <v>0</v>
      </c>
      <c r="M32" s="323">
        <v>0</v>
      </c>
      <c r="N32" s="323">
        <v>0</v>
      </c>
      <c r="O32" s="323">
        <v>0</v>
      </c>
      <c r="P32" s="323">
        <v>0</v>
      </c>
      <c r="Q32" s="323">
        <v>0</v>
      </c>
      <c r="R32" s="323">
        <v>0</v>
      </c>
      <c r="S32" s="323">
        <v>0</v>
      </c>
      <c r="T32" s="323">
        <v>0</v>
      </c>
      <c r="U32" s="323">
        <v>0</v>
      </c>
    </row>
    <row r="33" spans="1:21">
      <c r="A33" s="611">
        <v>33</v>
      </c>
      <c r="B33" s="738" t="str">
        <f>MachineryAssumptions!B34</f>
        <v>Baler</v>
      </c>
      <c r="C33" s="94">
        <v>0</v>
      </c>
      <c r="D33" s="323">
        <v>0</v>
      </c>
      <c r="E33" s="323">
        <v>0</v>
      </c>
      <c r="F33" s="323">
        <v>0</v>
      </c>
      <c r="G33" s="323">
        <v>0</v>
      </c>
      <c r="H33" s="323">
        <v>0</v>
      </c>
      <c r="I33" s="323">
        <v>1</v>
      </c>
      <c r="J33" s="323">
        <v>0</v>
      </c>
      <c r="K33" s="323">
        <v>0</v>
      </c>
      <c r="L33" s="323">
        <v>0</v>
      </c>
      <c r="M33" s="323">
        <v>0</v>
      </c>
      <c r="N33" s="323">
        <v>0</v>
      </c>
      <c r="O33" s="323">
        <v>0</v>
      </c>
      <c r="P33" s="323">
        <v>0</v>
      </c>
      <c r="Q33" s="323">
        <v>0</v>
      </c>
      <c r="R33" s="323">
        <v>0</v>
      </c>
      <c r="S33" s="323">
        <v>0</v>
      </c>
      <c r="T33" s="323">
        <v>0</v>
      </c>
      <c r="U33" s="323">
        <v>0</v>
      </c>
    </row>
    <row r="34" spans="1:21" ht="21.9" customHeight="1">
      <c r="A34" s="611">
        <v>34</v>
      </c>
      <c r="B34" s="738" t="str">
        <f>MachineryAssumptions!B35</f>
        <v>Swather</v>
      </c>
      <c r="C34" s="94">
        <v>0</v>
      </c>
      <c r="D34" s="323">
        <v>0</v>
      </c>
      <c r="E34" s="323">
        <v>0</v>
      </c>
      <c r="F34" s="323">
        <v>0</v>
      </c>
      <c r="G34" s="323">
        <v>0</v>
      </c>
      <c r="H34" s="323">
        <v>0</v>
      </c>
      <c r="I34" s="323">
        <v>0</v>
      </c>
      <c r="J34" s="323">
        <v>0</v>
      </c>
      <c r="K34" s="323">
        <v>0</v>
      </c>
      <c r="L34" s="323">
        <v>0</v>
      </c>
      <c r="M34" s="323">
        <v>0</v>
      </c>
      <c r="N34" s="323">
        <v>0</v>
      </c>
      <c r="O34" s="323">
        <v>0</v>
      </c>
      <c r="P34" s="323">
        <v>0</v>
      </c>
      <c r="Q34" s="323">
        <v>0</v>
      </c>
      <c r="R34" s="323">
        <v>0</v>
      </c>
      <c r="S34" s="323">
        <v>0</v>
      </c>
      <c r="T34" s="323">
        <v>0</v>
      </c>
      <c r="U34" s="323">
        <v>0</v>
      </c>
    </row>
    <row r="35" spans="1:21" ht="20.100000000000001" customHeight="1">
      <c r="A35" s="611">
        <v>35</v>
      </c>
      <c r="B35" s="738" t="str">
        <f>MachineryAssumptions!B36</f>
        <v>Baler</v>
      </c>
      <c r="C35" s="94">
        <v>0</v>
      </c>
      <c r="D35" s="323">
        <v>0</v>
      </c>
      <c r="E35" s="323">
        <v>0</v>
      </c>
      <c r="F35" s="323">
        <v>0</v>
      </c>
      <c r="G35" s="323">
        <v>0</v>
      </c>
      <c r="H35" s="323">
        <v>0</v>
      </c>
      <c r="I35" s="323">
        <v>0</v>
      </c>
      <c r="J35" s="323">
        <v>0</v>
      </c>
      <c r="K35" s="323">
        <v>0</v>
      </c>
      <c r="L35" s="323">
        <v>0</v>
      </c>
      <c r="M35" s="323">
        <v>0</v>
      </c>
      <c r="N35" s="323">
        <v>0</v>
      </c>
      <c r="O35" s="323">
        <v>0</v>
      </c>
      <c r="P35" s="323">
        <v>0</v>
      </c>
      <c r="Q35" s="323">
        <v>0</v>
      </c>
      <c r="R35" s="323">
        <v>0</v>
      </c>
      <c r="S35" s="323">
        <v>0</v>
      </c>
      <c r="T35" s="323">
        <v>0</v>
      </c>
      <c r="U35" s="323">
        <v>0</v>
      </c>
    </row>
    <row r="36" spans="1:21">
      <c r="A36" s="611">
        <v>36</v>
      </c>
      <c r="B36" s="740" t="str">
        <f>MachineryAssumptions!B37</f>
        <v>Bale Wagon</v>
      </c>
      <c r="C36" s="95">
        <v>0</v>
      </c>
      <c r="D36" s="324">
        <v>0</v>
      </c>
      <c r="E36" s="324">
        <v>0</v>
      </c>
      <c r="F36" s="324">
        <v>0</v>
      </c>
      <c r="G36" s="324">
        <v>0</v>
      </c>
      <c r="H36" s="324">
        <v>0</v>
      </c>
      <c r="I36" s="324">
        <v>1</v>
      </c>
      <c r="J36" s="324">
        <v>0</v>
      </c>
      <c r="K36" s="324">
        <v>0</v>
      </c>
      <c r="L36" s="324">
        <v>0</v>
      </c>
      <c r="M36" s="324">
        <v>0</v>
      </c>
      <c r="N36" s="324">
        <v>0</v>
      </c>
      <c r="O36" s="324">
        <v>0</v>
      </c>
      <c r="P36" s="324">
        <v>0</v>
      </c>
      <c r="Q36" s="324">
        <v>0</v>
      </c>
      <c r="R36" s="324">
        <v>0</v>
      </c>
      <c r="S36" s="324">
        <v>0</v>
      </c>
      <c r="T36" s="324">
        <v>0</v>
      </c>
      <c r="U36" s="324">
        <v>0</v>
      </c>
    </row>
    <row r="37" spans="1:21" s="611" customFormat="1" ht="21" customHeight="1"/>
    <row r="38" spans="1:21" s="611" customFormat="1" ht="14.4"/>
    <row r="39" spans="1:21" s="611" customFormat="1" ht="14.4"/>
    <row r="40" spans="1:21" s="611" customFormat="1" ht="14.4"/>
    <row r="41" spans="1:21" s="611" customFormat="1" ht="14.4"/>
    <row r="42" spans="1:21" s="611" customFormat="1" ht="14.4"/>
    <row r="43" spans="1:21" s="611" customFormat="1" ht="14.4"/>
    <row r="44" spans="1:21" s="611" customFormat="1" ht="14.4"/>
    <row r="45" spans="1:21" s="611" customFormat="1" ht="14.4"/>
    <row r="46" spans="1:21" s="611" customFormat="1" ht="14.4"/>
    <row r="47" spans="1:21" s="611" customFormat="1" ht="14.4"/>
    <row r="48" spans="1:21" s="611" customFormat="1" ht="14.4"/>
    <row r="49" s="611" customFormat="1" ht="14.4"/>
    <row r="50" s="611" customFormat="1" ht="14.4"/>
    <row r="51" s="611" customFormat="1" ht="14.4"/>
    <row r="52" s="611" customFormat="1" ht="14.4"/>
    <row r="53" s="611" customFormat="1" ht="14.4"/>
    <row r="54" s="611" customFormat="1" ht="14.4"/>
    <row r="55" s="611" customFormat="1" ht="14.4"/>
    <row r="56" s="611" customFormat="1" ht="14.4"/>
    <row r="57" s="611" customFormat="1" ht="14.4"/>
    <row r="58" s="611" customFormat="1" ht="14.4"/>
    <row r="59" s="611" customFormat="1" ht="14.4"/>
    <row r="60" s="611" customFormat="1" ht="14.4"/>
    <row r="61" s="611" customFormat="1" ht="14.4"/>
    <row r="62" s="611" customFormat="1" ht="14.4"/>
    <row r="63" s="611" customFormat="1" ht="14.4"/>
    <row r="64" s="611" customFormat="1" ht="14.4"/>
    <row r="65" spans="1:8" s="611" customFormat="1" ht="14.4"/>
    <row r="66" spans="1:8" s="611" customFormat="1" ht="14.4"/>
    <row r="67" spans="1:8" s="611" customFormat="1" ht="14.4"/>
    <row r="68" spans="1:8" s="611" customFormat="1" ht="14.4"/>
    <row r="69" spans="1:8" s="611" customFormat="1" ht="14.4"/>
    <row r="70" spans="1:8" s="611" customFormat="1" ht="14.4"/>
    <row r="71" spans="1:8" s="611" customFormat="1" ht="14.4"/>
    <row r="72" spans="1:8" s="611" customFormat="1" ht="14.4"/>
    <row r="73" spans="1:8" ht="14.4">
      <c r="A73" s="611"/>
      <c r="B73" s="611"/>
      <c r="C73" s="611"/>
      <c r="F73" s="653"/>
      <c r="G73" s="653"/>
      <c r="H73" s="653"/>
    </row>
    <row r="74" spans="1:8" ht="14.4">
      <c r="A74" s="611"/>
      <c r="B74" s="611"/>
      <c r="C74" s="611"/>
      <c r="F74" s="653"/>
      <c r="G74" s="653"/>
      <c r="H74" s="653"/>
    </row>
    <row r="75" spans="1:8" ht="14.4">
      <c r="A75" s="611"/>
      <c r="B75" s="611"/>
      <c r="C75" s="611"/>
      <c r="F75" s="653"/>
      <c r="G75" s="653"/>
      <c r="H75" s="653"/>
    </row>
    <row r="76" spans="1:8" ht="14.4">
      <c r="A76" s="611"/>
      <c r="B76" s="611"/>
      <c r="C76" s="611"/>
      <c r="F76" s="653"/>
      <c r="G76" s="653"/>
      <c r="H76" s="653"/>
    </row>
    <row r="77" spans="1:8" ht="14.4">
      <c r="A77" s="611"/>
      <c r="B77" s="611"/>
      <c r="C77" s="611"/>
      <c r="F77" s="653"/>
      <c r="G77" s="653"/>
      <c r="H77" s="653"/>
    </row>
    <row r="78" spans="1:8" ht="14.4">
      <c r="A78" s="611"/>
      <c r="B78" s="611"/>
      <c r="C78" s="611"/>
      <c r="F78" s="653"/>
      <c r="G78" s="653"/>
      <c r="H78" s="653"/>
    </row>
    <row r="79" spans="1:8" ht="14.4">
      <c r="A79" s="611"/>
      <c r="B79" s="611"/>
      <c r="C79" s="611"/>
      <c r="F79" s="653"/>
      <c r="G79" s="653"/>
      <c r="H79" s="653"/>
    </row>
    <row r="80" spans="1:8" ht="14.4">
      <c r="A80" s="611"/>
      <c r="B80" s="611"/>
      <c r="C80" s="611"/>
      <c r="F80" s="653"/>
      <c r="G80" s="653"/>
      <c r="H80" s="653"/>
    </row>
    <row r="81" spans="1:8" ht="14.4">
      <c r="A81" s="611"/>
      <c r="B81" s="611"/>
      <c r="C81" s="611"/>
      <c r="F81" s="653"/>
      <c r="G81" s="653"/>
      <c r="H81" s="653"/>
    </row>
    <row r="82" spans="1:8" ht="14.4">
      <c r="A82" s="611"/>
      <c r="B82" s="611"/>
      <c r="C82" s="611"/>
      <c r="F82" s="653"/>
      <c r="G82" s="653"/>
      <c r="H82" s="653"/>
    </row>
    <row r="83" spans="1:8" ht="14.4">
      <c r="A83" s="611"/>
      <c r="B83" s="611"/>
      <c r="C83" s="611"/>
      <c r="F83" s="653"/>
      <c r="G83" s="653"/>
      <c r="H83" s="653"/>
    </row>
    <row r="84" spans="1:8" ht="14.4">
      <c r="A84" s="611"/>
      <c r="B84" s="611"/>
      <c r="C84" s="611"/>
      <c r="F84" s="653"/>
      <c r="G84" s="653"/>
      <c r="H84" s="653"/>
    </row>
    <row r="85" spans="1:8" ht="14.4">
      <c r="A85" s="611"/>
      <c r="B85" s="611"/>
      <c r="C85" s="611"/>
      <c r="F85" s="653"/>
      <c r="G85" s="653"/>
      <c r="H85" s="653"/>
    </row>
    <row r="86" spans="1:8" ht="14.4">
      <c r="A86" s="611"/>
      <c r="B86" s="611"/>
      <c r="C86" s="611"/>
      <c r="F86" s="653"/>
      <c r="G86" s="653"/>
      <c r="H86" s="653"/>
    </row>
    <row r="87" spans="1:8" ht="14.4">
      <c r="A87" s="611"/>
      <c r="B87" s="611"/>
      <c r="C87" s="611"/>
      <c r="F87" s="653"/>
      <c r="G87" s="653"/>
      <c r="H87" s="653"/>
    </row>
    <row r="88" spans="1:8" ht="14.4">
      <c r="A88" s="611"/>
      <c r="B88" s="611"/>
      <c r="C88" s="611"/>
      <c r="F88" s="653"/>
      <c r="G88" s="653"/>
      <c r="H88" s="653"/>
    </row>
    <row r="89" spans="1:8">
      <c r="A89" s="611"/>
    </row>
    <row r="148" spans="2:3">
      <c r="B148" s="611"/>
      <c r="C148" s="611"/>
    </row>
    <row r="149" spans="2:3">
      <c r="B149" s="611"/>
      <c r="C149" s="611"/>
    </row>
    <row r="150" spans="2:3">
      <c r="B150" s="611"/>
      <c r="C150" s="611"/>
    </row>
    <row r="151" spans="2:3">
      <c r="B151" s="611"/>
      <c r="C151" s="611"/>
    </row>
  </sheetData>
  <mergeCells count="22">
    <mergeCell ref="C6:U6"/>
    <mergeCell ref="C18:U18"/>
    <mergeCell ref="C26:U26"/>
    <mergeCell ref="S2:S3"/>
    <mergeCell ref="N2:N3"/>
    <mergeCell ref="O2:O3"/>
    <mergeCell ref="P2:P3"/>
    <mergeCell ref="Q2:Q3"/>
    <mergeCell ref="R2:R3"/>
    <mergeCell ref="C2:C3"/>
    <mergeCell ref="D2:D3"/>
    <mergeCell ref="E2:E3"/>
    <mergeCell ref="F2:F3"/>
    <mergeCell ref="G2:G3"/>
    <mergeCell ref="H2:H3"/>
    <mergeCell ref="I2:I3"/>
    <mergeCell ref="J2:J3"/>
    <mergeCell ref="T2:T3"/>
    <mergeCell ref="U2:U3"/>
    <mergeCell ref="K2:K3"/>
    <mergeCell ref="L2:L3"/>
    <mergeCell ref="M2:M3"/>
  </mergeCells>
  <pageMargins left="0.7" right="0.7" top="0.75" bottom="0.75" header="0.3" footer="0.3"/>
  <pageSetup scale="28" fitToHeight="2" orientation="landscape" horizontalDpi="360" verticalDpi="360" r:id="rId1"/>
  <ignoredErrors>
    <ignoredError sqref="T3:U4 T2:U2 B7:B17 B27:B36 B23:B25 G2:J2 G3:J3 L2:S3 G4:S4 B19:B21 C8 C3 D3:F3 C2 C4:F4 E2:F2" unlockedFormula="1"/>
  </ignoredErrors>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vt:i4>
      </vt:variant>
    </vt:vector>
  </HeadingPairs>
  <TitlesOfParts>
    <vt:vector size="37" baseType="lpstr">
      <vt:lpstr>Introduction</vt:lpstr>
      <vt:lpstr>NewCrop&amp;WholeFarmNetReturns</vt:lpstr>
      <vt:lpstr>BreakevenInputs&amp;Resources</vt:lpstr>
      <vt:lpstr>AcresYieldsPrices&amp;Water</vt:lpstr>
      <vt:lpstr>Graphs$Charts</vt:lpstr>
      <vt:lpstr>GeneralInputPrices</vt:lpstr>
      <vt:lpstr>Inputs&amp;PricesbyCrop</vt:lpstr>
      <vt:lpstr>MachineryAssumptions</vt:lpstr>
      <vt:lpstr>TillageOperations</vt:lpstr>
      <vt:lpstr>CustomOperations</vt:lpstr>
      <vt:lpstr>EquitableLease_Guayule</vt:lpstr>
      <vt:lpstr>EquitableLease_Crop#2</vt:lpstr>
      <vt:lpstr>Guayule Establishment</vt:lpstr>
      <vt:lpstr>Guayule Harvest</vt:lpstr>
      <vt:lpstr>Guayule Grow</vt:lpstr>
      <vt:lpstr>Sheet #4</vt:lpstr>
      <vt:lpstr>Sheet #5</vt:lpstr>
      <vt:lpstr>Sheet #6</vt:lpstr>
      <vt:lpstr>Sheet #7</vt:lpstr>
      <vt:lpstr>Fallow</vt:lpstr>
      <vt:lpstr>Cotton</vt:lpstr>
      <vt:lpstr>Sheet #10</vt:lpstr>
      <vt:lpstr>Sheet #11</vt:lpstr>
      <vt:lpstr>Sheet #12</vt:lpstr>
      <vt:lpstr>Sheet #13</vt:lpstr>
      <vt:lpstr>Sheet #14</vt:lpstr>
      <vt:lpstr>Sheet #15</vt:lpstr>
      <vt:lpstr>Sheet #16</vt:lpstr>
      <vt:lpstr>Sheet #17</vt:lpstr>
      <vt:lpstr>AlfalfaHayEst</vt:lpstr>
      <vt:lpstr>AlfalfaHayProd</vt:lpstr>
      <vt:lpstr>PubMachineryTables</vt:lpstr>
      <vt:lpstr>BASEBUDGETS</vt:lpstr>
      <vt:lpstr>PubDataTables_Gauyule</vt:lpstr>
      <vt:lpstr>output_farm_npv</vt:lpstr>
      <vt:lpstr>Introduction!Print_Area</vt:lpstr>
      <vt:lpstr>'Sheet #4'!Print_Area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Frannie Miller</cp:lastModifiedBy>
  <cp:lastPrinted>2022-09-30T14:52:15Z</cp:lastPrinted>
  <dcterms:created xsi:type="dcterms:W3CDTF">2017-09-30T20:55:41Z</dcterms:created>
  <dcterms:modified xsi:type="dcterms:W3CDTF">2022-12-19T22:23:40Z</dcterms:modified>
</cp:coreProperties>
</file>

<file path=docProps/custom.xml><?xml version="1.0" encoding="utf-8"?>
<Properties xmlns="http://purl.oclc.org/ooxml/officeDocument/customProperties" xmlns:vt="http://purl.oclc.org/ooxml/officeDocument/docPropsVTypes">
  <property fmtid="{D5CDD505-2E9C-101B-9397-08002B2CF9AE}" pid="2" name="HHV_diesel" linkTarget="prop_HHV_diesel">
    <vt:lpwstr>#REF!</vt:lpwstr>
  </property>
  <property fmtid="{D5CDD505-2E9C-101B-9397-08002B2CF9AE}" pid="3" name="HHV_gas" linkTarget="prop_HHV_gas">
    <vt:lpwstr>#REF!</vt:lpwstr>
  </property>
  <property fmtid="{D5CDD505-2E9C-101B-9397-08002B2CF9AE}" pid="4" name="HHV_jetfuel" linkTarget="prop_HHV_jetfuel">
    <vt:lpwstr>#REF!</vt:lpwstr>
  </property>
  <property fmtid="{D5CDD505-2E9C-101B-9397-08002B2CF9AE}" pid="5" name="HHV_naphtha" linkTarget="prop_HHV_naphtha">
    <vt:lpwstr>#REF!</vt:lpwstr>
  </property>
  <property fmtid="{D5CDD505-2E9C-101B-9397-08002B2CF9AE}" pid="6" name="HHV_NG" linkTarget="prop_HHV_NG">
    <vt:r8>44.1</vt:r8>
  </property>
  <property fmtid="{D5CDD505-2E9C-101B-9397-08002B2CF9AE}" pid="7" name="HHV_NG_mass" linkTarget="prop_HHV_NG_mass">
    <vt:lpwstr>#REF!</vt:lpwstr>
  </property>
  <property fmtid="{D5CDD505-2E9C-101B-9397-08002B2CF9AE}" pid="8" name="HHV_NG_volume" linkTarget="prop_HHV_NG_volume">
    <vt:lpwstr>#REF!</vt:lpwstr>
  </property>
  <property fmtid="{D5CDD505-2E9C-101B-9397-08002B2CF9AE}" pid="9" name="water_heat_vaporization" linkTarget="prop_water_heat_vaporization">
    <vt:lpwstr>#REF!</vt:lpwstr>
  </property>
  <property fmtid="{D5CDD505-2E9C-101B-9397-08002B2CF9AE}" pid="10" name="water_molecular_weight" linkTarget="prop_water_molecular_weight">
    <vt:lpwstr>#REF!</vt:lpwstr>
  </property>
  <property fmtid="{D5CDD505-2E9C-101B-9397-08002B2CF9AE}" pid="11" name="rho_NG" linkTarget="prop_rho_NG">
    <vt:lpwstr>#REF!</vt:lpwstr>
  </property>
  <property fmtid="{D5CDD505-2E9C-101B-9397-08002B2CF9AE}" pid="12" name="rho_water" linkTarget="prop_rho_water">
    <vt:lpwstr>#REF!</vt:lpwstr>
  </property>
</Properties>
</file>